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nvfafires01.tg.ch\home$\AVKTRO\Daten\__Temp_AVTRO_2024\Neuer Ordner\"/>
    </mc:Choice>
  </mc:AlternateContent>
  <bookViews>
    <workbookView xWindow="240" yWindow="60" windowWidth="17700" windowHeight="12405"/>
  </bookViews>
  <sheets>
    <sheet name="WICHTIGE ANMERKUNGEN" sheetId="7" r:id="rId1"/>
    <sheet name="DAG-Berechnung" sheetId="4" r:id="rId2"/>
    <sheet name="DAG-Berech. anteilmässig 60." sheetId="1" r:id="rId3"/>
    <sheet name="Hilfstabelle" sheetId="2" state="hidden" r:id="rId4"/>
  </sheets>
  <definedNames>
    <definedName name="_xlnm.Print_Area" localSheetId="2">'DAG-Berech. anteilmässig 60.'!$A$1:$N$67</definedName>
  </definedNames>
  <calcPr calcId="162913" concurrentManualCount="2"/>
</workbook>
</file>

<file path=xl/calcChain.xml><?xml version="1.0" encoding="utf-8"?>
<calcChain xmlns="http://schemas.openxmlformats.org/spreadsheetml/2006/main">
  <c r="G56" i="1" l="1"/>
  <c r="G58" i="1" s="1"/>
  <c r="G48" i="4"/>
  <c r="G50" i="4" s="1"/>
  <c r="G14" i="4"/>
  <c r="K44" i="4" s="1"/>
  <c r="G12" i="1"/>
  <c r="G14" i="1" s="1"/>
  <c r="C29" i="1"/>
  <c r="C35" i="1"/>
  <c r="D39" i="1"/>
  <c r="I46" i="1"/>
  <c r="Q16" i="1"/>
  <c r="R16" i="1"/>
  <c r="S16" i="1"/>
  <c r="Q18" i="1"/>
  <c r="R18" i="1"/>
  <c r="S18" i="1"/>
  <c r="D33" i="1"/>
  <c r="F33" i="1"/>
  <c r="L38" i="1"/>
  <c r="L37" i="1"/>
  <c r="L36" i="1"/>
  <c r="L35" i="1"/>
  <c r="L32" i="1"/>
  <c r="L31" i="1"/>
  <c r="L30" i="1"/>
  <c r="L29" i="1"/>
  <c r="L26" i="1"/>
  <c r="L25" i="1"/>
  <c r="L24" i="1"/>
  <c r="L23" i="1"/>
  <c r="E38" i="1"/>
  <c r="E37" i="1"/>
  <c r="E36" i="1"/>
  <c r="E35" i="1"/>
  <c r="E32" i="1"/>
  <c r="E31" i="1"/>
  <c r="E30" i="1"/>
  <c r="E29" i="1"/>
  <c r="D27" i="1"/>
  <c r="F27" i="1" s="1"/>
  <c r="D35" i="4"/>
  <c r="F35" i="4"/>
  <c r="K23" i="4"/>
  <c r="M23" i="4"/>
  <c r="K29" i="4"/>
  <c r="M29" i="4"/>
  <c r="K35" i="4"/>
  <c r="M35" i="4"/>
  <c r="D29" i="4"/>
  <c r="F29" i="4"/>
  <c r="G37" i="4"/>
  <c r="J46" i="4" s="1"/>
  <c r="N14" i="4"/>
  <c r="G42" i="4" s="1"/>
  <c r="G44" i="4" s="1"/>
  <c r="L34" i="4"/>
  <c r="L33" i="4"/>
  <c r="L32" i="4"/>
  <c r="L31" i="4"/>
  <c r="L28" i="4"/>
  <c r="L27" i="4"/>
  <c r="L26" i="4"/>
  <c r="L25" i="4"/>
  <c r="L22" i="4"/>
  <c r="L21" i="4"/>
  <c r="L20" i="4"/>
  <c r="L19" i="4"/>
  <c r="E34" i="4"/>
  <c r="E33" i="4"/>
  <c r="E32" i="4"/>
  <c r="E31" i="4"/>
  <c r="E28" i="4"/>
  <c r="E27" i="4"/>
  <c r="E26" i="4"/>
  <c r="E25" i="4"/>
  <c r="K42" i="4"/>
  <c r="D23" i="4"/>
  <c r="F23" i="4" s="1"/>
  <c r="J31" i="4"/>
  <c r="J25" i="4"/>
  <c r="J19" i="4"/>
  <c r="C31" i="4"/>
  <c r="C25" i="4"/>
  <c r="F6" i="2"/>
  <c r="F7" i="2"/>
  <c r="F8" i="2"/>
  <c r="F9" i="2"/>
  <c r="F10" i="2"/>
  <c r="F11" i="2"/>
  <c r="F12" i="2"/>
  <c r="F13" i="2"/>
  <c r="F5" i="2"/>
  <c r="W18" i="1"/>
  <c r="W22" i="1" s="1"/>
  <c r="J23" i="1"/>
  <c r="W16" i="1"/>
  <c r="W24" i="1" s="1"/>
  <c r="U18" i="1"/>
  <c r="V18" i="1"/>
  <c r="V16" i="1"/>
  <c r="F39" i="1"/>
  <c r="M44" i="4"/>
  <c r="K27" i="1"/>
  <c r="M27" i="1"/>
  <c r="J29" i="1"/>
  <c r="V22" i="1"/>
  <c r="G46" i="1"/>
  <c r="J18" i="1" s="1"/>
  <c r="K33" i="1"/>
  <c r="M33" i="1"/>
  <c r="J35" i="1"/>
  <c r="K39" i="1"/>
  <c r="G41" i="1" s="1"/>
  <c r="G50" i="1"/>
  <c r="M39" i="1"/>
  <c r="K48" i="1" l="1"/>
  <c r="K50" i="1"/>
  <c r="K52" i="1" s="1"/>
  <c r="J54" i="1" s="1"/>
  <c r="N14" i="1"/>
  <c r="G48" i="1" s="1"/>
  <c r="G52" i="1"/>
  <c r="M52" i="1"/>
</calcChain>
</file>

<file path=xl/sharedStrings.xml><?xml version="1.0" encoding="utf-8"?>
<sst xmlns="http://schemas.openxmlformats.org/spreadsheetml/2006/main" count="123" uniqueCount="64">
  <si>
    <t>Schulgemeinde</t>
  </si>
  <si>
    <t>Jahreslohn 100%:</t>
  </si>
  <si>
    <t>Fälligkeit DAG:</t>
  </si>
  <si>
    <t>Dienstjahre:</t>
  </si>
  <si>
    <t>Pensum:</t>
  </si>
  <si>
    <t>Beispiel</t>
  </si>
  <si>
    <t>/</t>
  </si>
  <si>
    <t>Erfassungen</t>
  </si>
  <si>
    <t>Durchschnittliches Pensum:</t>
  </si>
  <si>
    <t>Berechnung</t>
  </si>
  <si>
    <t>DAG bei Vollpensum:</t>
  </si>
  <si>
    <t>Tatsächliches DAG:</t>
  </si>
  <si>
    <t>Pensionierung per:</t>
  </si>
  <si>
    <t>volles DAG bei Vollpensum:</t>
  </si>
  <si>
    <t>anteilmässiges DAG bei Vollpensum:</t>
  </si>
  <si>
    <t>Monat</t>
  </si>
  <si>
    <t>Januar</t>
  </si>
  <si>
    <t>Februar</t>
  </si>
  <si>
    <t>März</t>
  </si>
  <si>
    <t>April</t>
  </si>
  <si>
    <t>Mai</t>
  </si>
  <si>
    <t>Juni</t>
  </si>
  <si>
    <t>Juli</t>
  </si>
  <si>
    <t>August</t>
  </si>
  <si>
    <t>September</t>
  </si>
  <si>
    <t>Oktober</t>
  </si>
  <si>
    <t>November</t>
  </si>
  <si>
    <t>Dezember</t>
  </si>
  <si>
    <t>Monat in Zahl</t>
  </si>
  <si>
    <t>Anzahl Tage</t>
  </si>
  <si>
    <t>Hilfe für Aufbereitung des Datums auf ganze Monate</t>
  </si>
  <si>
    <t>Hilfe für DropDown Feld für Dienstjahre</t>
  </si>
  <si>
    <t>Hilfstabelle</t>
  </si>
  <si>
    <t>Diensjahre des nächsten DAGs:</t>
  </si>
  <si>
    <t>angerechnete Monate:</t>
  </si>
  <si>
    <t>Dienstjahre letztes erhaltenes DAG:</t>
  </si>
  <si>
    <t>Eingabe</t>
  </si>
  <si>
    <t>für Berechnung</t>
  </si>
  <si>
    <t>Tag</t>
  </si>
  <si>
    <t>Jahr</t>
  </si>
  <si>
    <t>Monate</t>
  </si>
  <si>
    <t>Jahre</t>
  </si>
  <si>
    <t>Anzahl ganze Monate:</t>
  </si>
  <si>
    <t>Berechnung des Dienstaltersgeschenks bei unregelmässigem Pensum</t>
  </si>
  <si>
    <t>Arbeitnehmer</t>
  </si>
  <si>
    <t>Anzahl Monate</t>
  </si>
  <si>
    <t>Pensum in %</t>
  </si>
  <si>
    <t>Ø</t>
  </si>
  <si>
    <t>Anzahl zu beziehende Tage</t>
  </si>
  <si>
    <t>Bemerkung:</t>
  </si>
  <si>
    <t>und</t>
  </si>
  <si>
    <t>DAG-Berechnung Verwaltungsangestellte</t>
  </si>
  <si>
    <t>à</t>
  </si>
  <si>
    <t>Besoldung inkl. Anteil 13. Monatslohn</t>
  </si>
  <si>
    <t xml:space="preserve"> bei unregelmässigem Pensum</t>
  </si>
  <si>
    <t>Im Tabellenblatt "DAG mit Anteil Pensionierung" befinden sich ausgeblendete Hilfsspalten (R:W)</t>
  </si>
  <si>
    <t>Bei Personen mit wechselndem Beschäftigungsgrad, verschiedenen Ämtern oder Funktionszulagen berechnet sich der massgebende durchschnittliche Beschäftigungsgrad und der Durchschnitt allfälliger Funktionszulagen nach den dem Stichtag vorausgegangenen fünf Kalenderjahren.</t>
  </si>
  <si>
    <t>Bei einem Austritt nach dem vollendeten 60. Altersjahr besteht ein anteilsmässiger Anspruch für die seit
dem letzten Stichtag geleisteten Dienstjahre. Der Anspruch ist aufgrund der seit dem letzten Stichtag geleisteten Monate zu berechnen (xy/60) und kaufmännisch auf den Halbtag zu runden. Ist der DAG-
Stichtag nicht der Erste eines Monats, wird für die Ermittlung des pro-rata-Anspruchs ab dem darauf folgenden Monat gerechnet.
Einen anteilsmässigen DAG-Anspruch zwischen 60 und 65 Jahren gibt es nur für Mitarbeiterinnen und Mitarbeiter, welche seit mind. 10 Jahren im Dienste der KVTG ste­hen.  Eine Mitarbeitern, welche mit 58 Jahren eingetreten ist und mit 63 Jahren in den Ruhestand tritt, hat somit keinen DAG-Anspruch - wie alle übrigen Mitarbeiterinnen und Mitarbeiter, welche weniger als 10 Jahre im Dienste des Kantons tätig sind.</t>
  </si>
  <si>
    <t>Datum letztes DAG:</t>
  </si>
  <si>
    <t>bitte auswählen</t>
  </si>
  <si>
    <t>Besoldung exkl. Anteil 13. Monatslohn</t>
  </si>
  <si>
    <t>Sachbearbeiter</t>
  </si>
  <si>
    <t>Datum</t>
  </si>
  <si>
    <t>Berechnung des anteilmässigen Anspruchs des Dienstaltersgeschenk bei Austrit nach dem 60. Altersjahr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</si>
</sst>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quot; Jahre&quot;"/>
    <numFmt numFmtId="166" formatCode="0.0%"/>
    <numFmt numFmtId="167" formatCode="#,###\ &quot;Jahre&quot;"/>
    <numFmt numFmtId="168" formatCode="dd/mm/yyyy;@"/>
  </numFmts>
  <fonts count="16" x14ac:knownFonts="1">
    <font>
      <sz val="10"/>
      <name val="Arial"/>
    </font>
    <font>
      <sz val="10"/>
      <name val="Arial"/>
    </font>
    <font>
      <b/>
      <sz val="10"/>
      <name val="Arial"/>
      <family val="2"/>
    </font>
    <font>
      <b/>
      <sz val="15"/>
      <name val="Arial"/>
      <family val="2"/>
    </font>
    <font>
      <sz val="10"/>
      <name val="Arial"/>
      <family val="2"/>
    </font>
    <font>
      <i/>
      <sz val="8"/>
      <name val="Arial"/>
      <family val="2"/>
    </font>
    <font>
      <b/>
      <sz val="12"/>
      <name val="Arial"/>
      <family val="2"/>
    </font>
    <font>
      <b/>
      <i/>
      <u/>
      <sz val="10"/>
      <name val="Arial"/>
      <family val="2"/>
    </font>
    <font>
      <b/>
      <u/>
      <sz val="10"/>
      <name val="Arial"/>
      <family val="2"/>
    </font>
    <font>
      <sz val="10"/>
      <color indexed="9"/>
      <name val="Arial"/>
      <family val="2"/>
    </font>
    <font>
      <sz val="8"/>
      <name val="Arial"/>
      <family val="2"/>
    </font>
    <font>
      <b/>
      <sz val="8"/>
      <name val="Arial"/>
      <family val="2"/>
    </font>
    <font>
      <b/>
      <sz val="10"/>
      <color indexed="10"/>
      <name val="Arial"/>
      <family val="2"/>
    </font>
    <font>
      <sz val="10"/>
      <color indexed="9"/>
      <name val="Arial"/>
      <family val="2"/>
    </font>
    <font>
      <sz val="10"/>
      <name val="Arial"/>
      <family val="2"/>
    </font>
    <font>
      <b/>
      <sz val="10"/>
      <color theme="0"/>
      <name val="Arial"/>
      <family val="2"/>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6" tint="0.59999389629810485"/>
        <bgColor indexed="64"/>
      </patternFill>
    </fill>
    <fill>
      <patternFill patternType="solid">
        <fgColor theme="0" tint="-0.499984740745262"/>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22"/>
      </right>
      <top style="thin">
        <color indexed="64"/>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2" fillId="0" borderId="0" xfId="0" applyFont="1" applyProtection="1"/>
    <xf numFmtId="0" fontId="0" fillId="0" borderId="0" xfId="0" applyProtection="1"/>
    <xf numFmtId="0" fontId="3" fillId="0" borderId="0" xfId="0" applyFont="1" applyProtection="1"/>
    <xf numFmtId="0" fontId="0" fillId="0" borderId="0" xfId="0" applyBorder="1"/>
    <xf numFmtId="0" fontId="7" fillId="0" borderId="2" xfId="0" applyFont="1" applyBorder="1"/>
    <xf numFmtId="0" fontId="0" fillId="0" borderId="3" xfId="0" applyBorder="1"/>
    <xf numFmtId="0" fontId="0" fillId="0" borderId="4" xfId="0" applyBorder="1"/>
    <xf numFmtId="0" fontId="2" fillId="0" borderId="5" xfId="0" applyFont="1" applyBorder="1"/>
    <xf numFmtId="0" fontId="2" fillId="0" borderId="0" xfId="0" applyFont="1" applyBorder="1"/>
    <xf numFmtId="0" fontId="2" fillId="0" borderId="6" xfId="0" applyFont="1" applyBorder="1"/>
    <xf numFmtId="0" fontId="0" fillId="0" borderId="5" xfId="0" applyBorder="1"/>
    <xf numFmtId="0" fontId="0" fillId="0" borderId="6" xfId="0" applyBorder="1"/>
    <xf numFmtId="0" fontId="2" fillId="0" borderId="7" xfId="0" applyFont="1" applyBorder="1"/>
    <xf numFmtId="0" fontId="0" fillId="0" borderId="8" xfId="0" applyBorder="1"/>
    <xf numFmtId="0" fontId="0" fillId="0" borderId="9" xfId="0" applyBorder="1"/>
    <xf numFmtId="0" fontId="0" fillId="0" borderId="7" xfId="0" applyBorder="1"/>
    <xf numFmtId="0" fontId="7" fillId="0" borderId="10" xfId="0" applyFont="1" applyFill="1" applyBorder="1"/>
    <xf numFmtId="0" fontId="0" fillId="0" borderId="11" xfId="0" applyBorder="1"/>
    <xf numFmtId="0" fontId="0" fillId="0" borderId="12" xfId="0" applyBorder="1"/>
    <xf numFmtId="0" fontId="8" fillId="0" borderId="0" xfId="0" applyFont="1"/>
    <xf numFmtId="1" fontId="4" fillId="0" borderId="0" xfId="0" applyNumberFormat="1" applyFont="1" applyFill="1" applyBorder="1" applyAlignment="1" applyProtection="1"/>
    <xf numFmtId="0" fontId="0" fillId="0" borderId="0" xfId="0" applyBorder="1" applyAlignment="1" applyProtection="1">
      <alignment horizontal="center"/>
    </xf>
    <xf numFmtId="0" fontId="0" fillId="0" borderId="0" xfId="0" applyBorder="1" applyProtection="1"/>
    <xf numFmtId="0" fontId="0" fillId="0" borderId="0" xfId="0" applyBorder="1" applyAlignment="1" applyProtection="1">
      <alignment horizontal="right"/>
    </xf>
    <xf numFmtId="0" fontId="0" fillId="0" borderId="0" xfId="0" applyNumberFormat="1" applyBorder="1" applyProtection="1"/>
    <xf numFmtId="0" fontId="2" fillId="0" borderId="13" xfId="0" applyFont="1" applyBorder="1" applyAlignment="1" applyProtection="1">
      <alignment horizontal="left"/>
    </xf>
    <xf numFmtId="0" fontId="2" fillId="0" borderId="14" xfId="0" applyFont="1" applyBorder="1" applyProtection="1"/>
    <xf numFmtId="0" fontId="0" fillId="0" borderId="15" xfId="0" applyBorder="1" applyProtection="1"/>
    <xf numFmtId="0" fontId="0" fillId="0" borderId="16" xfId="0" applyBorder="1" applyAlignment="1" applyProtection="1">
      <alignment horizontal="center"/>
    </xf>
    <xf numFmtId="0" fontId="0" fillId="0" borderId="17" xfId="0" applyBorder="1" applyAlignment="1" applyProtection="1">
      <alignment horizontal="center"/>
    </xf>
    <xf numFmtId="1" fontId="0" fillId="0" borderId="16" xfId="0" applyNumberFormat="1" applyBorder="1" applyAlignment="1" applyProtection="1">
      <alignment horizontal="right"/>
    </xf>
    <xf numFmtId="0" fontId="0" fillId="0" borderId="17" xfId="0" applyBorder="1" applyProtection="1"/>
    <xf numFmtId="0" fontId="0" fillId="0" borderId="13" xfId="0" applyBorder="1" applyProtection="1"/>
    <xf numFmtId="0" fontId="0" fillId="0" borderId="14" xfId="0" applyBorder="1" applyProtection="1"/>
    <xf numFmtId="0" fontId="0" fillId="0" borderId="16" xfId="0" applyBorder="1" applyProtection="1"/>
    <xf numFmtId="0" fontId="2" fillId="0" borderId="16" xfId="0" applyFont="1" applyBorder="1" applyAlignment="1" applyProtection="1">
      <alignment horizontal="left"/>
    </xf>
    <xf numFmtId="0" fontId="0" fillId="0" borderId="18" xfId="0" applyBorder="1" applyProtection="1"/>
    <xf numFmtId="0" fontId="0" fillId="0" borderId="19" xfId="0" applyBorder="1" applyProtection="1"/>
    <xf numFmtId="0" fontId="0" fillId="0" borderId="20" xfId="0" applyBorder="1" applyProtection="1"/>
    <xf numFmtId="0" fontId="2" fillId="0" borderId="0" xfId="0" applyFont="1" applyBorder="1" applyAlignment="1" applyProtection="1">
      <alignment horizontal="left"/>
    </xf>
    <xf numFmtId="0" fontId="6" fillId="2" borderId="10" xfId="0" applyFont="1" applyFill="1" applyBorder="1" applyProtection="1"/>
    <xf numFmtId="0" fontId="6" fillId="2" borderId="11" xfId="0" applyFont="1" applyFill="1" applyBorder="1" applyProtection="1"/>
    <xf numFmtId="0" fontId="4" fillId="2" borderId="11" xfId="0" applyFont="1" applyFill="1" applyBorder="1" applyProtection="1"/>
    <xf numFmtId="0" fontId="4" fillId="2" borderId="12" xfId="0" applyFont="1" applyFill="1" applyBorder="1" applyProtection="1"/>
    <xf numFmtId="0" fontId="4" fillId="0" borderId="0" xfId="0" applyFont="1" applyFill="1" applyBorder="1" applyProtection="1"/>
    <xf numFmtId="0" fontId="0" fillId="0" borderId="0" xfId="0" applyFill="1" applyProtection="1"/>
    <xf numFmtId="0" fontId="0" fillId="0" borderId="0" xfId="0" applyFill="1" applyBorder="1" applyProtection="1"/>
    <xf numFmtId="0" fontId="4" fillId="0" borderId="21" xfId="0" applyFont="1" applyBorder="1" applyProtection="1"/>
    <xf numFmtId="0" fontId="0" fillId="0" borderId="21" xfId="0" applyBorder="1" applyProtection="1"/>
    <xf numFmtId="4" fontId="0" fillId="0" borderId="0" xfId="0" applyNumberFormat="1" applyFill="1" applyBorder="1" applyAlignment="1" applyProtection="1">
      <alignment horizontal="center"/>
    </xf>
    <xf numFmtId="0" fontId="4" fillId="0" borderId="0" xfId="0" applyFont="1" applyProtection="1"/>
    <xf numFmtId="0" fontId="0" fillId="0" borderId="0" xfId="0" applyFill="1" applyBorder="1" applyAlignment="1" applyProtection="1">
      <alignment horizontal="center"/>
    </xf>
    <xf numFmtId="0" fontId="9" fillId="0" borderId="0" xfId="0" applyFont="1" applyFill="1" applyProtection="1"/>
    <xf numFmtId="165" fontId="0" fillId="0" borderId="0" xfId="0" applyNumberFormat="1" applyFill="1" applyBorder="1" applyAlignment="1" applyProtection="1">
      <alignment horizontal="center"/>
    </xf>
    <xf numFmtId="14" fontId="0" fillId="0" borderId="0" xfId="0" applyNumberFormat="1" applyFill="1" applyBorder="1" applyAlignment="1" applyProtection="1">
      <alignment horizontal="center"/>
    </xf>
    <xf numFmtId="0" fontId="2" fillId="0" borderId="21" xfId="0" applyFont="1" applyBorder="1" applyProtection="1"/>
    <xf numFmtId="0" fontId="4" fillId="0" borderId="0" xfId="0" applyFont="1" applyBorder="1" applyProtection="1"/>
    <xf numFmtId="0" fontId="2" fillId="0" borderId="0" xfId="0" applyFont="1" applyAlignment="1">
      <alignment horizontal="left" vertical="top" wrapText="1"/>
    </xf>
    <xf numFmtId="0" fontId="10" fillId="0" borderId="0" xfId="0" applyFont="1" applyProtection="1"/>
    <xf numFmtId="164" fontId="0" fillId="0" borderId="0" xfId="0" applyNumberFormat="1" applyBorder="1" applyProtection="1"/>
    <xf numFmtId="0" fontId="10" fillId="0" borderId="0" xfId="0" applyFont="1" applyAlignment="1" applyProtection="1">
      <alignment horizontal="left" indent="1"/>
    </xf>
    <xf numFmtId="0" fontId="5" fillId="0" borderId="0" xfId="0" applyFont="1" applyAlignment="1" applyProtection="1">
      <alignment horizontal="right"/>
    </xf>
    <xf numFmtId="0" fontId="5" fillId="0" borderId="0" xfId="0" applyFont="1" applyProtection="1"/>
    <xf numFmtId="0" fontId="10" fillId="0" borderId="13" xfId="0" applyFont="1" applyBorder="1" applyProtection="1"/>
    <xf numFmtId="0" fontId="10" fillId="0" borderId="22" xfId="0" applyFont="1" applyFill="1" applyBorder="1" applyProtection="1"/>
    <xf numFmtId="0" fontId="10" fillId="0" borderId="14" xfId="0" applyFont="1" applyFill="1" applyBorder="1" applyAlignment="1" applyProtection="1">
      <alignment horizontal="center"/>
    </xf>
    <xf numFmtId="9" fontId="10" fillId="0" borderId="23" xfId="1" applyFont="1" applyFill="1" applyBorder="1" applyAlignment="1" applyProtection="1">
      <alignment horizontal="left"/>
    </xf>
    <xf numFmtId="0" fontId="0" fillId="0" borderId="13" xfId="0" applyBorder="1" applyAlignment="1" applyProtection="1">
      <alignment horizontal="center"/>
    </xf>
    <xf numFmtId="0" fontId="10" fillId="0" borderId="24" xfId="0" applyFont="1" applyBorder="1" applyAlignment="1" applyProtection="1">
      <alignment horizontal="center"/>
    </xf>
    <xf numFmtId="0" fontId="10" fillId="0" borderId="16" xfId="0" applyFont="1" applyBorder="1" applyProtection="1"/>
    <xf numFmtId="0" fontId="10" fillId="0" borderId="1" xfId="0" applyFont="1" applyFill="1" applyBorder="1" applyProtection="1"/>
    <xf numFmtId="0" fontId="10" fillId="0" borderId="0" xfId="0" applyFont="1" applyFill="1" applyBorder="1" applyAlignment="1" applyProtection="1">
      <alignment horizontal="center"/>
    </xf>
    <xf numFmtId="9" fontId="10" fillId="0" borderId="25" xfId="1" applyFont="1" applyFill="1" applyBorder="1" applyAlignment="1" applyProtection="1">
      <alignment horizontal="left"/>
    </xf>
    <xf numFmtId="0" fontId="10" fillId="0" borderId="26" xfId="0" applyFont="1" applyBorder="1" applyAlignment="1" applyProtection="1">
      <alignment horizontal="center"/>
    </xf>
    <xf numFmtId="0" fontId="10" fillId="0" borderId="18" xfId="0" applyFont="1" applyBorder="1" applyProtection="1"/>
    <xf numFmtId="0" fontId="10" fillId="0" borderId="27" xfId="0" applyFont="1" applyFill="1" applyBorder="1" applyProtection="1"/>
    <xf numFmtId="0" fontId="10" fillId="0" borderId="19" xfId="0" applyFont="1" applyFill="1" applyBorder="1" applyAlignment="1" applyProtection="1">
      <alignment horizontal="center"/>
    </xf>
    <xf numFmtId="9" fontId="10" fillId="0" borderId="28" xfId="1" applyFont="1" applyFill="1" applyBorder="1" applyAlignment="1" applyProtection="1">
      <alignment horizontal="left"/>
    </xf>
    <xf numFmtId="0" fontId="10" fillId="0" borderId="29" xfId="0" applyFont="1" applyBorder="1" applyAlignment="1" applyProtection="1">
      <alignment horizontal="center"/>
    </xf>
    <xf numFmtId="0" fontId="10" fillId="0" borderId="0" xfId="0" applyFont="1" applyBorder="1" applyAlignment="1" applyProtection="1">
      <alignment horizontal="right"/>
    </xf>
    <xf numFmtId="0" fontId="10" fillId="0" borderId="30" xfId="0" applyFont="1" applyFill="1" applyBorder="1" applyProtection="1"/>
    <xf numFmtId="0" fontId="10" fillId="0" borderId="31" xfId="0" applyFont="1" applyFill="1" applyBorder="1" applyAlignment="1" applyProtection="1">
      <alignment horizontal="center"/>
    </xf>
    <xf numFmtId="9" fontId="10" fillId="0" borderId="32" xfId="1" applyFont="1" applyFill="1" applyBorder="1" applyAlignment="1" applyProtection="1">
      <alignment horizontal="left"/>
    </xf>
    <xf numFmtId="0" fontId="5" fillId="0" borderId="0" xfId="0" applyFont="1" applyBorder="1" applyAlignment="1" applyProtection="1">
      <alignment horizontal="center"/>
    </xf>
    <xf numFmtId="14" fontId="0" fillId="0" borderId="0" xfId="0" applyNumberFormat="1" applyProtection="1"/>
    <xf numFmtId="0" fontId="10" fillId="0" borderId="0" xfId="0" applyFont="1" applyBorder="1" applyAlignment="1" applyProtection="1">
      <alignment horizontal="left" indent="1"/>
    </xf>
    <xf numFmtId="0" fontId="11" fillId="0" borderId="0" xfId="0" applyFont="1" applyAlignment="1" applyProtection="1">
      <alignment horizontal="left" indent="1"/>
    </xf>
    <xf numFmtId="0" fontId="11" fillId="0" borderId="0" xfId="0" applyFont="1" applyAlignment="1" applyProtection="1">
      <alignment vertical="top"/>
    </xf>
    <xf numFmtId="0" fontId="0" fillId="0" borderId="0" xfId="0" applyFill="1" applyAlignment="1">
      <alignment wrapText="1"/>
    </xf>
    <xf numFmtId="0" fontId="12" fillId="0" borderId="0" xfId="0" applyFont="1" applyProtection="1"/>
    <xf numFmtId="0" fontId="5" fillId="0" borderId="17" xfId="0" applyFont="1" applyBorder="1" applyAlignment="1" applyProtection="1">
      <alignment horizontal="center"/>
    </xf>
    <xf numFmtId="0" fontId="7" fillId="0" borderId="3" xfId="0" applyFont="1" applyBorder="1"/>
    <xf numFmtId="0" fontId="13" fillId="0" borderId="0" xfId="0" applyFont="1" applyProtection="1">
      <protection locked="0"/>
    </xf>
    <xf numFmtId="0" fontId="0" fillId="4" borderId="22" xfId="0" applyFill="1" applyBorder="1" applyProtection="1">
      <protection locked="0"/>
    </xf>
    <xf numFmtId="0" fontId="0" fillId="4" borderId="1" xfId="0" applyFill="1" applyBorder="1" applyProtection="1">
      <protection locked="0"/>
    </xf>
    <xf numFmtId="0" fontId="0" fillId="4" borderId="27" xfId="0" applyFill="1" applyBorder="1" applyProtection="1">
      <protection locked="0"/>
    </xf>
    <xf numFmtId="166" fontId="14" fillId="4" borderId="23" xfId="1" applyNumberFormat="1" applyFont="1" applyFill="1" applyBorder="1" applyAlignment="1" applyProtection="1">
      <alignment horizontal="left"/>
      <protection locked="0"/>
    </xf>
    <xf numFmtId="166" fontId="14" fillId="4" borderId="25" xfId="1" applyNumberFormat="1" applyFont="1" applyFill="1" applyBorder="1" applyAlignment="1" applyProtection="1">
      <alignment horizontal="left"/>
      <protection locked="0"/>
    </xf>
    <xf numFmtId="166" fontId="14" fillId="4" borderId="28" xfId="1" applyNumberFormat="1" applyFont="1" applyFill="1" applyBorder="1" applyAlignment="1" applyProtection="1">
      <alignment horizontal="left"/>
      <protection locked="0"/>
    </xf>
    <xf numFmtId="0" fontId="10" fillId="3" borderId="14" xfId="0" applyFont="1" applyFill="1" applyBorder="1" applyProtection="1"/>
    <xf numFmtId="0" fontId="10" fillId="3" borderId="14" xfId="0" applyFont="1" applyFill="1" applyBorder="1" applyAlignment="1" applyProtection="1">
      <alignment horizontal="center"/>
    </xf>
    <xf numFmtId="9" fontId="10" fillId="3" borderId="14" xfId="1" applyFont="1" applyFill="1" applyBorder="1" applyAlignment="1" applyProtection="1">
      <alignment horizontal="left"/>
    </xf>
    <xf numFmtId="0" fontId="10" fillId="0" borderId="21" xfId="0" applyFont="1" applyBorder="1" applyAlignment="1" applyProtection="1">
      <alignment horizontal="center"/>
    </xf>
    <xf numFmtId="0" fontId="0" fillId="3" borderId="0" xfId="0" applyFill="1" applyBorder="1" applyAlignment="1" applyProtection="1">
      <alignment horizontal="center"/>
    </xf>
    <xf numFmtId="0" fontId="0" fillId="3" borderId="0" xfId="0" applyFill="1" applyBorder="1" applyProtection="1"/>
    <xf numFmtId="0" fontId="0" fillId="3" borderId="0" xfId="0" applyFill="1" applyBorder="1" applyAlignment="1" applyProtection="1">
      <alignment horizontal="left"/>
    </xf>
    <xf numFmtId="0" fontId="0" fillId="0" borderId="0" xfId="0" applyFill="1" applyAlignment="1" applyProtection="1"/>
    <xf numFmtId="49" fontId="15" fillId="5" borderId="0" xfId="0" applyNumberFormat="1" applyFont="1" applyFill="1" applyBorder="1" applyProtection="1"/>
    <xf numFmtId="0" fontId="15" fillId="5" borderId="0" xfId="0" applyFont="1" applyFill="1" applyBorder="1" applyProtection="1"/>
    <xf numFmtId="0" fontId="0" fillId="4" borderId="0" xfId="0" applyFill="1" applyBorder="1" applyAlignment="1" applyProtection="1">
      <alignment vertical="top" wrapText="1"/>
      <protection locked="0"/>
    </xf>
    <xf numFmtId="0" fontId="0" fillId="4" borderId="0" xfId="0" applyFill="1" applyAlignment="1" applyProtection="1">
      <alignment horizontal="left"/>
      <protection locked="0"/>
    </xf>
    <xf numFmtId="168" fontId="0" fillId="4" borderId="0" xfId="0" applyNumberFormat="1" applyFill="1" applyAlignment="1" applyProtection="1">
      <alignment horizontal="center"/>
      <protection locked="0"/>
    </xf>
    <xf numFmtId="0" fontId="0" fillId="4" borderId="0" xfId="0" applyFill="1" applyBorder="1" applyAlignment="1" applyProtection="1">
      <alignment horizontal="left"/>
      <protection locked="0"/>
    </xf>
    <xf numFmtId="4" fontId="0" fillId="3" borderId="0" xfId="0" applyNumberFormat="1" applyFill="1" applyBorder="1" applyAlignment="1" applyProtection="1">
      <alignment horizontal="center"/>
    </xf>
    <xf numFmtId="4" fontId="2" fillId="3" borderId="0" xfId="0" applyNumberFormat="1" applyFont="1" applyFill="1" applyBorder="1" applyAlignment="1" applyProtection="1">
      <alignment horizontal="center"/>
    </xf>
    <xf numFmtId="4" fontId="0" fillId="4" borderId="0" xfId="0" applyNumberFormat="1" applyFill="1" applyBorder="1" applyAlignment="1" applyProtection="1">
      <alignment horizontal="center"/>
      <protection locked="0"/>
    </xf>
    <xf numFmtId="14" fontId="0" fillId="4" borderId="0" xfId="0" applyNumberFormat="1" applyFill="1" applyBorder="1" applyAlignment="1" applyProtection="1">
      <alignment horizontal="center"/>
      <protection locked="0"/>
    </xf>
    <xf numFmtId="167" fontId="0" fillId="4" borderId="30" xfId="0" applyNumberFormat="1" applyFill="1" applyBorder="1" applyAlignment="1" applyProtection="1">
      <alignment horizontal="center"/>
    </xf>
    <xf numFmtId="167" fontId="0" fillId="4" borderId="31" xfId="0" applyNumberFormat="1" applyFill="1" applyBorder="1" applyAlignment="1" applyProtection="1">
      <alignment horizontal="center"/>
    </xf>
    <xf numFmtId="167" fontId="0" fillId="4" borderId="32" xfId="0" applyNumberFormat="1" applyFill="1" applyBorder="1" applyAlignment="1" applyProtection="1">
      <alignment horizontal="center"/>
    </xf>
    <xf numFmtId="166" fontId="2" fillId="3" borderId="0" xfId="1" applyNumberFormat="1" applyFont="1" applyFill="1" applyBorder="1" applyAlignment="1" applyProtection="1">
      <alignment horizontal="center"/>
    </xf>
    <xf numFmtId="0" fontId="0" fillId="3" borderId="0" xfId="0" applyFill="1" applyBorder="1" applyAlignment="1" applyProtection="1">
      <alignment horizontal="center"/>
    </xf>
    <xf numFmtId="0" fontId="2" fillId="3" borderId="0" xfId="0" applyFont="1" applyFill="1" applyBorder="1" applyAlignment="1" applyProtection="1">
      <alignment horizontal="center"/>
    </xf>
    <xf numFmtId="0" fontId="2" fillId="4" borderId="0" xfId="0" applyFont="1" applyFill="1" applyBorder="1" applyAlignment="1" applyProtection="1">
      <alignment horizontal="center"/>
      <protection locked="0"/>
    </xf>
    <xf numFmtId="4" fontId="4" fillId="3" borderId="0" xfId="0" applyNumberFormat="1" applyFont="1" applyFill="1" applyBorder="1" applyAlignment="1" applyProtection="1">
      <alignment horizontal="center"/>
    </xf>
    <xf numFmtId="0" fontId="0" fillId="4" borderId="0" xfId="0" applyFill="1" applyBorder="1" applyAlignment="1" applyProtection="1">
      <protection locked="0"/>
    </xf>
    <xf numFmtId="0" fontId="2" fillId="0" borderId="0" xfId="0" applyFont="1" applyBorder="1" applyProtection="1"/>
    <xf numFmtId="165" fontId="0" fillId="3" borderId="0" xfId="0" applyNumberFormat="1" applyFill="1" applyBorder="1" applyAlignment="1" applyProtection="1">
      <alignment horizontal="center"/>
    </xf>
    <xf numFmtId="0" fontId="0" fillId="0" borderId="0" xfId="0" applyBorder="1" applyAlignment="1" applyProtection="1"/>
    <xf numFmtId="0" fontId="0" fillId="0" borderId="0" xfId="0" applyBorder="1" applyAlignment="1" applyProtection="1">
      <alignment horizontal="center"/>
    </xf>
    <xf numFmtId="0" fontId="2" fillId="0" borderId="0" xfId="0" applyFont="1" applyBorder="1" applyAlignment="1" applyProtection="1">
      <alignment horizontal="center"/>
    </xf>
    <xf numFmtId="0" fontId="0" fillId="0" borderId="0" xfId="0" applyBorder="1" applyProtection="1"/>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cellXfs>
  <cellStyles count="2">
    <cellStyle name="Prozent" xfId="1" builtinId="5"/>
    <cellStyle name="Standard" xfId="0" builtinId="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Style="combo" dx="16" fmlaLink="$A$14" fmlaRange="Hilfstabelle!$F$4:$F$13" noThreeD="1" sel="1" val="0"/>
</file>

<file path=xl/ctrlProps/ctrlProp2.xml><?xml version="1.0" encoding="utf-8"?>
<formControlPr xmlns="http://schemas.microsoft.com/office/spreadsheetml/2009/9/main" objectType="Drop" dropStyle="combo" dx="16" fmlaLink="$A$12" fmlaRange="Hilfstabelle!$F$4:$F$13" noThreeD="1" sel="4" val="0"/>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12</xdr:row>
          <xdr:rowOff>38100</xdr:rowOff>
        </xdr:from>
        <xdr:to>
          <xdr:col>9</xdr:col>
          <xdr:colOff>0</xdr:colOff>
          <xdr:row>13</xdr:row>
          <xdr:rowOff>161925</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10</xdr:row>
          <xdr:rowOff>38100</xdr:rowOff>
        </xdr:from>
        <xdr:to>
          <xdr:col>9</xdr:col>
          <xdr:colOff>0</xdr:colOff>
          <xdr:row>12</xdr:row>
          <xdr:rowOff>0</xdr:rowOff>
        </xdr:to>
        <xdr:sp macro="" textlink="">
          <xdr:nvSpPr>
            <xdr:cNvPr id="2059" name="Drop Down 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0"/>
  <sheetViews>
    <sheetView showGridLines="0" tabSelected="1" workbookViewId="0">
      <selection activeCell="A2" sqref="A2"/>
    </sheetView>
  </sheetViews>
  <sheetFormatPr baseColWidth="10" defaultRowHeight="12.75" x14ac:dyDescent="0.2"/>
  <cols>
    <col min="1" max="1" width="2.85546875" customWidth="1"/>
    <col min="2" max="2" width="91.85546875" customWidth="1"/>
    <col min="3" max="3" width="5" customWidth="1"/>
  </cols>
  <sheetData>
    <row r="1" spans="1:2" s="2" customFormat="1" ht="19.5" x14ac:dyDescent="0.3">
      <c r="A1" s="3" t="s">
        <v>51</v>
      </c>
    </row>
    <row r="2" spans="1:2" s="2" customFormat="1" x14ac:dyDescent="0.2"/>
    <row r="3" spans="1:2" s="23" customFormat="1" x14ac:dyDescent="0.2">
      <c r="A3" s="108" t="s">
        <v>43</v>
      </c>
      <c r="B3" s="109"/>
    </row>
    <row r="4" spans="1:2" ht="6" customHeight="1" x14ac:dyDescent="0.2"/>
    <row r="5" spans="1:2" ht="38.25" x14ac:dyDescent="0.2">
      <c r="B5" s="89" t="s">
        <v>56</v>
      </c>
    </row>
    <row r="6" spans="1:2" x14ac:dyDescent="0.2">
      <c r="B6" s="58"/>
    </row>
    <row r="7" spans="1:2" ht="6" customHeight="1" x14ac:dyDescent="0.2"/>
    <row r="8" spans="1:2" s="23" customFormat="1" x14ac:dyDescent="0.2">
      <c r="A8" s="108" t="s">
        <v>63</v>
      </c>
      <c r="B8" s="109"/>
    </row>
    <row r="9" spans="1:2" ht="6" customHeight="1" x14ac:dyDescent="0.2"/>
    <row r="10" spans="1:2" ht="127.5" x14ac:dyDescent="0.2">
      <c r="B10" s="89" t="s">
        <v>57</v>
      </c>
    </row>
  </sheetData>
  <sheetProtection algorithmName="SHA-512" hashValue="mMejSxeMSpD/t7ry1v23xZ1yk8hgtjLV5oPtb3yRo1+CSl/F/DeYSH4Xfr8Hq4JkHQlkz1a/o8Y5suH63krQLA==" saltValue="iFdxw5lmos8zmpilWS3Mww==" spinCount="100000" sheet="1" objects="1" scenarios="1"/>
  <phoneticPr fontId="0" type="noConversion"/>
  <pageMargins left="0.59055118110236227" right="0.39370078740157483" top="1.3779527559055118" bottom="0.78740157480314965" header="0.39370078740157483" footer="0.39370078740157483"/>
  <pageSetup paperSize="9" orientation="portrait" r:id="rId1"/>
  <headerFooter scaleWithDoc="0">
    <oddHeader>&amp;L&amp;"Arial,Fett"Amt für Volksschule&amp;"Arial,Standard"
Finanzen&amp;R
&amp;G</oddHeader>
    <oddFooter>&amp;L&amp;8&amp;F/AVFIN/avtro&amp;C&amp;8&amp;P/&amp;N&amp;R&amp;8&amp;A/ Druck: &amp;D</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Y59"/>
  <sheetViews>
    <sheetView showGridLines="0" zoomScale="117" workbookViewId="0">
      <selection activeCell="F3" sqref="F3:N3"/>
    </sheetView>
  </sheetViews>
  <sheetFormatPr baseColWidth="10" defaultRowHeight="12.75" x14ac:dyDescent="0.2"/>
  <cols>
    <col min="1" max="2" width="4.140625" style="2" customWidth="1"/>
    <col min="3" max="3" width="13.42578125" style="2" customWidth="1"/>
    <col min="4" max="4" width="7.85546875" style="2" customWidth="1"/>
    <col min="5" max="5" width="1.85546875" style="2" customWidth="1"/>
    <col min="6" max="6" width="7.85546875" style="2" customWidth="1"/>
    <col min="7" max="7" width="6.5703125" style="2" customWidth="1"/>
    <col min="8" max="8" width="1.85546875" style="2" customWidth="1"/>
    <col min="9" max="9" width="6.5703125" style="2" customWidth="1"/>
    <col min="10" max="10" width="13.42578125" style="2" customWidth="1"/>
    <col min="11" max="11" width="7.85546875" style="2" customWidth="1"/>
    <col min="12" max="12" width="1.85546875" style="2" customWidth="1"/>
    <col min="13" max="13" width="7.85546875" style="2" customWidth="1"/>
    <col min="14" max="14" width="9.140625" style="2" customWidth="1"/>
    <col min="15" max="16384" width="11.42578125" style="2"/>
  </cols>
  <sheetData>
    <row r="1" spans="1:14" ht="19.5" x14ac:dyDescent="0.3">
      <c r="A1" s="3" t="s">
        <v>51</v>
      </c>
    </row>
    <row r="2" spans="1:14" x14ac:dyDescent="0.2">
      <c r="A2" s="88" t="s">
        <v>54</v>
      </c>
    </row>
    <row r="3" spans="1:14" x14ac:dyDescent="0.2">
      <c r="A3" s="1" t="s">
        <v>0</v>
      </c>
      <c r="F3" s="113"/>
      <c r="G3" s="113"/>
      <c r="H3" s="113"/>
      <c r="I3" s="113"/>
      <c r="J3" s="113"/>
      <c r="K3" s="113"/>
      <c r="L3" s="113"/>
      <c r="M3" s="113"/>
      <c r="N3" s="113"/>
    </row>
    <row r="4" spans="1:14" x14ac:dyDescent="0.2">
      <c r="A4" s="1"/>
    </row>
    <row r="5" spans="1:14" x14ac:dyDescent="0.2">
      <c r="A5" s="1" t="s">
        <v>44</v>
      </c>
      <c r="F5" s="113"/>
      <c r="G5" s="113"/>
      <c r="H5" s="113"/>
      <c r="I5" s="113"/>
      <c r="J5" s="113"/>
      <c r="K5" s="113"/>
      <c r="L5" s="113"/>
      <c r="M5" s="113"/>
      <c r="N5" s="113"/>
    </row>
    <row r="7" spans="1:14" ht="6" customHeight="1" thickBot="1" x14ac:dyDescent="0.25"/>
    <row r="8" spans="1:14" ht="16.5" thickBot="1" x14ac:dyDescent="0.3">
      <c r="A8" s="41" t="s">
        <v>7</v>
      </c>
      <c r="B8" s="42"/>
      <c r="C8" s="42"/>
      <c r="D8" s="43"/>
      <c r="E8" s="43"/>
      <c r="F8" s="43"/>
      <c r="G8" s="43"/>
      <c r="H8" s="43"/>
      <c r="I8" s="43"/>
      <c r="J8" s="43"/>
      <c r="K8" s="43"/>
      <c r="L8" s="43"/>
      <c r="M8" s="43"/>
      <c r="N8" s="44"/>
    </row>
    <row r="10" spans="1:14" x14ac:dyDescent="0.2">
      <c r="B10" s="48" t="s">
        <v>1</v>
      </c>
      <c r="C10" s="49"/>
      <c r="D10" s="49"/>
      <c r="E10" s="49"/>
      <c r="F10" s="49"/>
      <c r="G10" s="116"/>
      <c r="H10" s="116"/>
      <c r="I10" s="116"/>
    </row>
    <row r="11" spans="1:14" ht="6" customHeight="1" x14ac:dyDescent="0.2">
      <c r="B11" s="51"/>
    </row>
    <row r="12" spans="1:14" x14ac:dyDescent="0.2">
      <c r="B12" s="48" t="s">
        <v>2</v>
      </c>
      <c r="C12" s="49"/>
      <c r="D12" s="49"/>
      <c r="E12" s="49"/>
      <c r="F12" s="49"/>
      <c r="G12" s="117"/>
      <c r="H12" s="117"/>
      <c r="I12" s="117"/>
      <c r="J12" s="85"/>
    </row>
    <row r="13" spans="1:14" ht="6" customHeight="1" x14ac:dyDescent="0.2">
      <c r="B13" s="51"/>
    </row>
    <row r="14" spans="1:14" x14ac:dyDescent="0.2">
      <c r="A14" s="93">
        <v>1</v>
      </c>
      <c r="B14" s="48" t="s">
        <v>3</v>
      </c>
      <c r="C14" s="49"/>
      <c r="D14" s="49"/>
      <c r="E14" s="49"/>
      <c r="F14" s="49"/>
      <c r="G14" s="118" t="str">
        <f>VLOOKUP(A14,Hilfstabelle!E4:G13,3,FALSE)</f>
        <v>bitte auswählen</v>
      </c>
      <c r="H14" s="119"/>
      <c r="I14" s="120"/>
      <c r="N14" s="53">
        <f>IF(G14=0,"",IF(G14=25,2,4))</f>
        <v>4</v>
      </c>
    </row>
    <row r="15" spans="1:14" ht="6" customHeight="1" x14ac:dyDescent="0.2">
      <c r="B15" s="51"/>
    </row>
    <row r="16" spans="1:14" x14ac:dyDescent="0.2">
      <c r="B16" s="51" t="s">
        <v>4</v>
      </c>
      <c r="G16" s="52"/>
      <c r="H16" s="52"/>
      <c r="I16" s="52"/>
    </row>
    <row r="17" spans="3:13" ht="6" customHeight="1" x14ac:dyDescent="0.2"/>
    <row r="18" spans="3:13" x14ac:dyDescent="0.2">
      <c r="D18" s="62" t="s">
        <v>45</v>
      </c>
      <c r="E18" s="63"/>
      <c r="F18" s="63" t="s">
        <v>46</v>
      </c>
      <c r="K18" s="62" t="s">
        <v>45</v>
      </c>
      <c r="L18" s="63"/>
      <c r="M18" s="63" t="s">
        <v>46</v>
      </c>
    </row>
    <row r="19" spans="3:13" x14ac:dyDescent="0.2">
      <c r="C19" s="64" t="s">
        <v>5</v>
      </c>
      <c r="D19" s="65">
        <v>7</v>
      </c>
      <c r="E19" s="66" t="s">
        <v>52</v>
      </c>
      <c r="F19" s="67">
        <v>0.5</v>
      </c>
      <c r="G19" s="35"/>
      <c r="H19" s="84"/>
      <c r="I19" s="91"/>
      <c r="J19" s="68" t="str">
        <f>IF(G12="","",YEAR(G12)-3)</f>
        <v/>
      </c>
      <c r="K19" s="94"/>
      <c r="L19" s="69" t="str">
        <f>IF(K19=""," ","à")</f>
        <v xml:space="preserve"> </v>
      </c>
      <c r="M19" s="97"/>
    </row>
    <row r="20" spans="3:13" x14ac:dyDescent="0.2">
      <c r="C20" s="70"/>
      <c r="D20" s="71">
        <v>5</v>
      </c>
      <c r="E20" s="72" t="s">
        <v>52</v>
      </c>
      <c r="F20" s="73">
        <v>0.8</v>
      </c>
      <c r="G20" s="35"/>
      <c r="H20" s="84"/>
      <c r="I20" s="91"/>
      <c r="J20" s="35"/>
      <c r="K20" s="95"/>
      <c r="L20" s="74" t="str">
        <f>IF(K20=""," ","à")</f>
        <v xml:space="preserve"> </v>
      </c>
      <c r="M20" s="98"/>
    </row>
    <row r="21" spans="3:13" x14ac:dyDescent="0.2">
      <c r="C21" s="70"/>
      <c r="D21" s="71"/>
      <c r="E21" s="72"/>
      <c r="F21" s="73"/>
      <c r="G21" s="35"/>
      <c r="H21" s="84"/>
      <c r="I21" s="91"/>
      <c r="J21" s="35"/>
      <c r="K21" s="95"/>
      <c r="L21" s="74" t="str">
        <f>IF(K21=""," ","à")</f>
        <v xml:space="preserve"> </v>
      </c>
      <c r="M21" s="98"/>
    </row>
    <row r="22" spans="3:13" x14ac:dyDescent="0.2">
      <c r="C22" s="75"/>
      <c r="D22" s="76"/>
      <c r="E22" s="77"/>
      <c r="F22" s="78"/>
      <c r="G22" s="35"/>
      <c r="H22" s="84"/>
      <c r="I22" s="91"/>
      <c r="J22" s="37"/>
      <c r="K22" s="96"/>
      <c r="L22" s="79" t="str">
        <f>IF(K22=""," ","à")</f>
        <v xml:space="preserve"> </v>
      </c>
      <c r="M22" s="99"/>
    </row>
    <row r="23" spans="3:13" x14ac:dyDescent="0.2">
      <c r="C23" s="80" t="s">
        <v>47</v>
      </c>
      <c r="D23" s="81">
        <f>SUM(D19:D22)</f>
        <v>12</v>
      </c>
      <c r="E23" s="82" t="s">
        <v>52</v>
      </c>
      <c r="F23" s="83">
        <f>IF(SUM(F19:F22)=0,0,((D19*F19)+(D20*F20)+(D21*F21)+(D22*F22))/D23)</f>
        <v>0.625</v>
      </c>
      <c r="G23" s="23"/>
      <c r="H23" s="84"/>
      <c r="I23" s="84"/>
      <c r="J23" s="80" t="s">
        <v>47</v>
      </c>
      <c r="K23" s="100">
        <f>SUM(K19:K22)</f>
        <v>0</v>
      </c>
      <c r="L23" s="101" t="s">
        <v>52</v>
      </c>
      <c r="M23" s="102">
        <f>IF(SUM(M19:M22)=0,0,((K19*M19)+(K20*M20)+(K21*M21)+(K22*M22))/K23)</f>
        <v>0</v>
      </c>
    </row>
    <row r="24" spans="3:13" ht="6" customHeight="1" x14ac:dyDescent="0.2">
      <c r="G24" s="23"/>
      <c r="H24" s="23"/>
      <c r="I24" s="23"/>
    </row>
    <row r="25" spans="3:13" x14ac:dyDescent="0.2">
      <c r="C25" s="68" t="str">
        <f>IF(G12="","",YEAR(G12)-1)</f>
        <v/>
      </c>
      <c r="D25" s="94"/>
      <c r="E25" s="69" t="str">
        <f>IF(D25=""," ","à")</f>
        <v xml:space="preserve"> </v>
      </c>
      <c r="F25" s="97"/>
      <c r="G25" s="35"/>
      <c r="H25" s="84"/>
      <c r="I25" s="91"/>
      <c r="J25" s="68" t="str">
        <f>IF(G12="","",YEAR(G12)-4)</f>
        <v/>
      </c>
      <c r="K25" s="94"/>
      <c r="L25" s="69" t="str">
        <f>IF(K25=""," ","à")</f>
        <v xml:space="preserve"> </v>
      </c>
      <c r="M25" s="97"/>
    </row>
    <row r="26" spans="3:13" x14ac:dyDescent="0.2">
      <c r="C26" s="35"/>
      <c r="D26" s="95"/>
      <c r="E26" s="74" t="str">
        <f>IF(D26=""," ","à")</f>
        <v xml:space="preserve"> </v>
      </c>
      <c r="F26" s="98"/>
      <c r="G26" s="35"/>
      <c r="H26" s="84"/>
      <c r="I26" s="91"/>
      <c r="J26" s="35"/>
      <c r="K26" s="95"/>
      <c r="L26" s="74" t="str">
        <f>IF(K26=""," ","à")</f>
        <v xml:space="preserve"> </v>
      </c>
      <c r="M26" s="98"/>
    </row>
    <row r="27" spans="3:13" x14ac:dyDescent="0.2">
      <c r="C27" s="35"/>
      <c r="D27" s="95"/>
      <c r="E27" s="74" t="str">
        <f>IF(D27=""," ","à")</f>
        <v xml:space="preserve"> </v>
      </c>
      <c r="F27" s="98"/>
      <c r="G27" s="35"/>
      <c r="H27" s="84"/>
      <c r="I27" s="91"/>
      <c r="J27" s="35"/>
      <c r="K27" s="95"/>
      <c r="L27" s="74" t="str">
        <f>IF(K27=""," ","à")</f>
        <v xml:space="preserve"> </v>
      </c>
      <c r="M27" s="98"/>
    </row>
    <row r="28" spans="3:13" x14ac:dyDescent="0.2">
      <c r="C28" s="37"/>
      <c r="D28" s="96"/>
      <c r="E28" s="79" t="str">
        <f>IF(D28=""," ","à")</f>
        <v xml:space="preserve"> </v>
      </c>
      <c r="F28" s="99"/>
      <c r="G28" s="35"/>
      <c r="H28" s="84"/>
      <c r="I28" s="91"/>
      <c r="J28" s="37"/>
      <c r="K28" s="96"/>
      <c r="L28" s="79" t="str">
        <f>IF(K28=""," ","à")</f>
        <v xml:space="preserve"> </v>
      </c>
      <c r="M28" s="99"/>
    </row>
    <row r="29" spans="3:13" x14ac:dyDescent="0.2">
      <c r="C29" s="80" t="s">
        <v>47</v>
      </c>
      <c r="D29" s="100">
        <f>SUM(D25:D28)</f>
        <v>0</v>
      </c>
      <c r="E29" s="101" t="s">
        <v>52</v>
      </c>
      <c r="F29" s="102">
        <f>IF(SUM(F25:F28)=0,0,((D25*F25)+(D26*F26)+(D27*F27)+(D28*F28))/D29)</f>
        <v>0</v>
      </c>
      <c r="G29" s="23"/>
      <c r="H29" s="84"/>
      <c r="I29" s="84"/>
      <c r="J29" s="80" t="s">
        <v>47</v>
      </c>
      <c r="K29" s="100">
        <f>SUM(K25:K28)</f>
        <v>0</v>
      </c>
      <c r="L29" s="101" t="s">
        <v>52</v>
      </c>
      <c r="M29" s="102">
        <f>IF(SUM(M25:M28)=0,0,((K25*M25)+(K26*M26)+(K27*M27)+(K28*M28))/K29)</f>
        <v>0</v>
      </c>
    </row>
    <row r="30" spans="3:13" ht="6" customHeight="1" x14ac:dyDescent="0.2">
      <c r="G30" s="23"/>
      <c r="H30" s="23"/>
      <c r="I30" s="23"/>
    </row>
    <row r="31" spans="3:13" x14ac:dyDescent="0.2">
      <c r="C31" s="68" t="str">
        <f>IF(G12="","",YEAR(G12)-2)</f>
        <v/>
      </c>
      <c r="D31" s="94"/>
      <c r="E31" s="69" t="str">
        <f>IF(D31=""," ","à")</f>
        <v xml:space="preserve"> </v>
      </c>
      <c r="F31" s="97"/>
      <c r="G31" s="35"/>
      <c r="H31" s="84"/>
      <c r="I31" s="91"/>
      <c r="J31" s="68" t="str">
        <f>IF(G12="","",YEAR(G12)-5)</f>
        <v/>
      </c>
      <c r="K31" s="94"/>
      <c r="L31" s="69" t="str">
        <f>IF(K31=""," ","à")</f>
        <v xml:space="preserve"> </v>
      </c>
      <c r="M31" s="97"/>
    </row>
    <row r="32" spans="3:13" x14ac:dyDescent="0.2">
      <c r="C32" s="35"/>
      <c r="D32" s="95"/>
      <c r="E32" s="74" t="str">
        <f>IF(D32=""," ","à")</f>
        <v xml:space="preserve"> </v>
      </c>
      <c r="F32" s="98"/>
      <c r="G32" s="35"/>
      <c r="H32" s="84"/>
      <c r="I32" s="91"/>
      <c r="J32" s="35"/>
      <c r="K32" s="95"/>
      <c r="L32" s="74" t="str">
        <f>IF(K32=""," ","à")</f>
        <v xml:space="preserve"> </v>
      </c>
      <c r="M32" s="98"/>
    </row>
    <row r="33" spans="1:14" x14ac:dyDescent="0.2">
      <c r="C33" s="35"/>
      <c r="D33" s="95"/>
      <c r="E33" s="74" t="str">
        <f>IF(D33=""," ","à")</f>
        <v xml:space="preserve"> </v>
      </c>
      <c r="F33" s="98"/>
      <c r="G33" s="35"/>
      <c r="H33" s="84"/>
      <c r="I33" s="91"/>
      <c r="J33" s="35"/>
      <c r="K33" s="95"/>
      <c r="L33" s="74" t="str">
        <f>IF(K33=""," ","à")</f>
        <v xml:space="preserve"> </v>
      </c>
      <c r="M33" s="98"/>
    </row>
    <row r="34" spans="1:14" x14ac:dyDescent="0.2">
      <c r="C34" s="37"/>
      <c r="D34" s="96"/>
      <c r="E34" s="79" t="str">
        <f>IF(D34=""," ","à")</f>
        <v xml:space="preserve"> </v>
      </c>
      <c r="F34" s="99"/>
      <c r="G34" s="35"/>
      <c r="H34" s="84"/>
      <c r="I34" s="91"/>
      <c r="J34" s="37"/>
      <c r="K34" s="96"/>
      <c r="L34" s="79" t="str">
        <f>IF(K34=""," ","à")</f>
        <v xml:space="preserve"> </v>
      </c>
      <c r="M34" s="99"/>
    </row>
    <row r="35" spans="1:14" x14ac:dyDescent="0.2">
      <c r="C35" s="80" t="s">
        <v>47</v>
      </c>
      <c r="D35" s="100">
        <f>SUM(D31:D34)</f>
        <v>0</v>
      </c>
      <c r="E35" s="101" t="s">
        <v>52</v>
      </c>
      <c r="F35" s="102">
        <f>IF(SUM(F31:F34)=0,0,((D31*F31)+(D32*F32)+(D33*F33)+(D34*F34))/D35)</f>
        <v>0</v>
      </c>
      <c r="G35" s="23"/>
      <c r="H35" s="84"/>
      <c r="I35" s="84"/>
      <c r="J35" s="80" t="s">
        <v>47</v>
      </c>
      <c r="K35" s="100">
        <f>SUM(K31:K34)</f>
        <v>0</v>
      </c>
      <c r="L35" s="101" t="s">
        <v>52</v>
      </c>
      <c r="M35" s="102">
        <f>IF(SUM(M31:M34)=0,0,((K31*M31)+(K32*M32)+(K33*M33)+(K34*M34))/K35)</f>
        <v>0</v>
      </c>
    </row>
    <row r="37" spans="1:14" x14ac:dyDescent="0.2">
      <c r="C37" s="56" t="s">
        <v>8</v>
      </c>
      <c r="D37" s="49"/>
      <c r="E37" s="49"/>
      <c r="F37" s="49"/>
      <c r="G37" s="121">
        <f>IF((D29+D35+K35+K29+K23)=0,100%,((D29*F29)+(D35*F35)+(K23*M23)+(K29*M29)+(K35*M35))/(D29+D35+K35+K29+K23))</f>
        <v>1</v>
      </c>
      <c r="H37" s="121"/>
      <c r="I37" s="121"/>
    </row>
    <row r="39" spans="1:14" ht="6" customHeight="1" thickBot="1" x14ac:dyDescent="0.25"/>
    <row r="40" spans="1:14" ht="16.5" thickBot="1" x14ac:dyDescent="0.3">
      <c r="A40" s="41" t="s">
        <v>9</v>
      </c>
      <c r="B40" s="42"/>
      <c r="C40" s="42"/>
      <c r="D40" s="43"/>
      <c r="E40" s="43"/>
      <c r="F40" s="43"/>
      <c r="G40" s="43"/>
      <c r="H40" s="43"/>
      <c r="I40" s="43"/>
      <c r="J40" s="43"/>
      <c r="K40" s="43"/>
      <c r="L40" s="43"/>
      <c r="M40" s="43"/>
      <c r="N40" s="44"/>
    </row>
    <row r="42" spans="1:14" x14ac:dyDescent="0.2">
      <c r="B42" s="48" t="s">
        <v>10</v>
      </c>
      <c r="C42" s="49"/>
      <c r="D42" s="49"/>
      <c r="E42" s="49"/>
      <c r="F42" s="49"/>
      <c r="G42" s="114">
        <f>IF(N14="","",ROUND(G10/12/N14*20,0)/20)</f>
        <v>0</v>
      </c>
      <c r="H42" s="114"/>
      <c r="I42" s="114"/>
      <c r="J42" s="103" t="s">
        <v>50</v>
      </c>
      <c r="K42" s="122">
        <f>IF(G14=0,0,IF(G14=25,11,5.5))</f>
        <v>5.5</v>
      </c>
      <c r="L42" s="122"/>
      <c r="M42" s="52"/>
    </row>
    <row r="44" spans="1:14" x14ac:dyDescent="0.2">
      <c r="B44" s="56" t="s">
        <v>11</v>
      </c>
      <c r="C44" s="56"/>
      <c r="D44" s="48"/>
      <c r="E44" s="48"/>
      <c r="F44" s="48"/>
      <c r="G44" s="115">
        <f>IF(ISERROR(G42/100%*G37),0,ROUND(G42/100%*G37*20,0)/20)</f>
        <v>0</v>
      </c>
      <c r="H44" s="115"/>
      <c r="I44" s="115"/>
      <c r="J44" s="103" t="s">
        <v>50</v>
      </c>
      <c r="K44" s="123">
        <f>IF(G14=0,0,IF(G14=25,11,5.5))</f>
        <v>5.5</v>
      </c>
      <c r="L44" s="123"/>
      <c r="M44" s="61" t="str">
        <f>CONCATENATE("zu ",TEXT(G37,"0%"))</f>
        <v>zu 100%</v>
      </c>
    </row>
    <row r="46" spans="1:14" x14ac:dyDescent="0.2">
      <c r="B46" s="49" t="s">
        <v>48</v>
      </c>
      <c r="C46" s="49"/>
      <c r="D46" s="49"/>
      <c r="E46" s="49"/>
      <c r="F46" s="49"/>
      <c r="G46" s="124"/>
      <c r="H46" s="124"/>
      <c r="I46" s="124"/>
      <c r="J46" s="87" t="str">
        <f>CONCATENATE("Urlaubstage zu ",TEXT(G37,"0.0 %"), " (minimal ",K44,", maximal ",K44*2,")")</f>
        <v>Urlaubstage zu 100.0 % (minimal 5.5, maximal 11)</v>
      </c>
    </row>
    <row r="47" spans="1:14" ht="6" customHeight="1" x14ac:dyDescent="0.2">
      <c r="J47" s="1"/>
    </row>
    <row r="48" spans="1:14" x14ac:dyDescent="0.2">
      <c r="G48" s="115" t="str">
        <f>IF(G46="","",G44/(K44*2)*(((K44*2)-G46)*2))</f>
        <v/>
      </c>
      <c r="H48" s="115"/>
      <c r="I48" s="115"/>
      <c r="J48" s="87" t="s">
        <v>53</v>
      </c>
    </row>
    <row r="49" spans="2:25" ht="6" customHeight="1" x14ac:dyDescent="0.2"/>
    <row r="50" spans="2:25" x14ac:dyDescent="0.2">
      <c r="G50" s="125" t="str">
        <f>IF(G48="","",G48/13*12)</f>
        <v/>
      </c>
      <c r="H50" s="125"/>
      <c r="I50" s="125"/>
      <c r="J50" s="61" t="s">
        <v>60</v>
      </c>
    </row>
    <row r="52" spans="2:25" x14ac:dyDescent="0.2">
      <c r="B52" s="2" t="s">
        <v>49</v>
      </c>
    </row>
    <row r="53" spans="2:25" ht="6" customHeight="1" x14ac:dyDescent="0.2"/>
    <row r="54" spans="2:25" x14ac:dyDescent="0.2">
      <c r="B54" s="110"/>
      <c r="C54" s="110"/>
      <c r="D54" s="110"/>
      <c r="E54" s="110"/>
      <c r="F54" s="110"/>
      <c r="G54" s="110"/>
      <c r="H54" s="110"/>
      <c r="I54" s="110"/>
      <c r="J54" s="110"/>
      <c r="K54" s="110"/>
      <c r="L54" s="110"/>
      <c r="M54" s="110"/>
    </row>
    <row r="55" spans="2:25" x14ac:dyDescent="0.2">
      <c r="B55" s="110"/>
      <c r="C55" s="110"/>
      <c r="D55" s="110"/>
      <c r="E55" s="110"/>
      <c r="F55" s="110"/>
      <c r="G55" s="110"/>
      <c r="H55" s="110"/>
      <c r="I55" s="110"/>
      <c r="J55" s="110"/>
      <c r="K55" s="110"/>
      <c r="L55" s="110"/>
      <c r="M55" s="110"/>
    </row>
    <row r="56" spans="2:25" x14ac:dyDescent="0.2">
      <c r="B56" s="110"/>
      <c r="C56" s="110"/>
      <c r="D56" s="110"/>
      <c r="E56" s="110"/>
      <c r="F56" s="110"/>
      <c r="G56" s="110"/>
      <c r="H56" s="110"/>
      <c r="I56" s="110"/>
      <c r="J56" s="110"/>
      <c r="K56" s="110"/>
      <c r="L56" s="110"/>
      <c r="M56" s="110"/>
    </row>
    <row r="57" spans="2:25" x14ac:dyDescent="0.2">
      <c r="B57" s="110"/>
      <c r="C57" s="110"/>
      <c r="D57" s="110"/>
      <c r="E57" s="110"/>
      <c r="F57" s="110"/>
      <c r="G57" s="110"/>
      <c r="H57" s="110"/>
      <c r="I57" s="110"/>
      <c r="J57" s="110"/>
      <c r="K57" s="110"/>
      <c r="L57" s="110"/>
      <c r="M57" s="110"/>
    </row>
    <row r="59" spans="2:25" x14ac:dyDescent="0.2">
      <c r="B59" s="48" t="s">
        <v>61</v>
      </c>
      <c r="C59" s="49"/>
      <c r="D59" s="111"/>
      <c r="E59" s="111"/>
      <c r="F59" s="111"/>
      <c r="G59" s="111"/>
      <c r="H59" s="111"/>
      <c r="I59" s="107"/>
      <c r="J59" s="48" t="s">
        <v>62</v>
      </c>
      <c r="K59" s="112"/>
      <c r="L59" s="112"/>
      <c r="M59" s="112"/>
      <c r="O59" s="46"/>
      <c r="Q59" s="23"/>
      <c r="R59" s="23"/>
      <c r="S59" s="23"/>
      <c r="T59" s="23"/>
      <c r="U59" s="23"/>
      <c r="V59" s="23"/>
      <c r="W59" s="23"/>
      <c r="X59" s="23"/>
      <c r="Y59" s="23"/>
    </row>
  </sheetData>
  <sheetProtection password="C6E4" sheet="1" objects="1" scenarios="1"/>
  <mergeCells count="16">
    <mergeCell ref="B54:M57"/>
    <mergeCell ref="D59:H59"/>
    <mergeCell ref="K59:M59"/>
    <mergeCell ref="F3:N3"/>
    <mergeCell ref="F5:N5"/>
    <mergeCell ref="G42:I42"/>
    <mergeCell ref="G44:I44"/>
    <mergeCell ref="G10:I10"/>
    <mergeCell ref="G12:I12"/>
    <mergeCell ref="G14:I14"/>
    <mergeCell ref="G37:I37"/>
    <mergeCell ref="K42:L42"/>
    <mergeCell ref="K44:L44"/>
    <mergeCell ref="G46:I46"/>
    <mergeCell ref="G50:I50"/>
    <mergeCell ref="G48:I48"/>
  </mergeCells>
  <phoneticPr fontId="0" type="noConversion"/>
  <conditionalFormatting sqref="D25:D28 F25:F28 D31:D34 F31:F34 K19:K22 M19:M22 K25:K28 M25:M28 K31:K34 M31:M34">
    <cfRule type="expression" dxfId="5" priority="1" stopIfTrue="1">
      <formula>$C$25=""</formula>
    </cfRule>
  </conditionalFormatting>
  <dataValidations count="1">
    <dataValidation type="decimal" errorStyle="information" allowBlank="1" showErrorMessage="1" errorTitle="Falsche Anzahl Urlaubstage" error="Falsche Anzahl Urlaubstage" sqref="G46:I46">
      <formula1>K44</formula1>
      <formula2>K44*2</formula2>
    </dataValidation>
  </dataValidations>
  <pageMargins left="0.59055118110236227" right="0.39370078740157483" top="1.3779527559055118" bottom="0.78740157480314965" header="0.39370078740157483" footer="0.39370078740157483"/>
  <pageSetup paperSize="9" orientation="portrait" r:id="rId1"/>
  <headerFooter scaleWithDoc="0">
    <oddHeader>&amp;L&amp;"Arial,Fett"Amt für Volksschule&amp;"Arial,Standard"
Finanzen&amp;R
&amp;G</oddHeader>
    <oddFooter>&amp;L&amp;8&amp;F/AVKIN/avtro&amp;C&amp;8&amp;P/&amp;N&amp;R&amp;8&amp;A/ Druck: &amp;D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Drop Down 5">
              <controlPr defaultSize="0" print="0" autoLine="0" autoPict="0">
                <anchor moveWithCells="1">
                  <from>
                    <xdr:col>6</xdr:col>
                    <xdr:colOff>0</xdr:colOff>
                    <xdr:row>12</xdr:row>
                    <xdr:rowOff>38100</xdr:rowOff>
                  </from>
                  <to>
                    <xdr:col>9</xdr:col>
                    <xdr:colOff>0</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Z67"/>
  <sheetViews>
    <sheetView showGridLines="0" zoomScale="117" workbookViewId="0">
      <selection activeCell="F3" sqref="F3:N3"/>
    </sheetView>
  </sheetViews>
  <sheetFormatPr baseColWidth="10" defaultRowHeight="12.75" x14ac:dyDescent="0.2"/>
  <cols>
    <col min="1" max="2" width="4.140625" style="2" customWidth="1"/>
    <col min="3" max="3" width="13.42578125" style="2" customWidth="1"/>
    <col min="4" max="4" width="7.7109375" style="2" customWidth="1"/>
    <col min="5" max="5" width="1.85546875" style="2" customWidth="1"/>
    <col min="6" max="6" width="7.7109375" style="2" customWidth="1"/>
    <col min="7" max="7" width="6.5703125" style="2" customWidth="1"/>
    <col min="8" max="8" width="1.85546875" style="2" customWidth="1"/>
    <col min="9" max="9" width="6.5703125" style="2" customWidth="1"/>
    <col min="10" max="10" width="13.42578125" style="2" customWidth="1"/>
    <col min="11" max="11" width="7.7109375" style="2" customWidth="1"/>
    <col min="12" max="12" width="1.85546875" style="2" customWidth="1"/>
    <col min="13" max="13" width="7.7109375" style="2" customWidth="1"/>
    <col min="14" max="14" width="9.85546875" style="2" customWidth="1"/>
    <col min="15" max="15" width="11.42578125" style="46"/>
    <col min="16" max="16" width="11.42578125" style="2"/>
    <col min="17" max="19" width="7.5703125" style="23" hidden="1" customWidth="1"/>
    <col min="20" max="20" width="4.28515625" style="23" hidden="1" customWidth="1"/>
    <col min="21" max="23" width="7.7109375" style="23" hidden="1" customWidth="1"/>
    <col min="24" max="25" width="11.42578125" style="23"/>
    <col min="26" max="16384" width="11.42578125" style="2"/>
  </cols>
  <sheetData>
    <row r="1" spans="1:26" ht="19.5" x14ac:dyDescent="0.3">
      <c r="A1" s="3" t="s">
        <v>51</v>
      </c>
    </row>
    <row r="2" spans="1:26" x14ac:dyDescent="0.2">
      <c r="A2" s="88" t="s">
        <v>54</v>
      </c>
    </row>
    <row r="3" spans="1:26" x14ac:dyDescent="0.2">
      <c r="A3" s="1" t="s">
        <v>0</v>
      </c>
      <c r="F3" s="126"/>
      <c r="G3" s="126"/>
      <c r="H3" s="126"/>
      <c r="I3" s="126"/>
      <c r="J3" s="126"/>
      <c r="K3" s="126"/>
      <c r="L3" s="126"/>
      <c r="M3" s="126"/>
      <c r="N3" s="126"/>
      <c r="O3" s="47"/>
    </row>
    <row r="4" spans="1:26" x14ac:dyDescent="0.2">
      <c r="A4" s="1"/>
    </row>
    <row r="5" spans="1:26" x14ac:dyDescent="0.2">
      <c r="A5" s="1" t="s">
        <v>44</v>
      </c>
      <c r="F5" s="126"/>
      <c r="G5" s="126"/>
      <c r="H5" s="126"/>
      <c r="I5" s="126"/>
      <c r="J5" s="126"/>
      <c r="K5" s="126"/>
      <c r="L5" s="126"/>
      <c r="M5" s="126"/>
      <c r="N5" s="126"/>
      <c r="O5" s="47"/>
    </row>
    <row r="7" spans="1:26" ht="6" customHeight="1" thickBot="1" x14ac:dyDescent="0.25"/>
    <row r="8" spans="1:26" ht="16.5" thickBot="1" x14ac:dyDescent="0.3">
      <c r="A8" s="41" t="s">
        <v>7</v>
      </c>
      <c r="B8" s="42"/>
      <c r="C8" s="42"/>
      <c r="D8" s="43"/>
      <c r="E8" s="43"/>
      <c r="F8" s="43"/>
      <c r="G8" s="43"/>
      <c r="H8" s="43"/>
      <c r="I8" s="43"/>
      <c r="J8" s="43"/>
      <c r="K8" s="43"/>
      <c r="L8" s="43"/>
      <c r="M8" s="43"/>
      <c r="N8" s="44"/>
      <c r="O8" s="45"/>
    </row>
    <row r="9" spans="1:26" x14ac:dyDescent="0.2">
      <c r="Z9" s="23"/>
    </row>
    <row r="10" spans="1:26" x14ac:dyDescent="0.2">
      <c r="B10" s="48" t="s">
        <v>1</v>
      </c>
      <c r="C10" s="49"/>
      <c r="D10" s="49"/>
      <c r="E10" s="49"/>
      <c r="F10" s="49"/>
      <c r="G10" s="116"/>
      <c r="H10" s="126"/>
      <c r="I10" s="126"/>
      <c r="J10" s="23"/>
      <c r="K10" s="50"/>
      <c r="L10" s="50"/>
      <c r="Z10" s="23"/>
    </row>
    <row r="11" spans="1:26" ht="6" customHeight="1" x14ac:dyDescent="0.2">
      <c r="B11" s="51"/>
      <c r="J11" s="23"/>
      <c r="Z11" s="23"/>
    </row>
    <row r="12" spans="1:26" x14ac:dyDescent="0.2">
      <c r="A12" s="93">
        <v>4</v>
      </c>
      <c r="B12" s="48" t="s">
        <v>35</v>
      </c>
      <c r="C12" s="49"/>
      <c r="D12" s="49"/>
      <c r="E12" s="49"/>
      <c r="F12" s="49"/>
      <c r="G12" s="118">
        <f>VLOOKUP(A12,Hilfstabelle!E4:G13,3,FALSE)</f>
        <v>20</v>
      </c>
      <c r="H12" s="119"/>
      <c r="I12" s="120"/>
      <c r="J12" s="23"/>
      <c r="K12" s="52"/>
      <c r="L12" s="52"/>
      <c r="O12" s="53"/>
      <c r="P12" s="90"/>
      <c r="Q12" s="26" t="s">
        <v>36</v>
      </c>
      <c r="R12" s="27"/>
      <c r="S12" s="27"/>
      <c r="T12" s="27"/>
      <c r="U12" s="27" t="s">
        <v>37</v>
      </c>
      <c r="V12" s="27"/>
      <c r="W12" s="28"/>
      <c r="Z12" s="23"/>
    </row>
    <row r="13" spans="1:26" ht="6" customHeight="1" x14ac:dyDescent="0.2">
      <c r="B13" s="51"/>
      <c r="J13" s="23"/>
      <c r="Q13" s="35"/>
      <c r="W13" s="32"/>
      <c r="Z13" s="23"/>
    </row>
    <row r="14" spans="1:26" x14ac:dyDescent="0.2">
      <c r="B14" s="48" t="s">
        <v>33</v>
      </c>
      <c r="C14" s="49"/>
      <c r="D14" s="49"/>
      <c r="E14" s="49"/>
      <c r="F14" s="49"/>
      <c r="G14" s="128">
        <f>IF(G12="bitte auswählen",0,G12+5)</f>
        <v>25</v>
      </c>
      <c r="H14" s="129"/>
      <c r="I14" s="129"/>
      <c r="J14" s="23"/>
      <c r="K14" s="54"/>
      <c r="L14" s="54"/>
      <c r="N14" s="53">
        <f>IF(G14=0,"",IF(G14=25,2,4))</f>
        <v>2</v>
      </c>
      <c r="Q14" s="29" t="s">
        <v>38</v>
      </c>
      <c r="R14" s="22" t="s">
        <v>15</v>
      </c>
      <c r="S14" s="22" t="s">
        <v>39</v>
      </c>
      <c r="U14" s="22" t="s">
        <v>38</v>
      </c>
      <c r="V14" s="22" t="s">
        <v>15</v>
      </c>
      <c r="W14" s="30" t="s">
        <v>39</v>
      </c>
      <c r="Z14" s="23"/>
    </row>
    <row r="15" spans="1:26" ht="6" customHeight="1" x14ac:dyDescent="0.2">
      <c r="B15" s="51"/>
      <c r="J15" s="23"/>
      <c r="Q15" s="35"/>
      <c r="W15" s="32"/>
      <c r="Z15" s="23"/>
    </row>
    <row r="16" spans="1:26" x14ac:dyDescent="0.2">
      <c r="B16" s="48" t="s">
        <v>58</v>
      </c>
      <c r="C16" s="49"/>
      <c r="D16" s="49"/>
      <c r="E16" s="49"/>
      <c r="F16" s="49"/>
      <c r="G16" s="117"/>
      <c r="H16" s="126"/>
      <c r="I16" s="126"/>
      <c r="J16" s="23"/>
      <c r="Q16" s="31">
        <f>DAY(G16)</f>
        <v>0</v>
      </c>
      <c r="R16" s="24">
        <f>MONTH(G16)</f>
        <v>1</v>
      </c>
      <c r="S16" s="24">
        <f>YEAR(G16)</f>
        <v>1900</v>
      </c>
      <c r="T16" s="25"/>
      <c r="U16" s="23">
        <v>1</v>
      </c>
      <c r="V16" s="23">
        <f>IF(Q16=1,R16,IF(AND(Q16&lt;&gt;1,R16+1=13),1,IF(Q16&lt;&gt;1,R16+1,"Fehler")))</f>
        <v>2</v>
      </c>
      <c r="W16" s="32">
        <f>IF(AND(Q16&lt;&gt;1,R16+1=13),S16+1,S16)</f>
        <v>1900</v>
      </c>
      <c r="Z16" s="23"/>
    </row>
    <row r="17" spans="2:26" ht="6" customHeight="1" x14ac:dyDescent="0.2">
      <c r="B17" s="51"/>
      <c r="J17" s="23"/>
      <c r="Q17" s="35"/>
      <c r="W17" s="32"/>
      <c r="Z17" s="23"/>
    </row>
    <row r="18" spans="2:26" x14ac:dyDescent="0.2">
      <c r="B18" s="48" t="s">
        <v>12</v>
      </c>
      <c r="C18" s="49"/>
      <c r="D18" s="49"/>
      <c r="E18" s="49"/>
      <c r="F18" s="49"/>
      <c r="G18" s="117"/>
      <c r="H18" s="126"/>
      <c r="I18" s="126"/>
      <c r="J18" s="86" t="str">
        <f>IF(G46="","",CONCATENATE("ergibt ",G46," anzurechnende Monate"))</f>
        <v/>
      </c>
      <c r="K18" s="55"/>
      <c r="L18" s="55"/>
      <c r="Q18" s="31">
        <f>DAY(G18)</f>
        <v>0</v>
      </c>
      <c r="R18" s="24">
        <f>MONTH(G18)</f>
        <v>1</v>
      </c>
      <c r="S18" s="24">
        <f>YEAR(G18)</f>
        <v>1900</v>
      </c>
      <c r="U18" s="23">
        <f>IF(Q18&gt;31,"Fehler",IF(Q18&gt;=28,Q18,IF(AND(Q18&lt;28,R18=1),31,IF(Q18&lt;28,VLOOKUP(R18-1,Hilfstabelle!B2:C14,2)))))</f>
        <v>31</v>
      </c>
      <c r="V18" s="23">
        <f>IF(AND(Q18&lt;28,R18=1),12,IF(Q18&lt;28,R18-1,R18))</f>
        <v>12</v>
      </c>
      <c r="W18" s="32">
        <f>IF(AND(Q18&lt;28,R18=1),S18-1,S18)</f>
        <v>1899</v>
      </c>
      <c r="Z18" s="23"/>
    </row>
    <row r="19" spans="2:26" ht="6" customHeight="1" x14ac:dyDescent="0.2">
      <c r="B19" s="51"/>
      <c r="Q19" s="37"/>
      <c r="R19" s="38"/>
      <c r="S19" s="38"/>
      <c r="T19" s="38"/>
      <c r="U19" s="38"/>
      <c r="V19" s="38"/>
      <c r="W19" s="39"/>
      <c r="Z19" s="23"/>
    </row>
    <row r="20" spans="2:26" x14ac:dyDescent="0.2">
      <c r="B20" s="51" t="s">
        <v>4</v>
      </c>
      <c r="G20" s="52"/>
      <c r="H20" s="52"/>
      <c r="I20" s="52"/>
      <c r="Q20" s="24"/>
      <c r="U20" s="33"/>
      <c r="V20" s="34" t="s">
        <v>40</v>
      </c>
      <c r="W20" s="28" t="s">
        <v>41</v>
      </c>
      <c r="Z20" s="23"/>
    </row>
    <row r="21" spans="2:26" ht="6" customHeight="1" x14ac:dyDescent="0.2">
      <c r="Q21" s="24"/>
      <c r="U21" s="35"/>
      <c r="W21" s="32"/>
      <c r="Z21" s="23"/>
    </row>
    <row r="22" spans="2:26" x14ac:dyDescent="0.2">
      <c r="D22" s="62" t="s">
        <v>45</v>
      </c>
      <c r="E22" s="63"/>
      <c r="F22" s="63" t="s">
        <v>46</v>
      </c>
      <c r="K22" s="62" t="s">
        <v>45</v>
      </c>
      <c r="L22" s="63"/>
      <c r="M22" s="63" t="s">
        <v>46</v>
      </c>
      <c r="Q22" s="24"/>
      <c r="U22" s="35"/>
      <c r="V22" s="23">
        <f>V18-V16+1</f>
        <v>11</v>
      </c>
      <c r="W22" s="32">
        <f>W18-W16</f>
        <v>-1</v>
      </c>
      <c r="Z22" s="23"/>
    </row>
    <row r="23" spans="2:26" x14ac:dyDescent="0.2">
      <c r="C23" s="64" t="s">
        <v>5</v>
      </c>
      <c r="D23" s="65">
        <v>7</v>
      </c>
      <c r="E23" s="66" t="s">
        <v>52</v>
      </c>
      <c r="F23" s="67">
        <v>0.5</v>
      </c>
      <c r="G23" s="35"/>
      <c r="H23" s="84"/>
      <c r="I23" s="91"/>
      <c r="J23" s="68" t="str">
        <f>IF(G18="","",IF(C35="","",IF(YEAR(G16)&gt;C35-1,"",YEAR(G18)-3)))</f>
        <v/>
      </c>
      <c r="K23" s="94"/>
      <c r="L23" s="69" t="str">
        <f>IF(K23=""," ","à")</f>
        <v xml:space="preserve"> </v>
      </c>
      <c r="M23" s="97"/>
      <c r="Q23" s="24"/>
      <c r="U23" s="36" t="s">
        <v>42</v>
      </c>
      <c r="W23" s="32"/>
      <c r="Z23" s="23"/>
    </row>
    <row r="24" spans="2:26" x14ac:dyDescent="0.2">
      <c r="C24" s="70"/>
      <c r="D24" s="71">
        <v>5</v>
      </c>
      <c r="E24" s="72" t="s">
        <v>52</v>
      </c>
      <c r="F24" s="73">
        <v>0.8</v>
      </c>
      <c r="G24" s="35"/>
      <c r="H24" s="84"/>
      <c r="I24" s="91"/>
      <c r="J24" s="35"/>
      <c r="K24" s="95"/>
      <c r="L24" s="74" t="str">
        <f>IF(K24=""," ","à")</f>
        <v xml:space="preserve"> </v>
      </c>
      <c r="M24" s="98"/>
      <c r="Q24" s="24"/>
      <c r="U24" s="37"/>
      <c r="V24" s="38"/>
      <c r="W24" s="39">
        <f>(12*(W18-W16))-(V16-V18-1)</f>
        <v>-1</v>
      </c>
      <c r="Z24" s="23"/>
    </row>
    <row r="25" spans="2:26" x14ac:dyDescent="0.2">
      <c r="C25" s="70"/>
      <c r="D25" s="71"/>
      <c r="E25" s="72"/>
      <c r="F25" s="73"/>
      <c r="G25" s="35"/>
      <c r="H25" s="84"/>
      <c r="I25" s="91"/>
      <c r="J25" s="35"/>
      <c r="K25" s="95"/>
      <c r="L25" s="74" t="str">
        <f>IF(K25=""," ","à")</f>
        <v xml:space="preserve"> </v>
      </c>
      <c r="M25" s="98"/>
      <c r="Q25" s="24"/>
      <c r="Z25" s="23"/>
    </row>
    <row r="26" spans="2:26" x14ac:dyDescent="0.2">
      <c r="C26" s="75"/>
      <c r="D26" s="76"/>
      <c r="E26" s="77"/>
      <c r="F26" s="78"/>
      <c r="G26" s="35"/>
      <c r="H26" s="84"/>
      <c r="I26" s="91"/>
      <c r="J26" s="37"/>
      <c r="K26" s="96"/>
      <c r="L26" s="79" t="str">
        <f>IF(K26=""," ","à")</f>
        <v xml:space="preserve"> </v>
      </c>
      <c r="M26" s="99"/>
      <c r="Q26" s="24"/>
      <c r="U26" s="40"/>
      <c r="Z26" s="23"/>
    </row>
    <row r="27" spans="2:26" x14ac:dyDescent="0.2">
      <c r="C27" s="80" t="s">
        <v>47</v>
      </c>
      <c r="D27" s="81">
        <f>SUM(D23:D26)</f>
        <v>12</v>
      </c>
      <c r="E27" s="82" t="s">
        <v>6</v>
      </c>
      <c r="F27" s="83">
        <f>IF(SUM(F23:F26)=0,0,((D23*F23)+(D24*F24)+(D25*F25)+(D26*F26))/D27)</f>
        <v>0.625</v>
      </c>
      <c r="G27" s="23"/>
      <c r="H27" s="84"/>
      <c r="I27" s="84"/>
      <c r="J27" s="80" t="s">
        <v>47</v>
      </c>
      <c r="K27" s="100">
        <f>IF(J23="",0,SUM(K23:K26))</f>
        <v>0</v>
      </c>
      <c r="L27" s="101" t="s">
        <v>52</v>
      </c>
      <c r="M27" s="102">
        <f>IF(K27=0,0,IF(SUM(M23:M26)=0,0,((K23*M23)+(K24*M24)+(K25*M25)+(K26*M26))/K27))</f>
        <v>0</v>
      </c>
      <c r="Q27" s="24"/>
      <c r="U27" s="40"/>
      <c r="Z27" s="23"/>
    </row>
    <row r="28" spans="2:26" ht="6" customHeight="1" x14ac:dyDescent="0.2">
      <c r="G28" s="23"/>
      <c r="H28" s="23"/>
      <c r="I28" s="23"/>
      <c r="Q28" s="24"/>
      <c r="Z28" s="23"/>
    </row>
    <row r="29" spans="2:26" x14ac:dyDescent="0.2">
      <c r="C29" s="68" t="str">
        <f>IF(G18="","",YEAR(G18)-1)</f>
        <v/>
      </c>
      <c r="D29" s="94"/>
      <c r="E29" s="69" t="str">
        <f>IF(D29=""," ","à")</f>
        <v xml:space="preserve"> </v>
      </c>
      <c r="F29" s="97"/>
      <c r="G29" s="35"/>
      <c r="H29" s="84"/>
      <c r="I29" s="91"/>
      <c r="J29" s="68" t="str">
        <f>IF(G18="","",IF(J23="","",IF(YEAR(G16)&gt;J23-1,"",YEAR(G18)-4)))</f>
        <v/>
      </c>
      <c r="K29" s="94"/>
      <c r="L29" s="69" t="str">
        <f>IF(K29=""," ","à")</f>
        <v xml:space="preserve"> </v>
      </c>
      <c r="M29" s="97"/>
      <c r="Z29" s="23"/>
    </row>
    <row r="30" spans="2:26" x14ac:dyDescent="0.2">
      <c r="C30" s="35"/>
      <c r="D30" s="95"/>
      <c r="E30" s="74" t="str">
        <f>IF(D30=""," ","à")</f>
        <v xml:space="preserve"> </v>
      </c>
      <c r="F30" s="98"/>
      <c r="G30" s="35"/>
      <c r="H30" s="84"/>
      <c r="I30" s="91"/>
      <c r="J30" s="35"/>
      <c r="K30" s="95"/>
      <c r="L30" s="74" t="str">
        <f>IF(K30=""," ","à")</f>
        <v xml:space="preserve"> </v>
      </c>
      <c r="M30" s="98"/>
      <c r="Z30" s="23"/>
    </row>
    <row r="31" spans="2:26" x14ac:dyDescent="0.2">
      <c r="C31" s="35"/>
      <c r="D31" s="95"/>
      <c r="E31" s="74" t="str">
        <f>IF(D31=""," ","à")</f>
        <v xml:space="preserve"> </v>
      </c>
      <c r="F31" s="98"/>
      <c r="G31" s="35"/>
      <c r="H31" s="84"/>
      <c r="I31" s="91"/>
      <c r="J31" s="35"/>
      <c r="K31" s="95"/>
      <c r="L31" s="74" t="str">
        <f>IF(K31=""," ","à")</f>
        <v xml:space="preserve"> </v>
      </c>
      <c r="M31" s="98"/>
      <c r="S31" s="60"/>
      <c r="Z31" s="23"/>
    </row>
    <row r="32" spans="2:26" x14ac:dyDescent="0.2">
      <c r="C32" s="37"/>
      <c r="D32" s="96"/>
      <c r="E32" s="79" t="str">
        <f>IF(D32=""," ","à")</f>
        <v xml:space="preserve"> </v>
      </c>
      <c r="F32" s="99"/>
      <c r="G32" s="35"/>
      <c r="H32" s="84"/>
      <c r="I32" s="91"/>
      <c r="J32" s="37"/>
      <c r="K32" s="96"/>
      <c r="L32" s="79" t="str">
        <f>IF(K32=""," ","à")</f>
        <v xml:space="preserve"> </v>
      </c>
      <c r="M32" s="99"/>
    </row>
    <row r="33" spans="1:19" x14ac:dyDescent="0.2">
      <c r="C33" s="80" t="s">
        <v>47</v>
      </c>
      <c r="D33" s="100">
        <f>SUM(D29:D32)</f>
        <v>0</v>
      </c>
      <c r="E33" s="101" t="s">
        <v>52</v>
      </c>
      <c r="F33" s="102">
        <f>IF(SUM(F29:F32)=0,0,((D29*F29)+(D30*F30)+(D31*F31)+(D32*F32))/D33)</f>
        <v>0</v>
      </c>
      <c r="G33" s="23"/>
      <c r="H33" s="84"/>
      <c r="I33" s="84"/>
      <c r="J33" s="80" t="s">
        <v>47</v>
      </c>
      <c r="K33" s="100">
        <f>IF(J29="",0,SUM(K29:K32))</f>
        <v>0</v>
      </c>
      <c r="L33" s="101" t="s">
        <v>52</v>
      </c>
      <c r="M33" s="102">
        <f>IF(K33=0,0,IF(SUM(M29:M32)=0,0,((K29*M29)+(K30*M30)+(K31*M31)+(K32*M32))/K33))</f>
        <v>0</v>
      </c>
    </row>
    <row r="34" spans="1:19" ht="6" customHeight="1" x14ac:dyDescent="0.2">
      <c r="G34" s="23"/>
      <c r="H34" s="23"/>
      <c r="I34" s="23"/>
    </row>
    <row r="35" spans="1:19" x14ac:dyDescent="0.2">
      <c r="C35" s="68" t="str">
        <f>IF(G18="","",IF(C29="","",IF(YEAR(G16)&gt;C29-1,"",YEAR(G18)-2)))</f>
        <v/>
      </c>
      <c r="D35" s="94"/>
      <c r="E35" s="69" t="str">
        <f>IF(D35=""," ","à")</f>
        <v xml:space="preserve"> </v>
      </c>
      <c r="F35" s="97"/>
      <c r="G35" s="35"/>
      <c r="H35" s="84"/>
      <c r="I35" s="91"/>
      <c r="J35" s="68" t="str">
        <f>IF(G18="","",IF(J29="","",IF(YEAR(G16)&gt;J29-1,"",YEAR(G18)-5)))</f>
        <v/>
      </c>
      <c r="K35" s="94"/>
      <c r="L35" s="69" t="str">
        <f>IF(K35=""," ","à")</f>
        <v xml:space="preserve"> </v>
      </c>
      <c r="M35" s="97"/>
    </row>
    <row r="36" spans="1:19" x14ac:dyDescent="0.2">
      <c r="C36" s="35"/>
      <c r="D36" s="95"/>
      <c r="E36" s="74" t="str">
        <f>IF(D36=""," ","à")</f>
        <v xml:space="preserve"> </v>
      </c>
      <c r="F36" s="98"/>
      <c r="G36" s="35"/>
      <c r="H36" s="84"/>
      <c r="I36" s="91"/>
      <c r="J36" s="35"/>
      <c r="K36" s="95"/>
      <c r="L36" s="74" t="str">
        <f>IF(K36=""," ","à")</f>
        <v xml:space="preserve"> </v>
      </c>
      <c r="M36" s="98"/>
      <c r="R36" s="60"/>
      <c r="S36" s="60"/>
    </row>
    <row r="37" spans="1:19" x14ac:dyDescent="0.2">
      <c r="C37" s="35"/>
      <c r="D37" s="95"/>
      <c r="E37" s="74" t="str">
        <f>IF(D37=""," ","à")</f>
        <v xml:space="preserve"> </v>
      </c>
      <c r="F37" s="98"/>
      <c r="G37" s="35"/>
      <c r="H37" s="84"/>
      <c r="I37" s="91"/>
      <c r="J37" s="35"/>
      <c r="K37" s="95"/>
      <c r="L37" s="74" t="str">
        <f>IF(K37=""," ","à")</f>
        <v xml:space="preserve"> </v>
      </c>
      <c r="M37" s="98"/>
    </row>
    <row r="38" spans="1:19" x14ac:dyDescent="0.2">
      <c r="C38" s="37"/>
      <c r="D38" s="96"/>
      <c r="E38" s="79" t="str">
        <f>IF(D38=""," ","à")</f>
        <v xml:space="preserve"> </v>
      </c>
      <c r="F38" s="99"/>
      <c r="G38" s="35"/>
      <c r="H38" s="84"/>
      <c r="I38" s="91"/>
      <c r="J38" s="37"/>
      <c r="K38" s="96"/>
      <c r="L38" s="79" t="str">
        <f>IF(K38=""," ","à")</f>
        <v xml:space="preserve"> </v>
      </c>
      <c r="M38" s="99"/>
    </row>
    <row r="39" spans="1:19" x14ac:dyDescent="0.2">
      <c r="C39" s="80" t="s">
        <v>47</v>
      </c>
      <c r="D39" s="100">
        <f>IF(C35="",0,SUM(D35:D38))</f>
        <v>0</v>
      </c>
      <c r="E39" s="101" t="s">
        <v>52</v>
      </c>
      <c r="F39" s="102">
        <f>IF(D39=0,0,IF(SUM(F35:F38)=0,0,((D35*F35)+(D36*F36)+(D37*F37)+(D38*F38))/D39))</f>
        <v>0</v>
      </c>
      <c r="G39" s="23"/>
      <c r="H39" s="84"/>
      <c r="I39" s="84"/>
      <c r="J39" s="80" t="s">
        <v>47</v>
      </c>
      <c r="K39" s="100">
        <f>IF(J35="",0,SUM(K35:K38))</f>
        <v>0</v>
      </c>
      <c r="L39" s="101" t="s">
        <v>52</v>
      </c>
      <c r="M39" s="102">
        <f>IF(K39=0,0,IF(SUM(M35:M38)=0,0,((K35*M35)+(K36*M36)+(K37*M37)+(K38*M38))/K39))</f>
        <v>0</v>
      </c>
    </row>
    <row r="40" spans="1:19" x14ac:dyDescent="0.2">
      <c r="S40" s="60"/>
    </row>
    <row r="41" spans="1:19" x14ac:dyDescent="0.2">
      <c r="C41" s="56" t="s">
        <v>8</v>
      </c>
      <c r="D41" s="49"/>
      <c r="E41" s="49"/>
      <c r="F41" s="49"/>
      <c r="G41" s="121">
        <f>IF((D33+D39+K39+K33+K27)=0,100%,((D33*F33)+(D39*F39)+(K27*M27)+(K33*M33)+(K39*M39))/(D33+D39+K39+K33+K27))</f>
        <v>1</v>
      </c>
      <c r="H41" s="121"/>
      <c r="I41" s="121"/>
    </row>
    <row r="43" spans="1:19" ht="6" customHeight="1" thickBot="1" x14ac:dyDescent="0.25"/>
    <row r="44" spans="1:19" ht="16.5" thickBot="1" x14ac:dyDescent="0.3">
      <c r="A44" s="41" t="s">
        <v>9</v>
      </c>
      <c r="B44" s="42"/>
      <c r="C44" s="42"/>
      <c r="D44" s="43"/>
      <c r="E44" s="43"/>
      <c r="F44" s="43"/>
      <c r="G44" s="43"/>
      <c r="H44" s="43"/>
      <c r="I44" s="43"/>
      <c r="J44" s="43"/>
      <c r="K44" s="43"/>
      <c r="L44" s="43"/>
      <c r="M44" s="43"/>
      <c r="N44" s="44"/>
      <c r="O44" s="45"/>
    </row>
    <row r="46" spans="1:19" x14ac:dyDescent="0.2">
      <c r="B46" s="49" t="s">
        <v>34</v>
      </c>
      <c r="C46" s="49"/>
      <c r="D46" s="49"/>
      <c r="E46" s="49"/>
      <c r="F46" s="49"/>
      <c r="G46" s="105" t="str">
        <f>IF(G16="","",W24)</f>
        <v/>
      </c>
      <c r="H46" s="104" t="s">
        <v>6</v>
      </c>
      <c r="I46" s="106" t="str">
        <f>IF(G16="","",5*12)</f>
        <v/>
      </c>
    </row>
    <row r="48" spans="1:19" x14ac:dyDescent="0.2">
      <c r="B48" s="48" t="s">
        <v>13</v>
      </c>
      <c r="C48" s="49"/>
      <c r="D48" s="49"/>
      <c r="E48" s="49"/>
      <c r="F48" s="49"/>
      <c r="G48" s="114">
        <f>IF(N14="",0,ROUND(G10/N14/12*20,0)/20)</f>
        <v>0</v>
      </c>
      <c r="H48" s="132"/>
      <c r="I48" s="132"/>
      <c r="J48" s="103" t="s">
        <v>50</v>
      </c>
      <c r="K48" s="122">
        <f>IF(G14=0,0,IF(G14=25,11,5.5))</f>
        <v>11</v>
      </c>
      <c r="L48" s="130"/>
      <c r="M48" s="52"/>
      <c r="N48" s="59"/>
    </row>
    <row r="49" spans="2:25" ht="6" customHeight="1" x14ac:dyDescent="0.2">
      <c r="B49" s="57"/>
      <c r="C49" s="23"/>
      <c r="D49" s="23"/>
      <c r="E49" s="23"/>
      <c r="F49" s="23"/>
      <c r="G49" s="50"/>
      <c r="H49" s="50"/>
      <c r="I49" s="50"/>
      <c r="M49" s="47"/>
    </row>
    <row r="50" spans="2:25" x14ac:dyDescent="0.2">
      <c r="B50" s="48" t="s">
        <v>14</v>
      </c>
      <c r="C50" s="49"/>
      <c r="D50" s="49"/>
      <c r="E50" s="49"/>
      <c r="F50" s="49"/>
      <c r="G50" s="114">
        <f>IF(G16="",0,ROUND(G48/I46*G46*20,0)/20)</f>
        <v>0</v>
      </c>
      <c r="H50" s="114"/>
      <c r="I50" s="114"/>
      <c r="J50" s="103" t="s">
        <v>50</v>
      </c>
      <c r="K50" s="122" t="e">
        <f>IF(G14=0,0,IF(G14=25,ROUND(11/I46*G46*2,0)/2,5.5/I46*G46))</f>
        <v>#VALUE!</v>
      </c>
      <c r="L50" s="130"/>
      <c r="M50" s="52"/>
    </row>
    <row r="51" spans="2:25" x14ac:dyDescent="0.2">
      <c r="M51" s="47"/>
    </row>
    <row r="52" spans="2:25" x14ac:dyDescent="0.2">
      <c r="B52" s="56" t="s">
        <v>11</v>
      </c>
      <c r="C52" s="56"/>
      <c r="D52" s="56"/>
      <c r="E52" s="56"/>
      <c r="F52" s="56"/>
      <c r="G52" s="115">
        <f>IF(G41="",G50,IF(ISERROR(G50*G41),0,ROUND(G50*G41*20,0)/20))</f>
        <v>0</v>
      </c>
      <c r="H52" s="127"/>
      <c r="I52" s="127"/>
      <c r="J52" s="103" t="s">
        <v>50</v>
      </c>
      <c r="K52" s="123" t="e">
        <f>IF(G14=0,0,ROUND(K50*G41*2,0)/2)</f>
        <v>#VALUE!</v>
      </c>
      <c r="L52" s="131"/>
      <c r="M52" s="61" t="str">
        <f>CONCATENATE("zu ",TEXT(G41,"0%"))</f>
        <v>zu 100%</v>
      </c>
    </row>
    <row r="54" spans="2:25" x14ac:dyDescent="0.2">
      <c r="B54" s="49" t="s">
        <v>48</v>
      </c>
      <c r="C54" s="49"/>
      <c r="D54" s="49"/>
      <c r="E54" s="49"/>
      <c r="F54" s="49"/>
      <c r="G54" s="124"/>
      <c r="H54" s="124"/>
      <c r="I54" s="124"/>
      <c r="J54" s="87" t="e">
        <f>CONCATENATE("Urlaubstage zu ",TEXT(G41,"0.0 %"), " (minimal ",K52,", maximal ",K52*2,")")</f>
        <v>#VALUE!</v>
      </c>
    </row>
    <row r="55" spans="2:25" ht="6" customHeight="1" x14ac:dyDescent="0.2"/>
    <row r="56" spans="2:25" x14ac:dyDescent="0.2">
      <c r="G56" s="115" t="str">
        <f>IF(G54="","",G52/(K52*2)*(((K52*2)-G54)*2))</f>
        <v/>
      </c>
      <c r="H56" s="115"/>
      <c r="I56" s="115"/>
      <c r="J56" s="87" t="s">
        <v>53</v>
      </c>
    </row>
    <row r="57" spans="2:25" ht="6" customHeight="1" x14ac:dyDescent="0.2"/>
    <row r="58" spans="2:25" x14ac:dyDescent="0.2">
      <c r="G58" s="125" t="str">
        <f>IF(G56="","",G56/13*12)</f>
        <v/>
      </c>
      <c r="H58" s="125"/>
      <c r="I58" s="125"/>
      <c r="J58" s="61" t="s">
        <v>60</v>
      </c>
    </row>
    <row r="59" spans="2:25" ht="6" customHeight="1" x14ac:dyDescent="0.2"/>
    <row r="60" spans="2:25" x14ac:dyDescent="0.2">
      <c r="B60" s="2" t="s">
        <v>49</v>
      </c>
      <c r="O60" s="2"/>
      <c r="Q60" s="2"/>
      <c r="R60" s="2"/>
      <c r="S60" s="2"/>
      <c r="T60" s="2"/>
      <c r="U60" s="2"/>
      <c r="V60" s="2"/>
      <c r="W60" s="2"/>
      <c r="X60" s="2"/>
      <c r="Y60" s="2"/>
    </row>
    <row r="61" spans="2:25" ht="6" customHeight="1" x14ac:dyDescent="0.2">
      <c r="O61" s="2"/>
      <c r="Q61" s="2"/>
      <c r="R61" s="2"/>
      <c r="S61" s="2"/>
      <c r="T61" s="2"/>
      <c r="U61" s="2"/>
      <c r="V61" s="2"/>
      <c r="W61" s="2"/>
      <c r="X61" s="2"/>
      <c r="Y61" s="2"/>
    </row>
    <row r="62" spans="2:25" x14ac:dyDescent="0.2">
      <c r="B62" s="110"/>
      <c r="C62" s="110"/>
      <c r="D62" s="110"/>
      <c r="E62" s="110"/>
      <c r="F62" s="110"/>
      <c r="G62" s="110"/>
      <c r="H62" s="110"/>
      <c r="I62" s="110"/>
      <c r="J62" s="110"/>
      <c r="K62" s="110"/>
      <c r="L62" s="110"/>
      <c r="M62" s="110"/>
      <c r="O62" s="2"/>
      <c r="Q62" s="2"/>
      <c r="R62" s="2"/>
      <c r="S62" s="2"/>
      <c r="T62" s="2"/>
      <c r="U62" s="2"/>
      <c r="V62" s="2"/>
      <c r="W62" s="2"/>
      <c r="X62" s="2"/>
      <c r="Y62" s="2"/>
    </row>
    <row r="63" spans="2:25" x14ac:dyDescent="0.2">
      <c r="B63" s="110"/>
      <c r="C63" s="110"/>
      <c r="D63" s="110"/>
      <c r="E63" s="110"/>
      <c r="F63" s="110"/>
      <c r="G63" s="110"/>
      <c r="H63" s="110"/>
      <c r="I63" s="110"/>
      <c r="J63" s="110"/>
      <c r="K63" s="110"/>
      <c r="L63" s="110"/>
      <c r="M63" s="110"/>
      <c r="O63" s="2"/>
      <c r="Q63" s="2"/>
      <c r="R63" s="2"/>
      <c r="S63" s="2"/>
      <c r="T63" s="2"/>
      <c r="U63" s="2"/>
      <c r="V63" s="2"/>
      <c r="W63" s="2"/>
      <c r="X63" s="2"/>
      <c r="Y63" s="2"/>
    </row>
    <row r="64" spans="2:25" x14ac:dyDescent="0.2">
      <c r="B64" s="110"/>
      <c r="C64" s="110"/>
      <c r="D64" s="110"/>
      <c r="E64" s="110"/>
      <c r="F64" s="110"/>
      <c r="G64" s="110"/>
      <c r="H64" s="110"/>
      <c r="I64" s="110"/>
      <c r="J64" s="110"/>
      <c r="K64" s="110"/>
      <c r="L64" s="110"/>
      <c r="M64" s="110"/>
      <c r="O64" s="2"/>
      <c r="Q64" s="2"/>
      <c r="R64" s="2"/>
      <c r="S64" s="2"/>
      <c r="T64" s="2"/>
      <c r="U64" s="2"/>
      <c r="V64" s="2"/>
      <c r="W64" s="2"/>
      <c r="X64" s="2"/>
      <c r="Y64" s="2"/>
    </row>
    <row r="65" spans="2:25" x14ac:dyDescent="0.2">
      <c r="B65" s="110"/>
      <c r="C65" s="110"/>
      <c r="D65" s="110"/>
      <c r="E65" s="110"/>
      <c r="F65" s="110"/>
      <c r="G65" s="110"/>
      <c r="H65" s="110"/>
      <c r="I65" s="110"/>
      <c r="J65" s="110"/>
      <c r="K65" s="110"/>
      <c r="L65" s="110"/>
      <c r="M65" s="110"/>
      <c r="O65" s="2"/>
      <c r="Q65" s="2"/>
      <c r="R65" s="2"/>
      <c r="S65" s="2"/>
      <c r="T65" s="2"/>
      <c r="U65" s="2"/>
      <c r="V65" s="2"/>
      <c r="W65" s="2"/>
      <c r="X65" s="2"/>
      <c r="Y65" s="2"/>
    </row>
    <row r="67" spans="2:25" x14ac:dyDescent="0.2">
      <c r="B67" s="48" t="s">
        <v>61</v>
      </c>
      <c r="C67" s="49"/>
      <c r="D67" s="111"/>
      <c r="E67" s="111"/>
      <c r="F67" s="111"/>
      <c r="G67" s="111"/>
      <c r="H67" s="111"/>
      <c r="I67" s="107"/>
      <c r="J67" s="48" t="s">
        <v>62</v>
      </c>
      <c r="K67" s="112"/>
      <c r="L67" s="112"/>
      <c r="M67" s="112"/>
    </row>
  </sheetData>
  <sheetProtection password="C6E4" sheet="1" objects="1" scenarios="1"/>
  <mergeCells count="20">
    <mergeCell ref="K52:L52"/>
    <mergeCell ref="G16:I16"/>
    <mergeCell ref="G18:I18"/>
    <mergeCell ref="G48:I48"/>
    <mergeCell ref="D67:H67"/>
    <mergeCell ref="K67:M67"/>
    <mergeCell ref="G12:I12"/>
    <mergeCell ref="F3:N3"/>
    <mergeCell ref="F5:N5"/>
    <mergeCell ref="G52:I52"/>
    <mergeCell ref="G50:I50"/>
    <mergeCell ref="G10:I10"/>
    <mergeCell ref="G14:I14"/>
    <mergeCell ref="G58:I58"/>
    <mergeCell ref="G41:I41"/>
    <mergeCell ref="G54:I54"/>
    <mergeCell ref="G56:I56"/>
    <mergeCell ref="B62:M65"/>
    <mergeCell ref="K48:L48"/>
    <mergeCell ref="K50:L50"/>
  </mergeCells>
  <phoneticPr fontId="0" type="noConversion"/>
  <conditionalFormatting sqref="D35:D39 F35:F39 E39">
    <cfRule type="expression" dxfId="4" priority="2" stopIfTrue="1">
      <formula>$C$35=""</formula>
    </cfRule>
  </conditionalFormatting>
  <conditionalFormatting sqref="K23:K27 M23:M27 L27">
    <cfRule type="expression" dxfId="3" priority="3" stopIfTrue="1">
      <formula>$J$23=""</formula>
    </cfRule>
  </conditionalFormatting>
  <conditionalFormatting sqref="K29:K33 M29:M33 L33">
    <cfRule type="expression" dxfId="2" priority="4" stopIfTrue="1">
      <formula>$J$29=""</formula>
    </cfRule>
  </conditionalFormatting>
  <conditionalFormatting sqref="K35:K39 M35:M39 L39">
    <cfRule type="expression" dxfId="1" priority="5" stopIfTrue="1">
      <formula>$J$35=""</formula>
    </cfRule>
  </conditionalFormatting>
  <conditionalFormatting sqref="D29:D32 F29:F32">
    <cfRule type="expression" dxfId="0" priority="1" stopIfTrue="1">
      <formula>$C$29=""</formula>
    </cfRule>
  </conditionalFormatting>
  <dataValidations count="1">
    <dataValidation type="decimal" errorStyle="information" allowBlank="1" showInputMessage="1" showErrorMessage="1" errorTitle="Falsche Anzahl Urlaubstage" error="Falsche Anzahl Urlaubstage" sqref="G54:I54">
      <formula1>K52</formula1>
      <formula2>K52*2</formula2>
    </dataValidation>
  </dataValidations>
  <pageMargins left="0.59055118110236227" right="0.39370078740157483" top="1.3779527559055118" bottom="0.78740157480314965" header="0.39370078740157483" footer="0.39370078740157483"/>
  <pageSetup paperSize="9" scale="92" orientation="portrait" r:id="rId1"/>
  <headerFooter scaleWithDoc="0">
    <oddHeader>&amp;L&amp;"Arial,Fett"Amt für Volksschule&amp;"Arial,Standard"
Finanzen&amp;R
&amp;G</oddHeader>
    <oddFooter>&amp;L&amp;8&amp;F/AVKIN/avtro&amp;C&amp;8&amp;P/&amp;N&amp;R&amp;8&amp;A/ Druck: &amp;D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9" r:id="rId5" name="Drop Down 11">
              <controlPr defaultSize="0" print="0" autoLine="0" autoPict="0">
                <anchor moveWithCells="1">
                  <from>
                    <xdr:col>6</xdr:col>
                    <xdr:colOff>0</xdr:colOff>
                    <xdr:row>10</xdr:row>
                    <xdr:rowOff>38100</xdr:rowOff>
                  </from>
                  <to>
                    <xdr:col>9</xdr:col>
                    <xdr:colOff>0</xdr:colOff>
                    <xdr:row>12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18"/>
  <sheetViews>
    <sheetView workbookViewId="0">
      <selection activeCell="G5" sqref="G5"/>
    </sheetView>
  </sheetViews>
  <sheetFormatPr baseColWidth="10" defaultRowHeight="12.75" x14ac:dyDescent="0.2"/>
  <cols>
    <col min="3" max="3" width="12.42578125" customWidth="1"/>
    <col min="6" max="6" width="12.42578125" customWidth="1"/>
  </cols>
  <sheetData>
    <row r="1" spans="1:9" x14ac:dyDescent="0.2">
      <c r="A1" s="20" t="s">
        <v>32</v>
      </c>
    </row>
    <row r="2" spans="1:9" ht="13.5" thickBot="1" x14ac:dyDescent="0.25"/>
    <row r="3" spans="1:9" x14ac:dyDescent="0.2">
      <c r="A3" s="133" t="s">
        <v>30</v>
      </c>
      <c r="B3" s="134"/>
      <c r="C3" s="135"/>
      <c r="E3" s="5" t="s">
        <v>31</v>
      </c>
      <c r="F3" s="92"/>
      <c r="G3" s="6"/>
      <c r="H3" s="6"/>
      <c r="I3" s="7"/>
    </row>
    <row r="4" spans="1:9" x14ac:dyDescent="0.2">
      <c r="A4" s="8" t="s">
        <v>15</v>
      </c>
      <c r="B4" s="9" t="s">
        <v>28</v>
      </c>
      <c r="C4" s="10" t="s">
        <v>29</v>
      </c>
      <c r="E4" s="11">
        <v>1</v>
      </c>
      <c r="F4" s="4" t="s">
        <v>59</v>
      </c>
      <c r="G4" s="4" t="s">
        <v>59</v>
      </c>
      <c r="H4" s="4"/>
      <c r="I4" s="12"/>
    </row>
    <row r="5" spans="1:9" x14ac:dyDescent="0.2">
      <c r="A5" s="8" t="s">
        <v>16</v>
      </c>
      <c r="B5" s="4">
        <v>1</v>
      </c>
      <c r="C5" s="12">
        <v>31</v>
      </c>
      <c r="E5" s="11">
        <v>2</v>
      </c>
      <c r="F5" s="4" t="str">
        <f t="shared" ref="F5:F13" si="0">CONCATENATE(G5," Jahre")</f>
        <v>10 Jahre</v>
      </c>
      <c r="G5" s="21">
        <v>10</v>
      </c>
      <c r="H5" s="4"/>
      <c r="I5" s="12"/>
    </row>
    <row r="6" spans="1:9" x14ac:dyDescent="0.2">
      <c r="A6" s="8" t="s">
        <v>17</v>
      </c>
      <c r="B6" s="4">
        <v>2</v>
      </c>
      <c r="C6" s="12">
        <v>28</v>
      </c>
      <c r="E6" s="11">
        <v>3</v>
      </c>
      <c r="F6" s="4" t="str">
        <f t="shared" si="0"/>
        <v>15 Jahre</v>
      </c>
      <c r="G6" s="21">
        <v>15</v>
      </c>
      <c r="H6" s="4"/>
      <c r="I6" s="12"/>
    </row>
    <row r="7" spans="1:9" x14ac:dyDescent="0.2">
      <c r="A7" s="8" t="s">
        <v>18</v>
      </c>
      <c r="B7" s="4">
        <v>3</v>
      </c>
      <c r="C7" s="12">
        <v>31</v>
      </c>
      <c r="E7" s="11">
        <v>4</v>
      </c>
      <c r="F7" s="4" t="str">
        <f t="shared" si="0"/>
        <v>20 Jahre</v>
      </c>
      <c r="G7" s="21">
        <v>20</v>
      </c>
      <c r="H7" s="4"/>
      <c r="I7" s="12"/>
    </row>
    <row r="8" spans="1:9" x14ac:dyDescent="0.2">
      <c r="A8" s="8" t="s">
        <v>19</v>
      </c>
      <c r="B8" s="4">
        <v>4</v>
      </c>
      <c r="C8" s="12">
        <v>30</v>
      </c>
      <c r="E8" s="11">
        <v>5</v>
      </c>
      <c r="F8" s="4" t="str">
        <f t="shared" si="0"/>
        <v>25 Jahre</v>
      </c>
      <c r="G8" s="21">
        <v>25</v>
      </c>
      <c r="H8" s="4"/>
      <c r="I8" s="12"/>
    </row>
    <row r="9" spans="1:9" x14ac:dyDescent="0.2">
      <c r="A9" s="8" t="s">
        <v>20</v>
      </c>
      <c r="B9" s="4">
        <v>5</v>
      </c>
      <c r="C9" s="12">
        <v>31</v>
      </c>
      <c r="E9" s="11">
        <v>6</v>
      </c>
      <c r="F9" s="4" t="str">
        <f t="shared" si="0"/>
        <v>30 Jahre</v>
      </c>
      <c r="G9" s="21">
        <v>30</v>
      </c>
      <c r="H9" s="4"/>
      <c r="I9" s="12"/>
    </row>
    <row r="10" spans="1:9" x14ac:dyDescent="0.2">
      <c r="A10" s="8" t="s">
        <v>21</v>
      </c>
      <c r="B10" s="4">
        <v>6</v>
      </c>
      <c r="C10" s="12">
        <v>30</v>
      </c>
      <c r="E10" s="11">
        <v>7</v>
      </c>
      <c r="F10" s="4" t="str">
        <f t="shared" si="0"/>
        <v>35 Jahre</v>
      </c>
      <c r="G10" s="21">
        <v>35</v>
      </c>
      <c r="H10" s="4"/>
      <c r="I10" s="12"/>
    </row>
    <row r="11" spans="1:9" x14ac:dyDescent="0.2">
      <c r="A11" s="8" t="s">
        <v>22</v>
      </c>
      <c r="B11" s="4">
        <v>7</v>
      </c>
      <c r="C11" s="12">
        <v>31</v>
      </c>
      <c r="E11" s="11">
        <v>8</v>
      </c>
      <c r="F11" s="4" t="str">
        <f t="shared" si="0"/>
        <v>40 Jahre</v>
      </c>
      <c r="G11" s="21">
        <v>40</v>
      </c>
      <c r="H11" s="4"/>
      <c r="I11" s="12"/>
    </row>
    <row r="12" spans="1:9" x14ac:dyDescent="0.2">
      <c r="A12" s="8" t="s">
        <v>23</v>
      </c>
      <c r="B12" s="4">
        <v>8</v>
      </c>
      <c r="C12" s="12">
        <v>31</v>
      </c>
      <c r="E12" s="11">
        <v>9</v>
      </c>
      <c r="F12" s="4" t="str">
        <f t="shared" si="0"/>
        <v>45 Jahre</v>
      </c>
      <c r="G12" s="21">
        <v>45</v>
      </c>
      <c r="H12" s="4"/>
      <c r="I12" s="12"/>
    </row>
    <row r="13" spans="1:9" x14ac:dyDescent="0.2">
      <c r="A13" s="8" t="s">
        <v>24</v>
      </c>
      <c r="B13" s="4">
        <v>9</v>
      </c>
      <c r="C13" s="12">
        <v>30</v>
      </c>
      <c r="E13" s="11">
        <v>10</v>
      </c>
      <c r="F13" s="4" t="str">
        <f t="shared" si="0"/>
        <v>50 Jahre</v>
      </c>
      <c r="G13" s="21">
        <v>50</v>
      </c>
      <c r="H13" s="4"/>
      <c r="I13" s="12"/>
    </row>
    <row r="14" spans="1:9" x14ac:dyDescent="0.2">
      <c r="A14" s="8" t="s">
        <v>25</v>
      </c>
      <c r="B14" s="4">
        <v>10</v>
      </c>
      <c r="C14" s="12">
        <v>31</v>
      </c>
      <c r="E14" s="11"/>
      <c r="F14" s="4"/>
      <c r="G14" s="4"/>
      <c r="H14" s="4"/>
      <c r="I14" s="12"/>
    </row>
    <row r="15" spans="1:9" x14ac:dyDescent="0.2">
      <c r="A15" s="8" t="s">
        <v>26</v>
      </c>
      <c r="B15" s="4">
        <v>11</v>
      </c>
      <c r="C15" s="12">
        <v>30</v>
      </c>
      <c r="E15" s="11"/>
      <c r="F15" s="4"/>
      <c r="G15" s="4"/>
      <c r="H15" s="4"/>
      <c r="I15" s="12"/>
    </row>
    <row r="16" spans="1:9" ht="13.5" thickBot="1" x14ac:dyDescent="0.25">
      <c r="A16" s="13" t="s">
        <v>27</v>
      </c>
      <c r="B16" s="14">
        <v>12</v>
      </c>
      <c r="C16" s="15">
        <v>31</v>
      </c>
      <c r="E16" s="16"/>
      <c r="F16" s="14"/>
      <c r="G16" s="14"/>
      <c r="H16" s="14"/>
      <c r="I16" s="15"/>
    </row>
    <row r="17" spans="1:9" ht="13.5" thickBot="1" x14ac:dyDescent="0.25"/>
    <row r="18" spans="1:9" ht="13.5" thickBot="1" x14ac:dyDescent="0.25">
      <c r="A18" s="17" t="s">
        <v>55</v>
      </c>
      <c r="B18" s="18"/>
      <c r="C18" s="18"/>
      <c r="D18" s="18"/>
      <c r="E18" s="18"/>
      <c r="F18" s="18"/>
      <c r="G18" s="18"/>
      <c r="H18" s="18"/>
      <c r="I18" s="19"/>
    </row>
  </sheetData>
  <mergeCells count="1">
    <mergeCell ref="A3:C3"/>
  </mergeCells>
  <phoneticPr fontId="0" type="noConversion"/>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Roberto Tropea"/>
    <f:field ref="FSCFOLIO_1_1001_FieldCurrentDate" text="08.07.2024 08:48"/>
    <f:field ref="CCAPRECONFIG_15_1001_Objektname" text="DAG_Berechnungstabelle_Verwaltungspersonal_17.1.14" edit="true"/>
    <f:field ref="objname" text="DAG_Berechnungstabelle_Verwaltungspersonal_17.1.14" edit="true"/>
    <f:field ref="objsubject" text="" edit="true"/>
    <f:field ref="objcreatedby" text="Tropea, Roberto"/>
    <f:field ref="objcreatedat" date="2024-06-11T09:30:20" text="11.06.2024 09:30:20"/>
    <f:field ref="objchangedby" text="Tropea, Roberto"/>
    <f:field ref="objmodifiedat" date="2024-06-11T09:30:20" text="11.06.2024 09:30:2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WICHTIGE ANMERKUNGEN</vt:lpstr>
      <vt:lpstr>DAG-Berechnung</vt:lpstr>
      <vt:lpstr>DAG-Berech. anteilmässig 60.</vt:lpstr>
      <vt:lpstr>Hilfstabelle</vt:lpstr>
      <vt:lpstr>'DAG-Berech. anteilmässig 60.'!Druckbereich</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avktro</dc:creator>
  <cp:lastModifiedBy>Roberto Tropea</cp:lastModifiedBy>
  <cp:lastPrinted>2014-02-20T12:34:13Z</cp:lastPrinted>
  <dcterms:created xsi:type="dcterms:W3CDTF">2007-12-12T12:52:53Z</dcterms:created>
  <dcterms:modified xsi:type="dcterms:W3CDTF">2024-06-11T09:30:03Z</dcterms:modified>
</cp:coreProperties>
</file>

<file path=docProps/custom.xml><?xml version="1.0" encoding="utf-8"?>
<Properties xmlns="http://schemas.openxmlformats.org/officeDocument/2006/custom-properties" xmlns:vt="http://schemas.openxmlformats.org/officeDocument/2006/docPropsVTypes">
  <property name="FSC#FSCIBISDOCPROPS@15.1400:ReferredBarCode" pid="2" fmtid="{D5CDD505-2E9C-101B-9397-08002B2CF9AE}">
    <vt:lpwstr/>
  </property>
  <property name="FSC#FSCIBISDOCPROPS@15.1400:CreatedBy" pid="3" fmtid="{D5CDD505-2E9C-101B-9397-08002B2CF9AE}">
    <vt:lpwstr>Roberto Tropea</vt:lpwstr>
  </property>
  <property name="FSC#FSCIBISDOCPROPS@15.1400:CreatedAt" pid="4" fmtid="{D5CDD505-2E9C-101B-9397-08002B2CF9AE}">
    <vt:lpwstr>11.06.2024</vt:lpwstr>
  </property>
  <property name="FSC#FSCIBISDOCPROPS@15.1400:BGMDiagnoseAdd" pid="5" fmtid="{D5CDD505-2E9C-101B-9397-08002B2CF9AE}">
    <vt:lpwstr> </vt:lpwstr>
  </property>
  <property name="FSC#FSCIBISDOCPROPS@15.1400:Container" pid="6" fmtid="{D5CDD505-2E9C-101B-9397-08002B2CF9AE}">
    <vt:lpwstr>COO.2103.100.2.12609803</vt:lpwstr>
  </property>
  <property name="FSC#FSCIBISDOCPROPS@15.1400:ObjectCOOAddress" pid="7" fmtid="{D5CDD505-2E9C-101B-9397-08002B2CF9AE}">
    <vt:lpwstr>COO.2103.100.2.12609803</vt:lpwstr>
  </property>
  <property name="FSC#LOCALSW@2103.100:TopLevelSubfileAddress" pid="8" fmtid="{D5CDD505-2E9C-101B-9397-08002B2CF9AE}">
    <vt:lpwstr>COO.2103.100.7.1725799</vt:lpwstr>
  </property>
  <property name="FSC#LOCALSW@2103.100:User_Login_red" pid="9" fmtid="{D5CDD505-2E9C-101B-9397-08002B2CF9AE}">
    <vt:lpwstr>avktro@TG.CH_x000d__x000a_roberto.tropea@tg.ch_x000d__x000a_TG\avktro_x000d__x000a_ </vt:lpwstr>
  </property>
  <property name="FSC#ELAKGOV@1.1001:PersonalSubjAddress" pid="10" fmtid="{D5CDD505-2E9C-101B-9397-08002B2CF9AE}">
    <vt:lpwstr/>
  </property>
  <property name="FSC#ELAKGOV@1.1001:PersonalSubjSalutation" pid="11" fmtid="{D5CDD505-2E9C-101B-9397-08002B2CF9AE}">
    <vt:lpwstr/>
  </property>
  <property name="FSC#ELAKGOV@1.1001:PersonalSubjSurName" pid="12" fmtid="{D5CDD505-2E9C-101B-9397-08002B2CF9AE}">
    <vt:lpwstr/>
  </property>
  <property name="FSC#ELAKGOV@1.1001:PersonalSubjFirstName" pid="13" fmtid="{D5CDD505-2E9C-101B-9397-08002B2CF9AE}">
    <vt:lpwstr/>
  </property>
  <property name="FSC#ELAKGOV@1.1001:PersonalSubjGender" pid="14" fmtid="{D5CDD505-2E9C-101B-9397-08002B2CF9AE}">
    <vt:lpwstr/>
  </property>
  <property name="FSC#COOELAK@1.1001:CurrentUserEmail" pid="15" fmtid="{D5CDD505-2E9C-101B-9397-08002B2CF9AE}">
    <vt:lpwstr>roberto.tropea@tg.ch</vt:lpwstr>
  </property>
  <property name="FSC#COOELAK@1.1001:CurrentUserRolePos" pid="16" fmtid="{D5CDD505-2E9C-101B-9397-08002B2CF9AE}">
    <vt:lpwstr>Sachbearbeiter/in</vt:lpwstr>
  </property>
  <property name="FSC#COOELAK@1.1001:BaseNumber" pid="17" fmtid="{D5CDD505-2E9C-101B-9397-08002B2CF9AE}">
    <vt:lpwstr>21.02.03</vt:lpwstr>
  </property>
  <property name="FSC#COOELAK@1.1001:SettlementApprovedAt" pid="18" fmtid="{D5CDD505-2E9C-101B-9397-08002B2CF9AE}">
    <vt:lpwstr/>
  </property>
  <property name="FSC#COOELAK@1.1001:ExternalDate" pid="19" fmtid="{D5CDD505-2E9C-101B-9397-08002B2CF9AE}">
    <vt:lpwstr/>
  </property>
  <property name="FSC#COOELAK@1.1001:ApproverTitle" pid="20" fmtid="{D5CDD505-2E9C-101B-9397-08002B2CF9AE}">
    <vt:lpwstr/>
  </property>
  <property name="FSC#COOELAK@1.1001:ApproverSurName" pid="21" fmtid="{D5CDD505-2E9C-101B-9397-08002B2CF9AE}">
    <vt:lpwstr/>
  </property>
  <property name="FSC#COOELAK@1.1001:ApproverFirstName" pid="22" fmtid="{D5CDD505-2E9C-101B-9397-08002B2CF9AE}">
    <vt:lpwstr/>
  </property>
  <property name="FSC#COOELAK@1.1001:ProcessResponsibleFax" pid="23" fmtid="{D5CDD505-2E9C-101B-9397-08002B2CF9AE}">
    <vt:lpwstr/>
  </property>
  <property name="FSC#COOELAK@1.1001:ProcessResponsibleMail" pid="24" fmtid="{D5CDD505-2E9C-101B-9397-08002B2CF9AE}">
    <vt:lpwstr/>
  </property>
  <property name="FSC#COOELAK@1.1001:ProcessResponsiblePhone" pid="25" fmtid="{D5CDD505-2E9C-101B-9397-08002B2CF9AE}">
    <vt:lpwstr/>
  </property>
  <property name="FSC#COOELAK@1.1001:ProcessResponsible" pid="26" fmtid="{D5CDD505-2E9C-101B-9397-08002B2CF9AE}">
    <vt:lpwstr/>
  </property>
  <property name="FSC#COOELAK@1.1001:IncomingSubject" pid="27" fmtid="{D5CDD505-2E9C-101B-9397-08002B2CF9AE}">
    <vt:lpwstr/>
  </property>
  <property name="FSC#COOELAK@1.1001:IncomingNumber" pid="28" fmtid="{D5CDD505-2E9C-101B-9397-08002B2CF9AE}">
    <vt:lpwstr/>
  </property>
  <property name="FSC#COOELAK@1.1001:ExternalRef" pid="29" fmtid="{D5CDD505-2E9C-101B-9397-08002B2CF9AE}">
    <vt:lpwstr/>
  </property>
  <property name="FSC#COOELAK@1.1001:FileRefBarCode" pid="30" fmtid="{D5CDD505-2E9C-101B-9397-08002B2CF9AE}">
    <vt:lpwstr>*AVK/21.02.03/2023/00863*</vt:lpwstr>
  </property>
  <property name="FSC#COOELAK@1.1001:RefBarCode" pid="31" fmtid="{D5CDD505-2E9C-101B-9397-08002B2CF9AE}">
    <vt:lpwstr>*COO.2103.100.7.1725799*</vt:lpwstr>
  </property>
  <property name="FSC#COOELAK@1.1001:ObjBarCode" pid="32" fmtid="{D5CDD505-2E9C-101B-9397-08002B2CF9AE}">
    <vt:lpwstr>COO.2103.100.2.12609803</vt:lpwstr>
  </property>
  <property name="FSC#COOELAK@1.1001:Priority" pid="33" fmtid="{D5CDD505-2E9C-101B-9397-08002B2CF9AE}">
    <vt:lpwstr> ()</vt:lpwstr>
  </property>
  <property name="FSC#COOELAK@1.1001:OU" pid="34" fmtid="{D5CDD505-2E9C-101B-9397-08002B2CF9AE}">
    <vt:lpwstr>Amt für Volksschule, Amtsleitung (AVK)</vt:lpwstr>
  </property>
  <property name="FSC#COOELAK@1.1001:CreatedAt" pid="35" fmtid="{D5CDD505-2E9C-101B-9397-08002B2CF9AE}">
    <vt:lpwstr>11.06.2024</vt:lpwstr>
  </property>
  <property name="FSC#COOELAK@1.1001:Department" pid="36" fmtid="{D5CDD505-2E9C-101B-9397-08002B2CF9AE}">
    <vt:lpwstr>AVK Abteilung Finanzen (AVK_x005f_FIN)</vt:lpwstr>
  </property>
  <property name="FSC#COOELAK@1.1001:ApprovedAt" pid="37" fmtid="{D5CDD505-2E9C-101B-9397-08002B2CF9AE}">
    <vt:lpwstr/>
  </property>
  <property name="FSC#COOELAK@1.1001:ApprovedBy" pid="38" fmtid="{D5CDD505-2E9C-101B-9397-08002B2CF9AE}">
    <vt:lpwstr/>
  </property>
  <property name="FSC#COOELAK@1.1001:DispatchedAt" pid="39" fmtid="{D5CDD505-2E9C-101B-9397-08002B2CF9AE}">
    <vt:lpwstr/>
  </property>
  <property name="FSC#COOELAK@1.1001:DispatchedBy" pid="40" fmtid="{D5CDD505-2E9C-101B-9397-08002B2CF9AE}">
    <vt:lpwstr/>
  </property>
  <property name="FSC#COOELAK@1.1001:OwnerFaxExtension" pid="41" fmtid="{D5CDD505-2E9C-101B-9397-08002B2CF9AE}">
    <vt:lpwstr/>
  </property>
  <property name="FSC#COOELAK@1.1001:OwnerExtension" pid="42" fmtid="{D5CDD505-2E9C-101B-9397-08002B2CF9AE}">
    <vt:lpwstr>+41 58 345 57 89</vt:lpwstr>
  </property>
  <property name="FSC#COOELAK@1.1001:Owner" pid="43" fmtid="{D5CDD505-2E9C-101B-9397-08002B2CF9AE}">
    <vt:lpwstr>Tropea Roberto (Frauenfeld)</vt:lpwstr>
  </property>
  <property name="FSC#COOELAK@1.1001:Organization" pid="44" fmtid="{D5CDD505-2E9C-101B-9397-08002B2CF9AE}">
    <vt:lpwstr/>
  </property>
  <property name="FSC#COOELAK@1.1001:FileRefOU" pid="45" fmtid="{D5CDD505-2E9C-101B-9397-08002B2CF9AE}">
    <vt:lpwstr>AVK</vt:lpwstr>
  </property>
  <property name="FSC#COOELAK@1.1001:FileRefOrdinal" pid="46" fmtid="{D5CDD505-2E9C-101B-9397-08002B2CF9AE}">
    <vt:lpwstr>863</vt:lpwstr>
  </property>
  <property name="FSC#COOELAK@1.1001:FileRefYear" pid="47" fmtid="{D5CDD505-2E9C-101B-9397-08002B2CF9AE}">
    <vt:lpwstr>2023</vt:lpwstr>
  </property>
  <property name="FSC#COOELAK@1.1001:FileReference" pid="48" fmtid="{D5CDD505-2E9C-101B-9397-08002B2CF9AE}">
    <vt:lpwstr>AVK/21.02.03/2023/00863</vt:lpwstr>
  </property>
  <property name="FSC#COOELAK@1.1001:Subject" pid="49" fmtid="{D5CDD505-2E9C-101B-9397-08002B2CF9AE}">
    <vt:lpwstr/>
  </property>
  <property name="FSC#FSCIBISDOCPROPS@15.1400:DossierRef" pid="50" fmtid="{D5CDD505-2E9C-101B-9397-08002B2CF9AE}">
    <vt:lpwstr>AVK/21.02.03/2023/00863</vt:lpwstr>
  </property>
  <property name="FSC#FSCIBISDOCPROPS@15.1400:RRSessionDate" pid="51" fmtid="{D5CDD505-2E9C-101B-9397-08002B2CF9AE}">
    <vt:lpwstr/>
  </property>
  <property name="FSC#FSCIBISDOCPROPS@15.1400:RRBNumber" pid="52" fmtid="{D5CDD505-2E9C-101B-9397-08002B2CF9AE}">
    <vt:lpwstr>Nicht verfügbar</vt:lpwstr>
  </property>
  <property name="FSC#FSCIBISDOCPROPS@15.1400:TopLevelSubjectGroupPosNumber" pid="53" fmtid="{D5CDD505-2E9C-101B-9397-08002B2CF9AE}">
    <vt:lpwstr>21.02.03</vt:lpwstr>
  </property>
  <property name="FSC#FSCIBISDOCPROPS@15.1400:TopLevelDossierResponsible" pid="54" fmtid="{D5CDD505-2E9C-101B-9397-08002B2CF9AE}">
    <vt:lpwstr>Tropea, Roberto</vt:lpwstr>
  </property>
  <property name="FSC#FSCIBISDOCPROPS@15.1400:TopLevelDossierRespOrgShortname" pid="55" fmtid="{D5CDD505-2E9C-101B-9397-08002B2CF9AE}">
    <vt:lpwstr>AVK</vt:lpwstr>
  </property>
  <property name="FSC#FSCIBISDOCPROPS@15.1400:TopLevelDossierTitel" pid="56" fmtid="{D5CDD505-2E9C-101B-9397-08002B2CF9AE}">
    <vt:lpwstr>Musterdokumente 2023-2027</vt:lpwstr>
  </property>
  <property name="FSC#FSCIBISDOCPROPS@15.1400:TopLevelDossierYear" pid="57" fmtid="{D5CDD505-2E9C-101B-9397-08002B2CF9AE}">
    <vt:lpwstr>2023</vt:lpwstr>
  </property>
  <property name="FSC#FSCIBISDOCPROPS@15.1400:TopLevelDossierNumber" pid="58" fmtid="{D5CDD505-2E9C-101B-9397-08002B2CF9AE}">
    <vt:lpwstr>863</vt:lpwstr>
  </property>
  <property name="FSC#FSCIBISDOCPROPS@15.1400:TopLevelDossierName" pid="59" fmtid="{D5CDD505-2E9C-101B-9397-08002B2CF9AE}">
    <vt:lpwstr>Musterdokumente 2023-2027 (0863/2023/AVK)</vt:lpwstr>
  </property>
  <property name="FSC#FSCIBISDOCPROPS@15.1400:TitleSubFile" pid="60" fmtid="{D5CDD505-2E9C-101B-9397-08002B2CF9AE}">
    <vt:lpwstr>Musterdokumente für Schulgemeinden 2023-2027</vt:lpwstr>
  </property>
  <property name="FSC#FSCIBISDOCPROPS@15.1400:TopLevelSubfileNumber" pid="61" fmtid="{D5CDD505-2E9C-101B-9397-08002B2CF9AE}">
    <vt:lpwstr>1</vt:lpwstr>
  </property>
  <property name="FSC#FSCIBISDOCPROPS@15.1400:TopLevelSubfileName" pid="62" fmtid="{D5CDD505-2E9C-101B-9397-08002B2CF9AE}">
    <vt:lpwstr>Musterdokumente für Schulgemeinden 2023-2027 (001)</vt:lpwstr>
  </property>
  <property name="FSC#FSCIBISDOCPROPS@15.1400:GroupShortName" pid="63" fmtid="{D5CDD505-2E9C-101B-9397-08002B2CF9AE}">
    <vt:lpwstr>AVK_x005f_FIN</vt:lpwstr>
  </property>
  <property name="FSC#FSCIBISDOCPROPS@15.1400:OwnerAbbreviation" pid="64" fmtid="{D5CDD505-2E9C-101B-9397-08002B2CF9AE}">
    <vt:lpwstr/>
  </property>
  <property name="FSC#FSCIBISDOCPROPS@15.1400:Owner" pid="65" fmtid="{D5CDD505-2E9C-101B-9397-08002B2CF9AE}">
    <vt:lpwstr>Tropea, Roberto</vt:lpwstr>
  </property>
  <property name="FSC#FSCIBISDOCPROPS@15.1400:Subject" pid="66" fmtid="{D5CDD505-2E9C-101B-9397-08002B2CF9AE}">
    <vt:lpwstr>Nicht verfügbar</vt:lpwstr>
  </property>
  <property name="FSC#FSCIBISDOCPROPS@15.1400:Objectname" pid="67" fmtid="{D5CDD505-2E9C-101B-9397-08002B2CF9AE}">
    <vt:lpwstr>DAG_x005f_Berechnungstabelle_x005f_Verwaltungspersonal_x005f_17.1.14</vt:lpwstr>
  </property>
  <property name="FSC#COOSYSTEM@1.1:Container" pid="68" fmtid="{D5CDD505-2E9C-101B-9397-08002B2CF9AE}">
    <vt:lpwstr>COO.2103.100.2.12609803</vt:lpwstr>
  </property>
  <property name="FSC$NOVIRTUALATTRS" pid="69" fmtid="{D5CDD505-2E9C-101B-9397-08002B2CF9AE}">
    <vt:lpwstr/>
  </property>
  <property name="COO$NOVIRTUALATTRS" pid="70" fmtid="{D5CDD505-2E9C-101B-9397-08002B2CF9AE}">
    <vt:lpwstr/>
  </property>
  <property name="FSC$NOUSEREXPRESSIONS" pid="71" fmtid="{D5CDD505-2E9C-101B-9397-08002B2CF9AE}">
    <vt:lpwstr/>
  </property>
  <property name="COO$NOUSEREXPRESSIONS" pid="72" fmtid="{D5CDD505-2E9C-101B-9397-08002B2CF9AE}">
    <vt:lpwstr/>
  </property>
  <property name="FSC$NOPARSEFILE" pid="73" fmtid="{D5CDD505-2E9C-101B-9397-08002B2CF9AE}">
    <vt:lpwstr/>
  </property>
  <property name="COO$NOPARSEFILE" pid="74" fmtid="{D5CDD505-2E9C-101B-9397-08002B2CF9AE}">
    <vt:lpwstr/>
  </property>
  <property name="FSC#FSCIBISDOCPROPS@15.1400:BGMName" pid="75" fmtid="{D5CDD505-2E9C-101B-9397-08002B2CF9AE}">
    <vt:lpwstr> </vt:lpwstr>
  </property>
  <property name="FSC#FSCIBISDOCPROPS@15.1400:BGMFirstName" pid="76" fmtid="{D5CDD505-2E9C-101B-9397-08002B2CF9AE}">
    <vt:lpwstr> </vt:lpwstr>
  </property>
  <property name="FSC#FSCIBISDOCPROPS@15.1400:BGMZIP" pid="77" fmtid="{D5CDD505-2E9C-101B-9397-08002B2CF9AE}">
    <vt:lpwstr> </vt:lpwstr>
  </property>
  <property name="FSC#FSCIBISDOCPROPS@15.1400:BGMBirthday" pid="78" fmtid="{D5CDD505-2E9C-101B-9397-08002B2CF9AE}">
    <vt:lpwstr> </vt:lpwstr>
  </property>
  <property name="FSC#FSCIBISDOCPROPS@15.1400:BGMDiagnose" pid="79" fmtid="{D5CDD505-2E9C-101B-9397-08002B2CF9AE}">
    <vt:lpwstr> </vt:lpwstr>
  </property>
  <property name="FSC#FSCIBISDOCPROPS@15.1400:BMGDiagnoseAdd" pid="80" fmtid="{D5CDD505-2E9C-101B-9397-08002B2CF9AE}">
    <vt:lpwstr> </vt:lpwstr>
  </property>
  <property name="FSC#FSCIBISDOCPROPS@15.1400:BGMDiagnoseDetail" pid="81" fmtid="{D5CDD505-2E9C-101B-9397-08002B2CF9AE}">
    <vt:lpwstr> </vt:lpwstr>
  </property>
  <property name="FSC#LOCALSW@2103.100:BarCodeTopLevelSubfileTitle" pid="82" fmtid="{D5CDD505-2E9C-101B-9397-08002B2CF9AE}">
    <vt:lpwstr/>
  </property>
  <property name="FSC#LOCALSW@2103.100:BarCodeTitleSubFile" pid="83" fmtid="{D5CDD505-2E9C-101B-9397-08002B2CF9AE}">
    <vt:lpwstr/>
  </property>
  <property name="FSC#LOCALSW@2103.100:BarCodeOwnerSubFile" pid="84" fmtid="{D5CDD505-2E9C-101B-9397-08002B2CF9AE}">
    <vt:lpwstr/>
  </property>
  <property name="FSC#LOCALSW@2103.100:BarCodeTopLevelDossierName" pid="85" fmtid="{D5CDD505-2E9C-101B-9397-08002B2CF9AE}">
    <vt:lpwstr/>
  </property>
  <property name="FSC#LOCALSW@2103.100:BarCodeTopLevelDossierTitel" pid="86" fmtid="{D5CDD505-2E9C-101B-9397-08002B2CF9AE}">
    <vt:lpwstr/>
  </property>
  <property name="FSC#LOCALSW@2103.100:BarCodeDossierRef" pid="87" fmtid="{D5CDD505-2E9C-101B-9397-08002B2CF9AE}">
    <vt:lpwstr/>
  </property>
  <property name="FSC#FSCIBISDOCPROPS@15.1400:CreatedAtFormat" pid="88" fmtid="{D5CDD505-2E9C-101B-9397-08002B2CF9AE}">
    <vt:lpwstr>11. Juni 2024</vt:lpwstr>
  </property>
  <property name="FSC#FSCIBIS@15.1400:TopLevelSubfileAddress" pid="89" fmtid="{D5CDD505-2E9C-101B-9397-08002B2CF9AE}">
    <vt:lpwstr>COO.2103.100.7.1725799</vt:lpwstr>
  </property>
  <property name="FSC#FSCIBIS@15.1400:KdRNameOfConcerned" pid="90" fmtid="{D5CDD505-2E9C-101B-9397-08002B2CF9AE}">
    <vt:lpwstr>Nicht verfügbar</vt:lpwstr>
  </property>
  <property name="FSC#FSCIBIS@15.1400:KdRAddressOfConcerned" pid="91" fmtid="{D5CDD505-2E9C-101B-9397-08002B2CF9AE}">
    <vt:lpwstr>Nicht verfügbar</vt:lpwstr>
  </property>
  <property name="FSC#FSCIBIS@15.1400:KdRDeadline" pid="92" fmtid="{D5CDD505-2E9C-101B-9397-08002B2CF9AE}">
    <vt:lpwstr>Nicht verfügbar</vt:lpwstr>
  </property>
  <property name="FSC#FSCIBIS@15.1400:KdRVenue" pid="93" fmtid="{D5CDD505-2E9C-101B-9397-08002B2CF9AE}">
    <vt:lpwstr>Nicht verfügbar</vt:lpwstr>
  </property>
  <property name="FSC#FSCIBIS@15.1400:KdREventDate" pid="94" fmtid="{D5CDD505-2E9C-101B-9397-08002B2CF9AE}">
    <vt:lpwstr>Nicht verfügbar</vt:lpwstr>
  </property>
  <property name="FSC#FSCIBIS@15.1400:KdRPrevBusiness" pid="95" fmtid="{D5CDD505-2E9C-101B-9397-08002B2CF9AE}">
    <vt:lpwstr>Nicht verfügbar</vt:lpwstr>
  </property>
  <property name="FSC#FSCIBIS@15.1400:KdRDelegations" pid="96" fmtid="{D5CDD505-2E9C-101B-9397-08002B2CF9AE}">
    <vt:lpwstr>Nicht verfügbar</vt:lpwstr>
  </property>
  <property name="FSC#FSCIBIS@15.1400:SessionTitle" pid="97" fmtid="{D5CDD505-2E9C-101B-9397-08002B2CF9AE}">
    <vt:lpwstr/>
  </property>
  <property name="FSC#FSCIBIS@15.1400:SessionPrevSessionTitle" pid="98" fmtid="{D5CDD505-2E9C-101B-9397-08002B2CF9AE}">
    <vt:lpwstr/>
  </property>
  <property name="FSC#FSCIBIS@15.1400:SessionFrom" pid="99" fmtid="{D5CDD505-2E9C-101B-9397-08002B2CF9AE}">
    <vt:lpwstr/>
  </property>
  <property name="FSC#FSCIBIS@15.1400:SessionFromTime" pid="100" fmtid="{D5CDD505-2E9C-101B-9397-08002B2CF9AE}">
    <vt:lpwstr/>
  </property>
  <property name="FSC#FSCIBIS@15.1400:SessionPrevSessionFrom" pid="101" fmtid="{D5CDD505-2E9C-101B-9397-08002B2CF9AE}">
    <vt:lpwstr/>
  </property>
  <property name="FSC#FSCIBIS@15.1400:SessionTo" pid="102" fmtid="{D5CDD505-2E9C-101B-9397-08002B2CF9AE}">
    <vt:lpwstr/>
  </property>
  <property name="FSC#FSCIBIS@15.1400:SessionSubmissionDeadline" pid="103" fmtid="{D5CDD505-2E9C-101B-9397-08002B2CF9AE}">
    <vt:lpwstr/>
  </property>
  <property name="FSC#FSCIBIS@15.1400:SessionLink" pid="104" fmtid="{D5CDD505-2E9C-101B-9397-08002B2CF9AE}">
    <vt:lpwstr/>
  </property>
  <property name="FSC#FSCIBIS@15.1400:SessionNumber" pid="105" fmtid="{D5CDD505-2E9C-101B-9397-08002B2CF9AE}">
    <vt:lpwstr/>
  </property>
  <property name="FSC#FSCIBIS@15.1400:SessionContactListPersons" pid="106" fmtid="{D5CDD505-2E9C-101B-9397-08002B2CF9AE}">
    <vt:lpwstr>Nicht verfügbar</vt:lpwstr>
  </property>
  <property name="FSC#FSCIBIS@15.1400:SessionContactListStatus" pid="107" fmtid="{D5CDD505-2E9C-101B-9397-08002B2CF9AE}">
    <vt:lpwstr>Nicht verfügbar</vt:lpwstr>
  </property>
  <property name="FSC#FSCIBIS@15.1400:ArchiveMapGRGNumber" pid="108" fmtid="{D5CDD505-2E9C-101B-9397-08002B2CF9AE}">
    <vt:lpwstr/>
  </property>
  <property name="FSC#FSCIBIS@15.1400:ArchiveMapFinalNumber" pid="109" fmtid="{D5CDD505-2E9C-101B-9397-08002B2CF9AE}">
    <vt:lpwstr/>
  </property>
  <property name="FSC#FSCIBIS@15.1400:ArchiveMapSequentialNumber" pid="110" fmtid="{D5CDD505-2E9C-101B-9397-08002B2CF9AE}">
    <vt:lpwstr/>
  </property>
  <property name="FSC#FSCIBIS@15.1400:ArchiveMapFinalizeDate" pid="111" fmtid="{D5CDD505-2E9C-101B-9397-08002B2CF9AE}">
    <vt:lpwstr/>
  </property>
  <property name="FSC#FSCIBIS@15.1400:ArchiveMapTitle" pid="112" fmtid="{D5CDD505-2E9C-101B-9397-08002B2CF9AE}">
    <vt:lpwstr/>
  </property>
  <property name="FSC#FSCIBIS@15.1400:ArchiveMapBusinessType" pid="113" fmtid="{D5CDD505-2E9C-101B-9397-08002B2CF9AE}">
    <vt:lpwstr/>
  </property>
  <property name="FSC#FSCIBIS@15.1400:ArchiveMapSessionDate" pid="114" fmtid="{D5CDD505-2E9C-101B-9397-08002B2CF9AE}">
    <vt:lpwstr/>
  </property>
  <property name="FSC#FSCIBIS@15.1400:ArchiveMapProtocolNumber" pid="115" fmtid="{D5CDD505-2E9C-101B-9397-08002B2CF9AE}">
    <vt:lpwstr/>
  </property>
  <property name="FSC#FSCIBIS@15.1400:ArchiveMapProtocolPage" pid="116" fmtid="{D5CDD505-2E9C-101B-9397-08002B2CF9AE}">
    <vt:lpwstr/>
  </property>
  <property name="FSC#FSCIBIS@15.1400:GRSequentialNumber" pid="117" fmtid="{D5CDD505-2E9C-101B-9397-08002B2CF9AE}">
    <vt:lpwstr>Nicht verfügbar</vt:lpwstr>
  </property>
  <property name="FSC#FSCIBIS@15.1400:GRBusinessType" pid="118" fmtid="{D5CDD505-2E9C-101B-9397-08002B2CF9AE}">
    <vt:lpwstr>Nicht verfügbar</vt:lpwstr>
  </property>
  <property name="FSC#FSCIBIS@15.1400:GRGRGNumber" pid="119" fmtid="{D5CDD505-2E9C-101B-9397-08002B2CF9AE}">
    <vt:lpwstr>Nicht verfügbar</vt:lpwstr>
  </property>
  <property name="FSC#FSCIBIS@15.1400:GRLegislation" pid="120" fmtid="{D5CDD505-2E9C-101B-9397-08002B2CF9AE}">
    <vt:lpwstr>Nicht verfügbar</vt:lpwstr>
  </property>
  <property name="FSC#FSCIBIS@15.1400:GREntryDate" pid="121" fmtid="{D5CDD505-2E9C-101B-9397-08002B2CF9AE}">
    <vt:lpwstr>Nicht verfügbar</vt:lpwstr>
  </property>
  <property name="FSC#LOCALSW@2103.100:TGDOSREI" pid="122" fmtid="{D5CDD505-2E9C-101B-9397-08002B2CF9AE}">
    <vt:lpwstr>21.02.03</vt:lpwstr>
  </property>
  <property name="FSC#ATSTATECFG@1.1001:Office" pid="123" fmtid="{D5CDD505-2E9C-101B-9397-08002B2CF9AE}">
    <vt:lpwstr/>
  </property>
  <property name="FSC#ATSTATECFG@1.1001:Agent" pid="124" fmtid="{D5CDD505-2E9C-101B-9397-08002B2CF9AE}">
    <vt:lpwstr>Roberto Tropea</vt:lpwstr>
  </property>
  <property name="FSC#ATSTATECFG@1.1001:AgentPhone" pid="125" fmtid="{D5CDD505-2E9C-101B-9397-08002B2CF9AE}">
    <vt:lpwstr>+41 58 345 57 89</vt:lpwstr>
  </property>
  <property name="FSC#ATSTATECFG@1.1001:DepartmentFax" pid="126" fmtid="{D5CDD505-2E9C-101B-9397-08002B2CF9AE}">
    <vt:lpwstr/>
  </property>
  <property name="FSC#ATSTATECFG@1.1001:DepartmentEmail" pid="127" fmtid="{D5CDD505-2E9C-101B-9397-08002B2CF9AE}">
    <vt:lpwstr>leitung.avk@tg.ch</vt:lpwstr>
  </property>
  <property name="FSC#ATSTATECFG@1.1001:SubfileDate" pid="128" fmtid="{D5CDD505-2E9C-101B-9397-08002B2CF9AE}">
    <vt:lpwstr>20.04.2023</vt:lpwstr>
  </property>
  <property name="FSC#ATSTATECFG@1.1001:SubfileSubject" pid="129" fmtid="{D5CDD505-2E9C-101B-9397-08002B2CF9AE}">
    <vt:lpwstr/>
  </property>
  <property name="FSC#ATSTATECFG@1.1001:DepartmentZipCode" pid="130" fmtid="{D5CDD505-2E9C-101B-9397-08002B2CF9AE}">
    <vt:lpwstr>8510</vt:lpwstr>
  </property>
  <property name="FSC#ATSTATECFG@1.1001:DepartmentCountry" pid="131" fmtid="{D5CDD505-2E9C-101B-9397-08002B2CF9AE}">
    <vt:lpwstr>Schweiz</vt:lpwstr>
  </property>
  <property name="FSC#ATSTATECFG@1.1001:DepartmentCity" pid="132" fmtid="{D5CDD505-2E9C-101B-9397-08002B2CF9AE}">
    <vt:lpwstr>Frauenfeld</vt:lpwstr>
  </property>
  <property name="FSC#ATSTATECFG@1.1001:DepartmentStreet" pid="133" fmtid="{D5CDD505-2E9C-101B-9397-08002B2CF9AE}">
    <vt:lpwstr>Spannerstrasse 31</vt:lpwstr>
  </property>
  <property name="FSC#CCAPRECONFIGG@15.1001:DepartmentON" pid="134" fmtid="{D5CDD505-2E9C-101B-9397-08002B2CF9AE}">
    <vt:lpwstr/>
  </property>
  <property name="FSC#CCAPRECONFIGG@15.1001:DepartmentWebsite" pid="135" fmtid="{D5CDD505-2E9C-101B-9397-08002B2CF9AE}">
    <vt:lpwstr/>
  </property>
  <property name="FSC#ATSTATECFG@1.1001:DepartmentDVR" pid="136" fmtid="{D5CDD505-2E9C-101B-9397-08002B2CF9AE}">
    <vt:lpwstr/>
  </property>
  <property name="FSC#ATSTATECFG@1.1001:DepartmentUID" pid="137" fmtid="{D5CDD505-2E9C-101B-9397-08002B2CF9AE}">
    <vt:lpwstr>4110</vt:lpwstr>
  </property>
  <property name="FSC#ATSTATECFG@1.1001:SubfileReference" pid="138" fmtid="{D5CDD505-2E9C-101B-9397-08002B2CF9AE}">
    <vt:lpwstr>001</vt:lpwstr>
  </property>
  <property name="FSC#ATSTATECFG@1.1001:Clause" pid="139" fmtid="{D5CDD505-2E9C-101B-9397-08002B2CF9AE}">
    <vt:lpwstr/>
  </property>
  <property name="FSC#ATSTATECFG@1.1001:ApprovedSignature" pid="140" fmtid="{D5CDD505-2E9C-101B-9397-08002B2CF9AE}">
    <vt:lpwstr/>
  </property>
  <property name="FSC#ATSTATECFG@1.1001:BankAccount" pid="141" fmtid="{D5CDD505-2E9C-101B-9397-08002B2CF9AE}">
    <vt:lpwstr/>
  </property>
  <property name="FSC#ATSTATECFG@1.1001:BankAccountOwner" pid="142" fmtid="{D5CDD505-2E9C-101B-9397-08002B2CF9AE}">
    <vt:lpwstr/>
  </property>
  <property name="FSC#ATSTATECFG@1.1001:BankInstitute" pid="143" fmtid="{D5CDD505-2E9C-101B-9397-08002B2CF9AE}">
    <vt:lpwstr/>
  </property>
  <property name="FSC#ATSTATECFG@1.1001:BankAccountID" pid="144" fmtid="{D5CDD505-2E9C-101B-9397-08002B2CF9AE}">
    <vt:lpwstr/>
  </property>
  <property name="FSC#ATSTATECFG@1.1001:BankAccountIBAN" pid="145" fmtid="{D5CDD505-2E9C-101B-9397-08002B2CF9AE}">
    <vt:lpwstr/>
  </property>
  <property name="FSC#ATSTATECFG@1.1001:BankAccountBIC" pid="146" fmtid="{D5CDD505-2E9C-101B-9397-08002B2CF9AE}">
    <vt:lpwstr/>
  </property>
  <property name="FSC#ATSTATECFG@1.1001:BankName" pid="147" fmtid="{D5CDD505-2E9C-101B-9397-08002B2CF9AE}">
    <vt:lpwstr/>
  </property>
  <property name="FSC#COOELAK@1.1001:ObjectAddressees" pid="148" fmtid="{D5CDD505-2E9C-101B-9397-08002B2CF9AE}">
    <vt:lpwstr/>
  </property>
  <property name="FSC#COOELAK@1.1001:replyreference" pid="149" fmtid="{D5CDD505-2E9C-101B-9397-08002B2CF9AE}">
    <vt:lpwstr/>
  </property>
  <property name="FSC#COOELAK@1.1001:OfficeHours" pid="150" fmtid="{D5CDD505-2E9C-101B-9397-08002B2CF9AE}">
    <vt:lpwstr/>
  </property>
  <property name="FSC#FSCFOLIO@1.1001:docpropproject" pid="151" fmtid="{D5CDD505-2E9C-101B-9397-08002B2CF9AE}">
    <vt:lpwstr/>
  </property>
</Properties>
</file>