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workbookProtection workbookPassword="F2E5" lockStructure="1"/>
  <bookViews>
    <workbookView xWindow="-15" yWindow="-15" windowWidth="8805" windowHeight="5640" tabRatio="601" firstSheet="1" activeTab="1"/>
  </bookViews>
  <sheets>
    <sheet name="Vorgehen" sheetId="1" state="hidden" r:id="rId1"/>
    <sheet name="Druck" sheetId="2" r:id="rId2"/>
    <sheet name="Funktional" sheetId="3" r:id="rId3"/>
    <sheet name="Artengliederung" sheetId="4" r:id="rId4"/>
    <sheet name="Kennzahlen" sheetId="5" r:id="rId5"/>
    <sheet name="Kennzahlen Revision" sheetId="6" r:id="rId6"/>
    <sheet name="KiGa - PS" sheetId="7" r:id="rId7"/>
    <sheet name="Hilfe Min. übriger Aufwand Kiga" sheetId="8" state="hidden" r:id="rId8"/>
    <sheet name="Soll-Daten" sheetId="9" state="hidden" r:id="rId9"/>
    <sheet name="Datendefinierung" sheetId="10" state="hidden" r:id="rId10"/>
    <sheet name="Zusammenfassung" sheetId="11" state="hidden" r:id="rId11"/>
    <sheet name="Bilder" sheetId="12" state="hidden" r:id="rId12"/>
    <sheet name="pro S 98_99" sheetId="13" state="hidden" r:id="rId13"/>
    <sheet name="Zum_Vorjahr" sheetId="14" state="hidden" r:id="rId14"/>
    <sheet name="Schnitt" sheetId="15" state="hidden" r:id="rId15"/>
    <sheet name="Tabelle16" sheetId="16" state="hidden" r:id="rId16"/>
  </sheets>
  <definedNames>
    <definedName name="_xlnm.Print_Titles" localSheetId="3">Artengliederung!$5:$7</definedName>
    <definedName name="_xlnm.Print_Titles" localSheetId="1">Druck!$3:$4</definedName>
    <definedName name="_xlnm.Print_Titles" localSheetId="2">Funktional!$A:$A,Funktional!$5:$7</definedName>
    <definedName name="_xlnm.Print_Titles" localSheetId="4">Kennzahlen!$A:$A,Kennzahlen!$5:$7</definedName>
    <definedName name="_xlnm.Print_Titles" localSheetId="5">'Kennzahlen Revision'!$A:$A,'Kennzahlen Revision'!$5:$7</definedName>
  </definedNames>
  <calcPr calcId="0" calcMode="manual" fullCalcOnLoad="1"/>
</workbook>
</file>

<file path=xl/calcChain.xml><?xml version="1.0" encoding="utf-8"?>
<calcChain xmlns="http://schemas.openxmlformats.org/spreadsheetml/2006/main">
  <c r="A8" i="4" l="1"/>
  <c r="B8" i="4"/>
  <c r="C8" i="4"/>
  <c r="D8" i="4"/>
  <c r="E8" i="4"/>
  <c r="G8" i="4"/>
  <c r="H8" i="4"/>
  <c r="I8" i="4"/>
  <c r="K8" i="4"/>
  <c r="L8" i="4"/>
  <c r="M8" i="4"/>
  <c r="O8" i="4"/>
  <c r="P8" i="4"/>
  <c r="Q8" i="4"/>
  <c r="R8" i="4"/>
  <c r="U8" i="4"/>
  <c r="V8" i="4"/>
  <c r="W8" i="4"/>
  <c r="Y8" i="4"/>
  <c r="Z8" i="4"/>
  <c r="AB8" i="4"/>
  <c r="AC8" i="4"/>
  <c r="AD8" i="4"/>
  <c r="AF8" i="4"/>
  <c r="AG8" i="4"/>
  <c r="AH8" i="4"/>
  <c r="AI8" i="4"/>
  <c r="AK8" i="4"/>
  <c r="AM8" i="4"/>
  <c r="AN8" i="4"/>
  <c r="A9" i="4"/>
  <c r="B9" i="4"/>
  <c r="C9" i="4"/>
  <c r="D9" i="4"/>
  <c r="E9" i="4"/>
  <c r="G9" i="4"/>
  <c r="H9" i="4"/>
  <c r="I9" i="4"/>
  <c r="K9" i="4"/>
  <c r="L9" i="4"/>
  <c r="M9" i="4"/>
  <c r="O9" i="4"/>
  <c r="P9" i="4"/>
  <c r="Q9" i="4"/>
  <c r="R9" i="4"/>
  <c r="U9" i="4"/>
  <c r="V9" i="4"/>
  <c r="W9" i="4"/>
  <c r="Y9" i="4"/>
  <c r="Z9" i="4"/>
  <c r="AB9" i="4"/>
  <c r="AC9" i="4"/>
  <c r="AD9" i="4"/>
  <c r="AF9" i="4"/>
  <c r="AG9" i="4"/>
  <c r="AH9" i="4"/>
  <c r="AI9" i="4"/>
  <c r="AK9" i="4"/>
  <c r="AM9" i="4"/>
  <c r="AN9" i="4"/>
  <c r="A10" i="4"/>
  <c r="B10" i="4"/>
  <c r="C10" i="4"/>
  <c r="D10" i="4"/>
  <c r="E10" i="4"/>
  <c r="G10" i="4"/>
  <c r="H10" i="4"/>
  <c r="I10" i="4"/>
  <c r="K10" i="4"/>
  <c r="L10" i="4"/>
  <c r="M10" i="4"/>
  <c r="O10" i="4"/>
  <c r="P10" i="4"/>
  <c r="Q10" i="4"/>
  <c r="R10" i="4"/>
  <c r="U10" i="4"/>
  <c r="V10" i="4"/>
  <c r="W10" i="4"/>
  <c r="Y10" i="4"/>
  <c r="Z10" i="4"/>
  <c r="AB10" i="4"/>
  <c r="AC10" i="4"/>
  <c r="AD10" i="4"/>
  <c r="AF10" i="4"/>
  <c r="AG10" i="4"/>
  <c r="AH10" i="4"/>
  <c r="AI10" i="4"/>
  <c r="AK10" i="4"/>
  <c r="AM10" i="4"/>
  <c r="AN10" i="4"/>
  <c r="A11" i="4"/>
  <c r="B11" i="4"/>
  <c r="C11" i="4"/>
  <c r="D11" i="4"/>
  <c r="E11" i="4"/>
  <c r="G11" i="4"/>
  <c r="H11" i="4"/>
  <c r="I11" i="4"/>
  <c r="K11" i="4"/>
  <c r="L11" i="4"/>
  <c r="M11" i="4"/>
  <c r="O11" i="4"/>
  <c r="P11" i="4"/>
  <c r="Q11" i="4"/>
  <c r="R11" i="4"/>
  <c r="U11" i="4"/>
  <c r="V11" i="4"/>
  <c r="W11" i="4"/>
  <c r="Y11" i="4"/>
  <c r="Z11" i="4"/>
  <c r="AB11" i="4"/>
  <c r="AC11" i="4"/>
  <c r="AD11" i="4"/>
  <c r="AF11" i="4"/>
  <c r="AG11" i="4"/>
  <c r="AH11" i="4"/>
  <c r="AI11" i="4"/>
  <c r="AK11" i="4"/>
  <c r="AM11" i="4"/>
  <c r="AN11" i="4"/>
  <c r="A12" i="4"/>
  <c r="B12" i="4"/>
  <c r="C12" i="4"/>
  <c r="D12" i="4"/>
  <c r="E12" i="4"/>
  <c r="G12" i="4"/>
  <c r="H12" i="4"/>
  <c r="I12" i="4"/>
  <c r="K12" i="4"/>
  <c r="L12" i="4"/>
  <c r="M12" i="4"/>
  <c r="O12" i="4"/>
  <c r="P12" i="4"/>
  <c r="Q12" i="4"/>
  <c r="R12" i="4"/>
  <c r="U12" i="4"/>
  <c r="V12" i="4"/>
  <c r="W12" i="4"/>
  <c r="Y12" i="4"/>
  <c r="Z12" i="4"/>
  <c r="AB12" i="4"/>
  <c r="AC12" i="4"/>
  <c r="AD12" i="4"/>
  <c r="AF12" i="4"/>
  <c r="AG12" i="4"/>
  <c r="AH12" i="4"/>
  <c r="AI12" i="4"/>
  <c r="AK12" i="4"/>
  <c r="AM12" i="4"/>
  <c r="AN12" i="4"/>
  <c r="A13" i="4"/>
  <c r="B13" i="4"/>
  <c r="C13" i="4"/>
  <c r="D13" i="4"/>
  <c r="E13" i="4"/>
  <c r="G13" i="4"/>
  <c r="H13" i="4"/>
  <c r="I13" i="4"/>
  <c r="K13" i="4"/>
  <c r="L13" i="4"/>
  <c r="M13" i="4"/>
  <c r="O13" i="4"/>
  <c r="P13" i="4"/>
  <c r="Q13" i="4"/>
  <c r="R13" i="4"/>
  <c r="U13" i="4"/>
  <c r="V13" i="4"/>
  <c r="W13" i="4"/>
  <c r="Y13" i="4"/>
  <c r="Z13" i="4"/>
  <c r="AB13" i="4"/>
  <c r="AC13" i="4"/>
  <c r="AD13" i="4"/>
  <c r="AF13" i="4"/>
  <c r="AG13" i="4"/>
  <c r="AH13" i="4"/>
  <c r="AI13" i="4"/>
  <c r="AK13" i="4"/>
  <c r="AM13" i="4"/>
  <c r="AN13" i="4"/>
  <c r="A14" i="4"/>
  <c r="B14" i="4"/>
  <c r="C14" i="4"/>
  <c r="D14" i="4"/>
  <c r="E14" i="4"/>
  <c r="G14" i="4"/>
  <c r="H14" i="4"/>
  <c r="I14" i="4"/>
  <c r="K14" i="4"/>
  <c r="L14" i="4"/>
  <c r="M14" i="4"/>
  <c r="O14" i="4"/>
  <c r="P14" i="4"/>
  <c r="Q14" i="4"/>
  <c r="R14" i="4"/>
  <c r="U14" i="4"/>
  <c r="V14" i="4"/>
  <c r="W14" i="4"/>
  <c r="Y14" i="4"/>
  <c r="Z14" i="4"/>
  <c r="AB14" i="4"/>
  <c r="AC14" i="4"/>
  <c r="AD14" i="4"/>
  <c r="AF14" i="4"/>
  <c r="AG14" i="4"/>
  <c r="AH14" i="4"/>
  <c r="AI14" i="4"/>
  <c r="AK14" i="4"/>
  <c r="AM14" i="4"/>
  <c r="AN14" i="4"/>
  <c r="A15" i="4"/>
  <c r="B15" i="4"/>
  <c r="C15" i="4"/>
  <c r="D15" i="4"/>
  <c r="E15" i="4"/>
  <c r="G15" i="4"/>
  <c r="H15" i="4"/>
  <c r="I15" i="4"/>
  <c r="K15" i="4"/>
  <c r="L15" i="4"/>
  <c r="M15" i="4"/>
  <c r="O15" i="4"/>
  <c r="P15" i="4"/>
  <c r="Q15" i="4"/>
  <c r="R15" i="4"/>
  <c r="U15" i="4"/>
  <c r="V15" i="4"/>
  <c r="W15" i="4"/>
  <c r="Y15" i="4"/>
  <c r="Z15" i="4"/>
  <c r="AB15" i="4"/>
  <c r="AC15" i="4"/>
  <c r="AD15" i="4"/>
  <c r="AF15" i="4"/>
  <c r="AG15" i="4"/>
  <c r="AH15" i="4"/>
  <c r="AI15" i="4"/>
  <c r="AK15" i="4"/>
  <c r="AM15" i="4"/>
  <c r="AN15" i="4"/>
  <c r="A16" i="4"/>
  <c r="B16" i="4"/>
  <c r="C16" i="4"/>
  <c r="D16" i="4"/>
  <c r="E16" i="4"/>
  <c r="G16" i="4"/>
  <c r="H16" i="4"/>
  <c r="I16" i="4"/>
  <c r="K16" i="4"/>
  <c r="L16" i="4"/>
  <c r="M16" i="4"/>
  <c r="O16" i="4"/>
  <c r="P16" i="4"/>
  <c r="Q16" i="4"/>
  <c r="R16" i="4"/>
  <c r="U16" i="4"/>
  <c r="V16" i="4"/>
  <c r="W16" i="4"/>
  <c r="Y16" i="4"/>
  <c r="Z16" i="4"/>
  <c r="AB16" i="4"/>
  <c r="AC16" i="4"/>
  <c r="AD16" i="4"/>
  <c r="AF16" i="4"/>
  <c r="AG16" i="4"/>
  <c r="AH16" i="4"/>
  <c r="AI16" i="4"/>
  <c r="AK16" i="4"/>
  <c r="AM16" i="4"/>
  <c r="AN16" i="4"/>
  <c r="A17" i="4"/>
  <c r="B17" i="4"/>
  <c r="C17" i="4"/>
  <c r="D17" i="4"/>
  <c r="E17" i="4"/>
  <c r="G17" i="4"/>
  <c r="H17" i="4"/>
  <c r="I17" i="4"/>
  <c r="K17" i="4"/>
  <c r="L17" i="4"/>
  <c r="M17" i="4"/>
  <c r="O17" i="4"/>
  <c r="P17" i="4"/>
  <c r="Q17" i="4"/>
  <c r="R17" i="4"/>
  <c r="U17" i="4"/>
  <c r="V17" i="4"/>
  <c r="W17" i="4"/>
  <c r="Y17" i="4"/>
  <c r="Z17" i="4"/>
  <c r="AB17" i="4"/>
  <c r="AC17" i="4"/>
  <c r="AD17" i="4"/>
  <c r="AF17" i="4"/>
  <c r="AG17" i="4"/>
  <c r="AH17" i="4"/>
  <c r="AI17" i="4"/>
  <c r="AK17" i="4"/>
  <c r="AM17" i="4"/>
  <c r="AN17" i="4"/>
  <c r="A18" i="4"/>
  <c r="B18" i="4"/>
  <c r="C18" i="4"/>
  <c r="D18" i="4"/>
  <c r="E18" i="4"/>
  <c r="G18" i="4"/>
  <c r="H18" i="4"/>
  <c r="I18" i="4"/>
  <c r="K18" i="4"/>
  <c r="L18" i="4"/>
  <c r="M18" i="4"/>
  <c r="O18" i="4"/>
  <c r="P18" i="4"/>
  <c r="Q18" i="4"/>
  <c r="R18" i="4"/>
  <c r="U18" i="4"/>
  <c r="V18" i="4"/>
  <c r="W18" i="4"/>
  <c r="Y18" i="4"/>
  <c r="Z18" i="4"/>
  <c r="AB18" i="4"/>
  <c r="AC18" i="4"/>
  <c r="AD18" i="4"/>
  <c r="AF18" i="4"/>
  <c r="AG18" i="4"/>
  <c r="AH18" i="4"/>
  <c r="AI18" i="4"/>
  <c r="AK18" i="4"/>
  <c r="AM18" i="4"/>
  <c r="AN18" i="4"/>
  <c r="A19" i="4"/>
  <c r="B19" i="4"/>
  <c r="C19" i="4"/>
  <c r="D19" i="4"/>
  <c r="E19" i="4"/>
  <c r="G19" i="4"/>
  <c r="H19" i="4"/>
  <c r="I19" i="4"/>
  <c r="K19" i="4"/>
  <c r="L19" i="4"/>
  <c r="M19" i="4"/>
  <c r="O19" i="4"/>
  <c r="P19" i="4"/>
  <c r="Q19" i="4"/>
  <c r="R19" i="4"/>
  <c r="U19" i="4"/>
  <c r="V19" i="4"/>
  <c r="W19" i="4"/>
  <c r="Y19" i="4"/>
  <c r="Z19" i="4"/>
  <c r="AB19" i="4"/>
  <c r="AC19" i="4"/>
  <c r="AD19" i="4"/>
  <c r="AF19" i="4"/>
  <c r="AG19" i="4"/>
  <c r="AH19" i="4"/>
  <c r="AI19" i="4"/>
  <c r="AK19" i="4"/>
  <c r="AM19" i="4"/>
  <c r="AN19" i="4"/>
  <c r="A20" i="4"/>
  <c r="B20" i="4"/>
  <c r="C20" i="4"/>
  <c r="D20" i="4"/>
  <c r="E20" i="4"/>
  <c r="G20" i="4"/>
  <c r="H20" i="4"/>
  <c r="I20" i="4"/>
  <c r="K20" i="4"/>
  <c r="L20" i="4"/>
  <c r="M20" i="4"/>
  <c r="O20" i="4"/>
  <c r="P20" i="4"/>
  <c r="Q20" i="4"/>
  <c r="R20" i="4"/>
  <c r="U20" i="4"/>
  <c r="V20" i="4"/>
  <c r="W20" i="4"/>
  <c r="Y20" i="4"/>
  <c r="Z20" i="4"/>
  <c r="AB20" i="4"/>
  <c r="AC20" i="4"/>
  <c r="AD20" i="4"/>
  <c r="AF20" i="4"/>
  <c r="AG20" i="4"/>
  <c r="AH20" i="4"/>
  <c r="AI20" i="4"/>
  <c r="AK20" i="4"/>
  <c r="AM20" i="4"/>
  <c r="AN20" i="4"/>
  <c r="A21" i="4"/>
  <c r="B21" i="4"/>
  <c r="C21" i="4"/>
  <c r="D21" i="4"/>
  <c r="E21" i="4"/>
  <c r="G21" i="4"/>
  <c r="H21" i="4"/>
  <c r="I21" i="4"/>
  <c r="K21" i="4"/>
  <c r="L21" i="4"/>
  <c r="M21" i="4"/>
  <c r="O21" i="4"/>
  <c r="P21" i="4"/>
  <c r="Q21" i="4"/>
  <c r="R21" i="4"/>
  <c r="U21" i="4"/>
  <c r="V21" i="4"/>
  <c r="W21" i="4"/>
  <c r="Y21" i="4"/>
  <c r="Z21" i="4"/>
  <c r="AB21" i="4"/>
  <c r="AC21" i="4"/>
  <c r="AD21" i="4"/>
  <c r="AF21" i="4"/>
  <c r="AG21" i="4"/>
  <c r="AH21" i="4"/>
  <c r="AI21" i="4"/>
  <c r="AK21" i="4"/>
  <c r="AM21" i="4"/>
  <c r="AN21" i="4"/>
  <c r="A22" i="4"/>
  <c r="B22" i="4"/>
  <c r="C22" i="4"/>
  <c r="D22" i="4"/>
  <c r="E22" i="4"/>
  <c r="G22" i="4"/>
  <c r="H22" i="4"/>
  <c r="I22" i="4"/>
  <c r="K22" i="4"/>
  <c r="L22" i="4"/>
  <c r="M22" i="4"/>
  <c r="O22" i="4"/>
  <c r="P22" i="4"/>
  <c r="Q22" i="4"/>
  <c r="R22" i="4"/>
  <c r="U22" i="4"/>
  <c r="V22" i="4"/>
  <c r="W22" i="4"/>
  <c r="Y22" i="4"/>
  <c r="Z22" i="4"/>
  <c r="AB22" i="4"/>
  <c r="AC22" i="4"/>
  <c r="AD22" i="4"/>
  <c r="AF22" i="4"/>
  <c r="AG22" i="4"/>
  <c r="AH22" i="4"/>
  <c r="AI22" i="4"/>
  <c r="AK22" i="4"/>
  <c r="AM22" i="4"/>
  <c r="AN22" i="4"/>
  <c r="A23" i="4"/>
  <c r="B23" i="4"/>
  <c r="C23" i="4"/>
  <c r="D23" i="4"/>
  <c r="E23" i="4"/>
  <c r="G23" i="4"/>
  <c r="H23" i="4"/>
  <c r="I23" i="4"/>
  <c r="K23" i="4"/>
  <c r="L23" i="4"/>
  <c r="M23" i="4"/>
  <c r="O23" i="4"/>
  <c r="P23" i="4"/>
  <c r="Q23" i="4"/>
  <c r="R23" i="4"/>
  <c r="U23" i="4"/>
  <c r="V23" i="4"/>
  <c r="W23" i="4"/>
  <c r="Y23" i="4"/>
  <c r="Z23" i="4"/>
  <c r="AB23" i="4"/>
  <c r="AC23" i="4"/>
  <c r="AD23" i="4"/>
  <c r="AF23" i="4"/>
  <c r="AG23" i="4"/>
  <c r="AH23" i="4"/>
  <c r="AI23" i="4"/>
  <c r="AK23" i="4"/>
  <c r="AM23" i="4"/>
  <c r="AN23" i="4"/>
  <c r="A24" i="4"/>
  <c r="B24" i="4"/>
  <c r="C24" i="4"/>
  <c r="D24" i="4"/>
  <c r="E24" i="4"/>
  <c r="G24" i="4"/>
  <c r="H24" i="4"/>
  <c r="I24" i="4"/>
  <c r="K24" i="4"/>
  <c r="L24" i="4"/>
  <c r="M24" i="4"/>
  <c r="O24" i="4"/>
  <c r="P24" i="4"/>
  <c r="Q24" i="4"/>
  <c r="R24" i="4"/>
  <c r="U24" i="4"/>
  <c r="V24" i="4"/>
  <c r="W24" i="4"/>
  <c r="Y24" i="4"/>
  <c r="Z24" i="4"/>
  <c r="AB24" i="4"/>
  <c r="AC24" i="4"/>
  <c r="AD24" i="4"/>
  <c r="AF24" i="4"/>
  <c r="AG24" i="4"/>
  <c r="AH24" i="4"/>
  <c r="AI24" i="4"/>
  <c r="AK24" i="4"/>
  <c r="AM24" i="4"/>
  <c r="AN24" i="4"/>
  <c r="A25" i="4"/>
  <c r="B25" i="4"/>
  <c r="C25" i="4"/>
  <c r="D25" i="4"/>
  <c r="E25" i="4"/>
  <c r="G25" i="4"/>
  <c r="H25" i="4"/>
  <c r="I25" i="4"/>
  <c r="K25" i="4"/>
  <c r="L25" i="4"/>
  <c r="M25" i="4"/>
  <c r="O25" i="4"/>
  <c r="P25" i="4"/>
  <c r="Q25" i="4"/>
  <c r="R25" i="4"/>
  <c r="U25" i="4"/>
  <c r="V25" i="4"/>
  <c r="W25" i="4"/>
  <c r="Y25" i="4"/>
  <c r="Z25" i="4"/>
  <c r="AB25" i="4"/>
  <c r="AC25" i="4"/>
  <c r="AD25" i="4"/>
  <c r="AF25" i="4"/>
  <c r="AG25" i="4"/>
  <c r="AH25" i="4"/>
  <c r="AI25" i="4"/>
  <c r="AK25" i="4"/>
  <c r="AM25" i="4"/>
  <c r="AN25" i="4"/>
  <c r="A26" i="4"/>
  <c r="B26" i="4"/>
  <c r="C26" i="4"/>
  <c r="D26" i="4"/>
  <c r="E26" i="4"/>
  <c r="G26" i="4"/>
  <c r="H26" i="4"/>
  <c r="I26" i="4"/>
  <c r="K26" i="4"/>
  <c r="L26" i="4"/>
  <c r="M26" i="4"/>
  <c r="O26" i="4"/>
  <c r="P26" i="4"/>
  <c r="Q26" i="4"/>
  <c r="R26" i="4"/>
  <c r="U26" i="4"/>
  <c r="V26" i="4"/>
  <c r="W26" i="4"/>
  <c r="Y26" i="4"/>
  <c r="Z26" i="4"/>
  <c r="AB26" i="4"/>
  <c r="AC26" i="4"/>
  <c r="AD26" i="4"/>
  <c r="AF26" i="4"/>
  <c r="AG26" i="4"/>
  <c r="AH26" i="4"/>
  <c r="AI26" i="4"/>
  <c r="AK26" i="4"/>
  <c r="AM26" i="4"/>
  <c r="AN26" i="4"/>
  <c r="A27" i="4"/>
  <c r="B27" i="4"/>
  <c r="C27" i="4"/>
  <c r="D27" i="4"/>
  <c r="E27" i="4"/>
  <c r="G27" i="4"/>
  <c r="H27" i="4"/>
  <c r="I27" i="4"/>
  <c r="K27" i="4"/>
  <c r="L27" i="4"/>
  <c r="M27" i="4"/>
  <c r="O27" i="4"/>
  <c r="P27" i="4"/>
  <c r="Q27" i="4"/>
  <c r="R27" i="4"/>
  <c r="U27" i="4"/>
  <c r="V27" i="4"/>
  <c r="W27" i="4"/>
  <c r="Y27" i="4"/>
  <c r="Z27" i="4"/>
  <c r="AB27" i="4"/>
  <c r="AC27" i="4"/>
  <c r="AD27" i="4"/>
  <c r="AF27" i="4"/>
  <c r="AG27" i="4"/>
  <c r="AH27" i="4"/>
  <c r="AI27" i="4"/>
  <c r="AK27" i="4"/>
  <c r="AM27" i="4"/>
  <c r="AN27" i="4"/>
  <c r="A28" i="4"/>
  <c r="B28" i="4"/>
  <c r="C28" i="4"/>
  <c r="D28" i="4"/>
  <c r="E28" i="4"/>
  <c r="G28" i="4"/>
  <c r="H28" i="4"/>
  <c r="I28" i="4"/>
  <c r="K28" i="4"/>
  <c r="L28" i="4"/>
  <c r="M28" i="4"/>
  <c r="O28" i="4"/>
  <c r="P28" i="4"/>
  <c r="Q28" i="4"/>
  <c r="R28" i="4"/>
  <c r="U28" i="4"/>
  <c r="V28" i="4"/>
  <c r="W28" i="4"/>
  <c r="Y28" i="4"/>
  <c r="Z28" i="4"/>
  <c r="AB28" i="4"/>
  <c r="AC28" i="4"/>
  <c r="AD28" i="4"/>
  <c r="AF28" i="4"/>
  <c r="AG28" i="4"/>
  <c r="AH28" i="4"/>
  <c r="AI28" i="4"/>
  <c r="AK28" i="4"/>
  <c r="AM28" i="4"/>
  <c r="AN28" i="4"/>
  <c r="A29" i="4"/>
  <c r="B29" i="4"/>
  <c r="C29" i="4"/>
  <c r="D29" i="4"/>
  <c r="E29" i="4"/>
  <c r="G29" i="4"/>
  <c r="H29" i="4"/>
  <c r="I29" i="4"/>
  <c r="K29" i="4"/>
  <c r="L29" i="4"/>
  <c r="M29" i="4"/>
  <c r="O29" i="4"/>
  <c r="P29" i="4"/>
  <c r="Q29" i="4"/>
  <c r="R29" i="4"/>
  <c r="U29" i="4"/>
  <c r="V29" i="4"/>
  <c r="W29" i="4"/>
  <c r="Y29" i="4"/>
  <c r="Z29" i="4"/>
  <c r="AB29" i="4"/>
  <c r="AC29" i="4"/>
  <c r="AD29" i="4"/>
  <c r="AF29" i="4"/>
  <c r="AG29" i="4"/>
  <c r="AH29" i="4"/>
  <c r="AI29" i="4"/>
  <c r="AK29" i="4"/>
  <c r="AM29" i="4"/>
  <c r="AN29" i="4"/>
  <c r="A30" i="4"/>
  <c r="B30" i="4"/>
  <c r="C30" i="4"/>
  <c r="D30" i="4"/>
  <c r="E30" i="4"/>
  <c r="G30" i="4"/>
  <c r="H30" i="4"/>
  <c r="I30" i="4"/>
  <c r="K30" i="4"/>
  <c r="L30" i="4"/>
  <c r="M30" i="4"/>
  <c r="O30" i="4"/>
  <c r="P30" i="4"/>
  <c r="Q30" i="4"/>
  <c r="R30" i="4"/>
  <c r="U30" i="4"/>
  <c r="V30" i="4"/>
  <c r="W30" i="4"/>
  <c r="Y30" i="4"/>
  <c r="Z30" i="4"/>
  <c r="AB30" i="4"/>
  <c r="AC30" i="4"/>
  <c r="AD30" i="4"/>
  <c r="AF30" i="4"/>
  <c r="AG30" i="4"/>
  <c r="AH30" i="4"/>
  <c r="AI30" i="4"/>
  <c r="AK30" i="4"/>
  <c r="AM30" i="4"/>
  <c r="AN30" i="4"/>
  <c r="A31" i="4"/>
  <c r="B31" i="4"/>
  <c r="C31" i="4"/>
  <c r="D31" i="4"/>
  <c r="E31" i="4"/>
  <c r="G31" i="4"/>
  <c r="H31" i="4"/>
  <c r="I31" i="4"/>
  <c r="K31" i="4"/>
  <c r="L31" i="4"/>
  <c r="M31" i="4"/>
  <c r="O31" i="4"/>
  <c r="P31" i="4"/>
  <c r="Q31" i="4"/>
  <c r="R31" i="4"/>
  <c r="U31" i="4"/>
  <c r="V31" i="4"/>
  <c r="W31" i="4"/>
  <c r="Y31" i="4"/>
  <c r="Z31" i="4"/>
  <c r="AB31" i="4"/>
  <c r="AC31" i="4"/>
  <c r="AD31" i="4"/>
  <c r="AF31" i="4"/>
  <c r="AG31" i="4"/>
  <c r="AH31" i="4"/>
  <c r="AI31" i="4"/>
  <c r="AK31" i="4"/>
  <c r="AM31" i="4"/>
  <c r="AN31" i="4"/>
  <c r="A32" i="4"/>
  <c r="B32" i="4"/>
  <c r="C32" i="4"/>
  <c r="D32" i="4"/>
  <c r="E32" i="4"/>
  <c r="G32" i="4"/>
  <c r="H32" i="4"/>
  <c r="I32" i="4"/>
  <c r="K32" i="4"/>
  <c r="L32" i="4"/>
  <c r="M32" i="4"/>
  <c r="O32" i="4"/>
  <c r="P32" i="4"/>
  <c r="Q32" i="4"/>
  <c r="R32" i="4"/>
  <c r="U32" i="4"/>
  <c r="V32" i="4"/>
  <c r="W32" i="4"/>
  <c r="Y32" i="4"/>
  <c r="Z32" i="4"/>
  <c r="AB32" i="4"/>
  <c r="AC32" i="4"/>
  <c r="AD32" i="4"/>
  <c r="AF32" i="4"/>
  <c r="AG32" i="4"/>
  <c r="AH32" i="4"/>
  <c r="AI32" i="4"/>
  <c r="AK32" i="4"/>
  <c r="AM32" i="4"/>
  <c r="AN32" i="4"/>
  <c r="A33" i="4"/>
  <c r="B33" i="4"/>
  <c r="C33" i="4"/>
  <c r="D33" i="4"/>
  <c r="E33" i="4"/>
  <c r="G33" i="4"/>
  <c r="K33" i="4"/>
  <c r="O33" i="4"/>
  <c r="U33" i="4"/>
  <c r="Y33" i="4"/>
  <c r="AB33" i="4"/>
  <c r="AF33" i="4"/>
  <c r="AK33" i="4"/>
  <c r="AM33" i="4"/>
  <c r="A34" i="4"/>
  <c r="B34" i="4"/>
  <c r="C34" i="4"/>
  <c r="D34" i="4"/>
  <c r="E34" i="4"/>
  <c r="G34" i="4"/>
  <c r="H34" i="4"/>
  <c r="I34" i="4"/>
  <c r="K34" i="4"/>
  <c r="L34" i="4"/>
  <c r="M34" i="4"/>
  <c r="O34" i="4"/>
  <c r="P34" i="4"/>
  <c r="Q34" i="4"/>
  <c r="R34" i="4"/>
  <c r="U34" i="4"/>
  <c r="V34" i="4"/>
  <c r="W34" i="4"/>
  <c r="Y34" i="4"/>
  <c r="Z34" i="4"/>
  <c r="AB34" i="4"/>
  <c r="AC34" i="4"/>
  <c r="AD34" i="4"/>
  <c r="AF34" i="4"/>
  <c r="AG34" i="4"/>
  <c r="AH34" i="4"/>
  <c r="AI34" i="4"/>
  <c r="AK34" i="4"/>
  <c r="AM34" i="4"/>
  <c r="AN34" i="4"/>
  <c r="A35" i="4"/>
  <c r="B35" i="4"/>
  <c r="C35" i="4"/>
  <c r="D35" i="4"/>
  <c r="E35" i="4"/>
  <c r="G35" i="4"/>
  <c r="H35" i="4"/>
  <c r="I35" i="4"/>
  <c r="K35" i="4"/>
  <c r="L35" i="4"/>
  <c r="M35" i="4"/>
  <c r="O35" i="4"/>
  <c r="P35" i="4"/>
  <c r="Q35" i="4"/>
  <c r="R35" i="4"/>
  <c r="U35" i="4"/>
  <c r="V35" i="4"/>
  <c r="W35" i="4"/>
  <c r="Y35" i="4"/>
  <c r="Z35" i="4"/>
  <c r="AB35" i="4"/>
  <c r="AC35" i="4"/>
  <c r="AD35" i="4"/>
  <c r="AF35" i="4"/>
  <c r="AG35" i="4"/>
  <c r="AH35" i="4"/>
  <c r="AI35" i="4"/>
  <c r="AK35" i="4"/>
  <c r="AM35" i="4"/>
  <c r="AN35" i="4"/>
  <c r="A36" i="4"/>
  <c r="B36" i="4"/>
  <c r="C36" i="4"/>
  <c r="D36" i="4"/>
  <c r="E36" i="4"/>
  <c r="G36" i="4"/>
  <c r="H36" i="4"/>
  <c r="I36" i="4"/>
  <c r="K36" i="4"/>
  <c r="L36" i="4"/>
  <c r="M36" i="4"/>
  <c r="O36" i="4"/>
  <c r="P36" i="4"/>
  <c r="Q36" i="4"/>
  <c r="R36" i="4"/>
  <c r="U36" i="4"/>
  <c r="V36" i="4"/>
  <c r="W36" i="4"/>
  <c r="Y36" i="4"/>
  <c r="Z36" i="4"/>
  <c r="AB36" i="4"/>
  <c r="AC36" i="4"/>
  <c r="AD36" i="4"/>
  <c r="AF36" i="4"/>
  <c r="AG36" i="4"/>
  <c r="AH36" i="4"/>
  <c r="AI36" i="4"/>
  <c r="AK36" i="4"/>
  <c r="AM36" i="4"/>
  <c r="AN36" i="4"/>
  <c r="A37" i="4"/>
  <c r="B37" i="4"/>
  <c r="C37" i="4"/>
  <c r="D37" i="4"/>
  <c r="E37" i="4"/>
  <c r="G37" i="4"/>
  <c r="H37" i="4"/>
  <c r="I37" i="4"/>
  <c r="K37" i="4"/>
  <c r="L37" i="4"/>
  <c r="M37" i="4"/>
  <c r="O37" i="4"/>
  <c r="P37" i="4"/>
  <c r="Q37" i="4"/>
  <c r="R37" i="4"/>
  <c r="U37" i="4"/>
  <c r="V37" i="4"/>
  <c r="W37" i="4"/>
  <c r="Y37" i="4"/>
  <c r="Z37" i="4"/>
  <c r="AB37" i="4"/>
  <c r="AC37" i="4"/>
  <c r="AD37" i="4"/>
  <c r="AF37" i="4"/>
  <c r="AG37" i="4"/>
  <c r="AH37" i="4"/>
  <c r="AI37" i="4"/>
  <c r="AK37" i="4"/>
  <c r="AM37" i="4"/>
  <c r="AN37" i="4"/>
  <c r="A38" i="4"/>
  <c r="B38" i="4"/>
  <c r="C38" i="4"/>
  <c r="D38" i="4"/>
  <c r="E38" i="4"/>
  <c r="G38" i="4"/>
  <c r="H38" i="4"/>
  <c r="I38" i="4"/>
  <c r="K38" i="4"/>
  <c r="L38" i="4"/>
  <c r="M38" i="4"/>
  <c r="O38" i="4"/>
  <c r="P38" i="4"/>
  <c r="Q38" i="4"/>
  <c r="R38" i="4"/>
  <c r="U38" i="4"/>
  <c r="V38" i="4"/>
  <c r="W38" i="4"/>
  <c r="Y38" i="4"/>
  <c r="Z38" i="4"/>
  <c r="AB38" i="4"/>
  <c r="AC38" i="4"/>
  <c r="AD38" i="4"/>
  <c r="AF38" i="4"/>
  <c r="AG38" i="4"/>
  <c r="AH38" i="4"/>
  <c r="AI38" i="4"/>
  <c r="AK38" i="4"/>
  <c r="AM38" i="4"/>
  <c r="AN38" i="4"/>
  <c r="A39" i="4"/>
  <c r="B39" i="4"/>
  <c r="C39" i="4"/>
  <c r="D39" i="4"/>
  <c r="E39" i="4"/>
  <c r="G39" i="4"/>
  <c r="H39" i="4"/>
  <c r="I39" i="4"/>
  <c r="K39" i="4"/>
  <c r="L39" i="4"/>
  <c r="M39" i="4"/>
  <c r="O39" i="4"/>
  <c r="P39" i="4"/>
  <c r="Q39" i="4"/>
  <c r="R39" i="4"/>
  <c r="U39" i="4"/>
  <c r="V39" i="4"/>
  <c r="W39" i="4"/>
  <c r="Y39" i="4"/>
  <c r="Z39" i="4"/>
  <c r="AB39" i="4"/>
  <c r="AC39" i="4"/>
  <c r="AD39" i="4"/>
  <c r="AF39" i="4"/>
  <c r="AG39" i="4"/>
  <c r="AH39" i="4"/>
  <c r="AI39" i="4"/>
  <c r="AK39" i="4"/>
  <c r="AM39" i="4"/>
  <c r="AN39" i="4"/>
  <c r="A40" i="4"/>
  <c r="B40" i="4"/>
  <c r="C40" i="4"/>
  <c r="D40" i="4"/>
  <c r="E40" i="4"/>
  <c r="G40" i="4"/>
  <c r="H40" i="4"/>
  <c r="I40" i="4"/>
  <c r="K40" i="4"/>
  <c r="L40" i="4"/>
  <c r="M40" i="4"/>
  <c r="O40" i="4"/>
  <c r="P40" i="4"/>
  <c r="Q40" i="4"/>
  <c r="R40" i="4"/>
  <c r="U40" i="4"/>
  <c r="V40" i="4"/>
  <c r="W40" i="4"/>
  <c r="Y40" i="4"/>
  <c r="Z40" i="4"/>
  <c r="AB40" i="4"/>
  <c r="AC40" i="4"/>
  <c r="AD40" i="4"/>
  <c r="AF40" i="4"/>
  <c r="AG40" i="4"/>
  <c r="AH40" i="4"/>
  <c r="AI40" i="4"/>
  <c r="AK40" i="4"/>
  <c r="AM40" i="4"/>
  <c r="AN40" i="4"/>
  <c r="A41" i="4"/>
  <c r="B41" i="4"/>
  <c r="C41" i="4"/>
  <c r="D41" i="4"/>
  <c r="E41" i="4"/>
  <c r="G41" i="4"/>
  <c r="H41" i="4"/>
  <c r="I41" i="4"/>
  <c r="K41" i="4"/>
  <c r="L41" i="4"/>
  <c r="M41" i="4"/>
  <c r="O41" i="4"/>
  <c r="P41" i="4"/>
  <c r="Q41" i="4"/>
  <c r="R41" i="4"/>
  <c r="U41" i="4"/>
  <c r="V41" i="4"/>
  <c r="W41" i="4"/>
  <c r="Y41" i="4"/>
  <c r="Z41" i="4"/>
  <c r="AB41" i="4"/>
  <c r="AC41" i="4"/>
  <c r="AD41" i="4"/>
  <c r="AF41" i="4"/>
  <c r="AG41" i="4"/>
  <c r="AH41" i="4"/>
  <c r="AI41" i="4"/>
  <c r="AK41" i="4"/>
  <c r="AM41" i="4"/>
  <c r="AN41" i="4"/>
  <c r="A42" i="4"/>
  <c r="B42" i="4"/>
  <c r="C42" i="4"/>
  <c r="D42" i="4"/>
  <c r="E42" i="4"/>
  <c r="G42" i="4"/>
  <c r="H42" i="4"/>
  <c r="I42" i="4"/>
  <c r="K42" i="4"/>
  <c r="L42" i="4"/>
  <c r="M42" i="4"/>
  <c r="O42" i="4"/>
  <c r="P42" i="4"/>
  <c r="Q42" i="4"/>
  <c r="R42" i="4"/>
  <c r="U42" i="4"/>
  <c r="V42" i="4"/>
  <c r="W42" i="4"/>
  <c r="Y42" i="4"/>
  <c r="Z42" i="4"/>
  <c r="AB42" i="4"/>
  <c r="AC42" i="4"/>
  <c r="AD42" i="4"/>
  <c r="AF42" i="4"/>
  <c r="AG42" i="4"/>
  <c r="AH42" i="4"/>
  <c r="AI42" i="4"/>
  <c r="AK42" i="4"/>
  <c r="AM42" i="4"/>
  <c r="AN42" i="4"/>
  <c r="A43" i="4"/>
  <c r="B43" i="4"/>
  <c r="C43" i="4"/>
  <c r="D43" i="4"/>
  <c r="E43" i="4"/>
  <c r="G43" i="4"/>
  <c r="H43" i="4"/>
  <c r="I43" i="4"/>
  <c r="K43" i="4"/>
  <c r="L43" i="4"/>
  <c r="M43" i="4"/>
  <c r="O43" i="4"/>
  <c r="P43" i="4"/>
  <c r="Q43" i="4"/>
  <c r="R43" i="4"/>
  <c r="U43" i="4"/>
  <c r="V43" i="4"/>
  <c r="W43" i="4"/>
  <c r="Y43" i="4"/>
  <c r="Z43" i="4"/>
  <c r="AB43" i="4"/>
  <c r="AC43" i="4"/>
  <c r="AD43" i="4"/>
  <c r="AF43" i="4"/>
  <c r="AG43" i="4"/>
  <c r="AH43" i="4"/>
  <c r="AI43" i="4"/>
  <c r="AK43" i="4"/>
  <c r="AM43" i="4"/>
  <c r="AN43" i="4"/>
  <c r="A44" i="4"/>
  <c r="B44" i="4"/>
  <c r="C44" i="4"/>
  <c r="D44" i="4"/>
  <c r="E44" i="4"/>
  <c r="G44" i="4"/>
  <c r="H44" i="4"/>
  <c r="I44" i="4"/>
  <c r="K44" i="4"/>
  <c r="L44" i="4"/>
  <c r="M44" i="4"/>
  <c r="O44" i="4"/>
  <c r="P44" i="4"/>
  <c r="Q44" i="4"/>
  <c r="R44" i="4"/>
  <c r="U44" i="4"/>
  <c r="V44" i="4"/>
  <c r="W44" i="4"/>
  <c r="Y44" i="4"/>
  <c r="Z44" i="4"/>
  <c r="AB44" i="4"/>
  <c r="AC44" i="4"/>
  <c r="AD44" i="4"/>
  <c r="AF44" i="4"/>
  <c r="AG44" i="4"/>
  <c r="AH44" i="4"/>
  <c r="AI44" i="4"/>
  <c r="AK44" i="4"/>
  <c r="AM44" i="4"/>
  <c r="AN44" i="4"/>
  <c r="A45" i="4"/>
  <c r="B45" i="4"/>
  <c r="C45" i="4"/>
  <c r="D45" i="4"/>
  <c r="E45" i="4"/>
  <c r="G45" i="4"/>
  <c r="H45" i="4"/>
  <c r="I45" i="4"/>
  <c r="K45" i="4"/>
  <c r="L45" i="4"/>
  <c r="M45" i="4"/>
  <c r="O45" i="4"/>
  <c r="P45" i="4"/>
  <c r="Q45" i="4"/>
  <c r="R45" i="4"/>
  <c r="U45" i="4"/>
  <c r="V45" i="4"/>
  <c r="W45" i="4"/>
  <c r="Y45" i="4"/>
  <c r="Z45" i="4"/>
  <c r="AB45" i="4"/>
  <c r="AC45" i="4"/>
  <c r="AD45" i="4"/>
  <c r="AF45" i="4"/>
  <c r="AG45" i="4"/>
  <c r="AH45" i="4"/>
  <c r="AI45" i="4"/>
  <c r="AK45" i="4"/>
  <c r="AM45" i="4"/>
  <c r="AN45" i="4"/>
  <c r="A46" i="4"/>
  <c r="B46" i="4"/>
  <c r="C46" i="4"/>
  <c r="D46" i="4"/>
  <c r="E46" i="4"/>
  <c r="G46" i="4"/>
  <c r="H46" i="4"/>
  <c r="I46" i="4"/>
  <c r="K46" i="4"/>
  <c r="L46" i="4"/>
  <c r="M46" i="4"/>
  <c r="O46" i="4"/>
  <c r="P46" i="4"/>
  <c r="Q46" i="4"/>
  <c r="R46" i="4"/>
  <c r="U46" i="4"/>
  <c r="V46" i="4"/>
  <c r="W46" i="4"/>
  <c r="Y46" i="4"/>
  <c r="Z46" i="4"/>
  <c r="AB46" i="4"/>
  <c r="AC46" i="4"/>
  <c r="AD46" i="4"/>
  <c r="AF46" i="4"/>
  <c r="AG46" i="4"/>
  <c r="AH46" i="4"/>
  <c r="AI46" i="4"/>
  <c r="AK46" i="4"/>
  <c r="AM46" i="4"/>
  <c r="AN46" i="4"/>
  <c r="A47" i="4"/>
  <c r="B47" i="4"/>
  <c r="C47" i="4"/>
  <c r="D47" i="4"/>
  <c r="E47" i="4"/>
  <c r="G47" i="4"/>
  <c r="H47" i="4"/>
  <c r="I47" i="4"/>
  <c r="K47" i="4"/>
  <c r="L47" i="4"/>
  <c r="M47" i="4"/>
  <c r="O47" i="4"/>
  <c r="P47" i="4"/>
  <c r="Q47" i="4"/>
  <c r="R47" i="4"/>
  <c r="U47" i="4"/>
  <c r="V47" i="4"/>
  <c r="W47" i="4"/>
  <c r="Y47" i="4"/>
  <c r="Z47" i="4"/>
  <c r="AB47" i="4"/>
  <c r="AC47" i="4"/>
  <c r="AD47" i="4"/>
  <c r="AF47" i="4"/>
  <c r="AG47" i="4"/>
  <c r="AH47" i="4"/>
  <c r="AI47" i="4"/>
  <c r="AK47" i="4"/>
  <c r="AM47" i="4"/>
  <c r="AN47" i="4"/>
  <c r="A48" i="4"/>
  <c r="B48" i="4"/>
  <c r="C48" i="4"/>
  <c r="D48" i="4"/>
  <c r="E48" i="4"/>
  <c r="G48" i="4"/>
  <c r="H48" i="4"/>
  <c r="I48" i="4"/>
  <c r="K48" i="4"/>
  <c r="L48" i="4"/>
  <c r="M48" i="4"/>
  <c r="O48" i="4"/>
  <c r="P48" i="4"/>
  <c r="Q48" i="4"/>
  <c r="R48" i="4"/>
  <c r="U48" i="4"/>
  <c r="V48" i="4"/>
  <c r="W48" i="4"/>
  <c r="Y48" i="4"/>
  <c r="Z48" i="4"/>
  <c r="AB48" i="4"/>
  <c r="AC48" i="4"/>
  <c r="AD48" i="4"/>
  <c r="AF48" i="4"/>
  <c r="AG48" i="4"/>
  <c r="AH48" i="4"/>
  <c r="AI48" i="4"/>
  <c r="AK48" i="4"/>
  <c r="AM48" i="4"/>
  <c r="AN48" i="4"/>
  <c r="A49" i="4"/>
  <c r="B49" i="4"/>
  <c r="C49" i="4"/>
  <c r="D49" i="4"/>
  <c r="E49" i="4"/>
  <c r="G49" i="4"/>
  <c r="H49" i="4"/>
  <c r="I49" i="4"/>
  <c r="K49" i="4"/>
  <c r="L49" i="4"/>
  <c r="M49" i="4"/>
  <c r="O49" i="4"/>
  <c r="P49" i="4"/>
  <c r="Q49" i="4"/>
  <c r="R49" i="4"/>
  <c r="U49" i="4"/>
  <c r="V49" i="4"/>
  <c r="W49" i="4"/>
  <c r="Y49" i="4"/>
  <c r="Z49" i="4"/>
  <c r="AB49" i="4"/>
  <c r="AC49" i="4"/>
  <c r="AD49" i="4"/>
  <c r="AF49" i="4"/>
  <c r="AG49" i="4"/>
  <c r="AH49" i="4"/>
  <c r="AI49" i="4"/>
  <c r="AK49" i="4"/>
  <c r="AM49" i="4"/>
  <c r="AN49" i="4"/>
  <c r="A50" i="4"/>
  <c r="B50" i="4"/>
  <c r="C50" i="4"/>
  <c r="D50" i="4"/>
  <c r="E50" i="4"/>
  <c r="G50" i="4"/>
  <c r="H50" i="4"/>
  <c r="I50" i="4"/>
  <c r="K50" i="4"/>
  <c r="L50" i="4"/>
  <c r="M50" i="4"/>
  <c r="O50" i="4"/>
  <c r="P50" i="4"/>
  <c r="Q50" i="4"/>
  <c r="R50" i="4"/>
  <c r="U50" i="4"/>
  <c r="V50" i="4"/>
  <c r="W50" i="4"/>
  <c r="Y50" i="4"/>
  <c r="Z50" i="4"/>
  <c r="AB50" i="4"/>
  <c r="AC50" i="4"/>
  <c r="AD50" i="4"/>
  <c r="AF50" i="4"/>
  <c r="AG50" i="4"/>
  <c r="AH50" i="4"/>
  <c r="AI50" i="4"/>
  <c r="AK50" i="4"/>
  <c r="AM50" i="4"/>
  <c r="AN50" i="4"/>
  <c r="A51" i="4"/>
  <c r="B51" i="4"/>
  <c r="C51" i="4"/>
  <c r="D51" i="4"/>
  <c r="E51" i="4"/>
  <c r="G51" i="4"/>
  <c r="H51" i="4"/>
  <c r="I51" i="4"/>
  <c r="K51" i="4"/>
  <c r="L51" i="4"/>
  <c r="M51" i="4"/>
  <c r="O51" i="4"/>
  <c r="P51" i="4"/>
  <c r="Q51" i="4"/>
  <c r="R51" i="4"/>
  <c r="U51" i="4"/>
  <c r="V51" i="4"/>
  <c r="W51" i="4"/>
  <c r="Y51" i="4"/>
  <c r="Z51" i="4"/>
  <c r="AB51" i="4"/>
  <c r="AC51" i="4"/>
  <c r="AD51" i="4"/>
  <c r="AF51" i="4"/>
  <c r="AG51" i="4"/>
  <c r="AH51" i="4"/>
  <c r="AI51" i="4"/>
  <c r="AK51" i="4"/>
  <c r="AM51" i="4"/>
  <c r="AN51" i="4"/>
  <c r="A52" i="4"/>
  <c r="B52" i="4"/>
  <c r="C52" i="4"/>
  <c r="D52" i="4"/>
  <c r="E52" i="4"/>
  <c r="G52" i="4"/>
  <c r="H52" i="4"/>
  <c r="I52" i="4"/>
  <c r="K52" i="4"/>
  <c r="L52" i="4"/>
  <c r="M52" i="4"/>
  <c r="O52" i="4"/>
  <c r="P52" i="4"/>
  <c r="Q52" i="4"/>
  <c r="R52" i="4"/>
  <c r="U52" i="4"/>
  <c r="V52" i="4"/>
  <c r="W52" i="4"/>
  <c r="Y52" i="4"/>
  <c r="Z52" i="4"/>
  <c r="AB52" i="4"/>
  <c r="AC52" i="4"/>
  <c r="AD52" i="4"/>
  <c r="AF52" i="4"/>
  <c r="AG52" i="4"/>
  <c r="AH52" i="4"/>
  <c r="AI52" i="4"/>
  <c r="AK52" i="4"/>
  <c r="AM52" i="4"/>
  <c r="AN52" i="4"/>
  <c r="A53" i="4"/>
  <c r="B53" i="4"/>
  <c r="C53" i="4"/>
  <c r="D53" i="4"/>
  <c r="E53" i="4"/>
  <c r="G53" i="4"/>
  <c r="H53" i="4"/>
  <c r="I53" i="4"/>
  <c r="K53" i="4"/>
  <c r="L53" i="4"/>
  <c r="M53" i="4"/>
  <c r="O53" i="4"/>
  <c r="P53" i="4"/>
  <c r="Q53" i="4"/>
  <c r="R53" i="4"/>
  <c r="U53" i="4"/>
  <c r="V53" i="4"/>
  <c r="W53" i="4"/>
  <c r="Y53" i="4"/>
  <c r="Z53" i="4"/>
  <c r="AB53" i="4"/>
  <c r="AC53" i="4"/>
  <c r="AD53" i="4"/>
  <c r="AF53" i="4"/>
  <c r="AG53" i="4"/>
  <c r="AH53" i="4"/>
  <c r="AI53" i="4"/>
  <c r="AK53" i="4"/>
  <c r="AM53" i="4"/>
  <c r="AN53" i="4"/>
  <c r="A54" i="4"/>
  <c r="B54" i="4"/>
  <c r="C54" i="4"/>
  <c r="D54" i="4"/>
  <c r="E54" i="4"/>
  <c r="G54" i="4"/>
  <c r="H54" i="4"/>
  <c r="I54" i="4"/>
  <c r="K54" i="4"/>
  <c r="L54" i="4"/>
  <c r="M54" i="4"/>
  <c r="O54" i="4"/>
  <c r="P54" i="4"/>
  <c r="Q54" i="4"/>
  <c r="R54" i="4"/>
  <c r="U54" i="4"/>
  <c r="V54" i="4"/>
  <c r="W54" i="4"/>
  <c r="Y54" i="4"/>
  <c r="Z54" i="4"/>
  <c r="AB54" i="4"/>
  <c r="AC54" i="4"/>
  <c r="AD54" i="4"/>
  <c r="AF54" i="4"/>
  <c r="AG54" i="4"/>
  <c r="AH54" i="4"/>
  <c r="AI54" i="4"/>
  <c r="AK54" i="4"/>
  <c r="AM54" i="4"/>
  <c r="AN54" i="4"/>
  <c r="A55" i="4"/>
  <c r="B55" i="4"/>
  <c r="C55" i="4"/>
  <c r="D55" i="4"/>
  <c r="E55" i="4"/>
  <c r="G55" i="4"/>
  <c r="H55" i="4"/>
  <c r="I55" i="4"/>
  <c r="K55" i="4"/>
  <c r="L55" i="4"/>
  <c r="M55" i="4"/>
  <c r="O55" i="4"/>
  <c r="P55" i="4"/>
  <c r="Q55" i="4"/>
  <c r="R55" i="4"/>
  <c r="U55" i="4"/>
  <c r="V55" i="4"/>
  <c r="W55" i="4"/>
  <c r="Y55" i="4"/>
  <c r="Z55" i="4"/>
  <c r="AB55" i="4"/>
  <c r="AC55" i="4"/>
  <c r="AD55" i="4"/>
  <c r="AF55" i="4"/>
  <c r="AG55" i="4"/>
  <c r="AH55" i="4"/>
  <c r="AI55" i="4"/>
  <c r="AK55" i="4"/>
  <c r="AM55" i="4"/>
  <c r="AN55" i="4"/>
  <c r="A56" i="4"/>
  <c r="B56" i="4"/>
  <c r="C56" i="4"/>
  <c r="D56" i="4"/>
  <c r="E56" i="4"/>
  <c r="G56" i="4"/>
  <c r="H56" i="4"/>
  <c r="I56" i="4"/>
  <c r="K56" i="4"/>
  <c r="L56" i="4"/>
  <c r="M56" i="4"/>
  <c r="O56" i="4"/>
  <c r="P56" i="4"/>
  <c r="Q56" i="4"/>
  <c r="R56" i="4"/>
  <c r="U56" i="4"/>
  <c r="V56" i="4"/>
  <c r="W56" i="4"/>
  <c r="Y56" i="4"/>
  <c r="Z56" i="4"/>
  <c r="AB56" i="4"/>
  <c r="AC56" i="4"/>
  <c r="AD56" i="4"/>
  <c r="AF56" i="4"/>
  <c r="AG56" i="4"/>
  <c r="AH56" i="4"/>
  <c r="AI56" i="4"/>
  <c r="AK56" i="4"/>
  <c r="AM56" i="4"/>
  <c r="AN56" i="4"/>
  <c r="A57" i="4"/>
  <c r="B57" i="4"/>
  <c r="C57" i="4"/>
  <c r="D57" i="4"/>
  <c r="E57" i="4"/>
  <c r="G57" i="4"/>
  <c r="H57" i="4"/>
  <c r="I57" i="4"/>
  <c r="K57" i="4"/>
  <c r="L57" i="4"/>
  <c r="M57" i="4"/>
  <c r="O57" i="4"/>
  <c r="P57" i="4"/>
  <c r="Q57" i="4"/>
  <c r="R57" i="4"/>
  <c r="U57" i="4"/>
  <c r="V57" i="4"/>
  <c r="W57" i="4"/>
  <c r="Y57" i="4"/>
  <c r="Z57" i="4"/>
  <c r="AB57" i="4"/>
  <c r="AC57" i="4"/>
  <c r="AD57" i="4"/>
  <c r="AF57" i="4"/>
  <c r="AG57" i="4"/>
  <c r="AH57" i="4"/>
  <c r="AI57" i="4"/>
  <c r="AK57" i="4"/>
  <c r="AM57" i="4"/>
  <c r="AN57" i="4"/>
  <c r="A58" i="4"/>
  <c r="B58" i="4"/>
  <c r="C58" i="4"/>
  <c r="D58" i="4"/>
  <c r="E58" i="4"/>
  <c r="G58" i="4"/>
  <c r="H58" i="4"/>
  <c r="I58" i="4"/>
  <c r="K58" i="4"/>
  <c r="L58" i="4"/>
  <c r="M58" i="4"/>
  <c r="O58" i="4"/>
  <c r="P58" i="4"/>
  <c r="Q58" i="4"/>
  <c r="R58" i="4"/>
  <c r="U58" i="4"/>
  <c r="V58" i="4"/>
  <c r="W58" i="4"/>
  <c r="Y58" i="4"/>
  <c r="Z58" i="4"/>
  <c r="AB58" i="4"/>
  <c r="AC58" i="4"/>
  <c r="AD58" i="4"/>
  <c r="AF58" i="4"/>
  <c r="AG58" i="4"/>
  <c r="AH58" i="4"/>
  <c r="AI58" i="4"/>
  <c r="AK58" i="4"/>
  <c r="AM58" i="4"/>
  <c r="AN58" i="4"/>
  <c r="A59" i="4"/>
  <c r="B59" i="4"/>
  <c r="C59" i="4"/>
  <c r="D59" i="4"/>
  <c r="E59" i="4"/>
  <c r="G59" i="4"/>
  <c r="H59" i="4"/>
  <c r="I59" i="4"/>
  <c r="K59" i="4"/>
  <c r="L59" i="4"/>
  <c r="M59" i="4"/>
  <c r="O59" i="4"/>
  <c r="P59" i="4"/>
  <c r="Q59" i="4"/>
  <c r="R59" i="4"/>
  <c r="U59" i="4"/>
  <c r="V59" i="4"/>
  <c r="W59" i="4"/>
  <c r="Y59" i="4"/>
  <c r="Z59" i="4"/>
  <c r="AB59" i="4"/>
  <c r="AC59" i="4"/>
  <c r="AD59" i="4"/>
  <c r="AF59" i="4"/>
  <c r="AG59" i="4"/>
  <c r="AH59" i="4"/>
  <c r="AI59" i="4"/>
  <c r="AK59" i="4"/>
  <c r="AM59" i="4"/>
  <c r="AN59" i="4"/>
  <c r="A60" i="4"/>
  <c r="B60" i="4"/>
  <c r="C60" i="4"/>
  <c r="D60" i="4"/>
  <c r="E60" i="4"/>
  <c r="G60" i="4"/>
  <c r="H60" i="4"/>
  <c r="I60" i="4"/>
  <c r="K60" i="4"/>
  <c r="L60" i="4"/>
  <c r="M60" i="4"/>
  <c r="O60" i="4"/>
  <c r="P60" i="4"/>
  <c r="Q60" i="4"/>
  <c r="R60" i="4"/>
  <c r="U60" i="4"/>
  <c r="V60" i="4"/>
  <c r="W60" i="4"/>
  <c r="Y60" i="4"/>
  <c r="Z60" i="4"/>
  <c r="AB60" i="4"/>
  <c r="AC60" i="4"/>
  <c r="AD60" i="4"/>
  <c r="AF60" i="4"/>
  <c r="AG60" i="4"/>
  <c r="AH60" i="4"/>
  <c r="AI60" i="4"/>
  <c r="AK60" i="4"/>
  <c r="AM60" i="4"/>
  <c r="AN60" i="4"/>
  <c r="A61" i="4"/>
  <c r="B61" i="4"/>
  <c r="C61" i="4"/>
  <c r="D61" i="4"/>
  <c r="E61" i="4"/>
  <c r="G61" i="4"/>
  <c r="H61" i="4"/>
  <c r="I61" i="4"/>
  <c r="K61" i="4"/>
  <c r="L61" i="4"/>
  <c r="M61" i="4"/>
  <c r="O61" i="4"/>
  <c r="P61" i="4"/>
  <c r="Q61" i="4"/>
  <c r="R61" i="4"/>
  <c r="U61" i="4"/>
  <c r="V61" i="4"/>
  <c r="W61" i="4"/>
  <c r="Y61" i="4"/>
  <c r="Z61" i="4"/>
  <c r="AB61" i="4"/>
  <c r="AC61" i="4"/>
  <c r="AD61" i="4"/>
  <c r="AF61" i="4"/>
  <c r="AG61" i="4"/>
  <c r="AH61" i="4"/>
  <c r="AI61" i="4"/>
  <c r="AK61" i="4"/>
  <c r="AM61" i="4"/>
  <c r="AN61" i="4"/>
  <c r="A62" i="4"/>
  <c r="B62" i="4"/>
  <c r="C62" i="4"/>
  <c r="D62" i="4"/>
  <c r="E62" i="4"/>
  <c r="G62" i="4"/>
  <c r="H62" i="4"/>
  <c r="I62" i="4"/>
  <c r="K62" i="4"/>
  <c r="L62" i="4"/>
  <c r="M62" i="4"/>
  <c r="O62" i="4"/>
  <c r="P62" i="4"/>
  <c r="Q62" i="4"/>
  <c r="R62" i="4"/>
  <c r="U62" i="4"/>
  <c r="V62" i="4"/>
  <c r="W62" i="4"/>
  <c r="Y62" i="4"/>
  <c r="Z62" i="4"/>
  <c r="AB62" i="4"/>
  <c r="AC62" i="4"/>
  <c r="AD62" i="4"/>
  <c r="AF62" i="4"/>
  <c r="AG62" i="4"/>
  <c r="AH62" i="4"/>
  <c r="AI62" i="4"/>
  <c r="AK62" i="4"/>
  <c r="AM62" i="4"/>
  <c r="AN62" i="4"/>
  <c r="A63" i="4"/>
  <c r="B63" i="4"/>
  <c r="C63" i="4"/>
  <c r="D63" i="4"/>
  <c r="E63" i="4"/>
  <c r="G63" i="4"/>
  <c r="H63" i="4"/>
  <c r="I63" i="4"/>
  <c r="K63" i="4"/>
  <c r="L63" i="4"/>
  <c r="M63" i="4"/>
  <c r="O63" i="4"/>
  <c r="P63" i="4"/>
  <c r="Q63" i="4"/>
  <c r="R63" i="4"/>
  <c r="U63" i="4"/>
  <c r="V63" i="4"/>
  <c r="W63" i="4"/>
  <c r="Y63" i="4"/>
  <c r="Z63" i="4"/>
  <c r="AB63" i="4"/>
  <c r="AC63" i="4"/>
  <c r="AD63" i="4"/>
  <c r="AF63" i="4"/>
  <c r="AG63" i="4"/>
  <c r="AH63" i="4"/>
  <c r="AI63" i="4"/>
  <c r="AK63" i="4"/>
  <c r="AM63" i="4"/>
  <c r="AN63" i="4"/>
  <c r="A64" i="4"/>
  <c r="B64" i="4"/>
  <c r="C64" i="4"/>
  <c r="D64" i="4"/>
  <c r="E64" i="4"/>
  <c r="G64" i="4"/>
  <c r="H64" i="4"/>
  <c r="I64" i="4"/>
  <c r="K64" i="4"/>
  <c r="L64" i="4"/>
  <c r="M64" i="4"/>
  <c r="O64" i="4"/>
  <c r="P64" i="4"/>
  <c r="Q64" i="4"/>
  <c r="R64" i="4"/>
  <c r="U64" i="4"/>
  <c r="V64" i="4"/>
  <c r="W64" i="4"/>
  <c r="Y64" i="4"/>
  <c r="Z64" i="4"/>
  <c r="AB64" i="4"/>
  <c r="AC64" i="4"/>
  <c r="AD64" i="4"/>
  <c r="AF64" i="4"/>
  <c r="AG64" i="4"/>
  <c r="AH64" i="4"/>
  <c r="AI64" i="4"/>
  <c r="AK64" i="4"/>
  <c r="AM64" i="4"/>
  <c r="AN64" i="4"/>
  <c r="A65" i="4"/>
  <c r="B65" i="4"/>
  <c r="C65" i="4"/>
  <c r="D65" i="4"/>
  <c r="E65" i="4"/>
  <c r="G65" i="4"/>
  <c r="H65" i="4"/>
  <c r="I65" i="4"/>
  <c r="K65" i="4"/>
  <c r="L65" i="4"/>
  <c r="M65" i="4"/>
  <c r="O65" i="4"/>
  <c r="P65" i="4"/>
  <c r="Q65" i="4"/>
  <c r="R65" i="4"/>
  <c r="U65" i="4"/>
  <c r="V65" i="4"/>
  <c r="W65" i="4"/>
  <c r="Y65" i="4"/>
  <c r="Z65" i="4"/>
  <c r="AB65" i="4"/>
  <c r="AC65" i="4"/>
  <c r="AD65" i="4"/>
  <c r="AF65" i="4"/>
  <c r="AG65" i="4"/>
  <c r="AH65" i="4"/>
  <c r="AI65" i="4"/>
  <c r="AK65" i="4"/>
  <c r="AM65" i="4"/>
  <c r="AN65" i="4"/>
  <c r="A66" i="4"/>
  <c r="B66" i="4"/>
  <c r="C66" i="4"/>
  <c r="D66" i="4"/>
  <c r="E66" i="4"/>
  <c r="G66" i="4"/>
  <c r="H66" i="4"/>
  <c r="I66" i="4"/>
  <c r="K66" i="4"/>
  <c r="L66" i="4"/>
  <c r="M66" i="4"/>
  <c r="O66" i="4"/>
  <c r="P66" i="4"/>
  <c r="Q66" i="4"/>
  <c r="R66" i="4"/>
  <c r="U66" i="4"/>
  <c r="V66" i="4"/>
  <c r="W66" i="4"/>
  <c r="Y66" i="4"/>
  <c r="Z66" i="4"/>
  <c r="AB66" i="4"/>
  <c r="AC66" i="4"/>
  <c r="AD66" i="4"/>
  <c r="AF66" i="4"/>
  <c r="AG66" i="4"/>
  <c r="AH66" i="4"/>
  <c r="AI66" i="4"/>
  <c r="AK66" i="4"/>
  <c r="AM66" i="4"/>
  <c r="AN66" i="4"/>
  <c r="A67" i="4"/>
  <c r="B67" i="4"/>
  <c r="C67" i="4"/>
  <c r="D67" i="4"/>
  <c r="E67" i="4"/>
  <c r="G67" i="4"/>
  <c r="H67" i="4"/>
  <c r="I67" i="4"/>
  <c r="K67" i="4"/>
  <c r="L67" i="4"/>
  <c r="M67" i="4"/>
  <c r="O67" i="4"/>
  <c r="P67" i="4"/>
  <c r="Q67" i="4"/>
  <c r="R67" i="4"/>
  <c r="U67" i="4"/>
  <c r="V67" i="4"/>
  <c r="W67" i="4"/>
  <c r="Y67" i="4"/>
  <c r="Z67" i="4"/>
  <c r="AB67" i="4"/>
  <c r="AC67" i="4"/>
  <c r="AD67" i="4"/>
  <c r="AF67" i="4"/>
  <c r="AG67" i="4"/>
  <c r="AH67" i="4"/>
  <c r="AI67" i="4"/>
  <c r="AK67" i="4"/>
  <c r="AM67" i="4"/>
  <c r="AN67" i="4"/>
  <c r="A68" i="4"/>
  <c r="B68" i="4"/>
  <c r="C68" i="4"/>
  <c r="D68" i="4"/>
  <c r="E68" i="4"/>
  <c r="G68" i="4"/>
  <c r="H68" i="4"/>
  <c r="I68" i="4"/>
  <c r="K68" i="4"/>
  <c r="L68" i="4"/>
  <c r="M68" i="4"/>
  <c r="O68" i="4"/>
  <c r="P68" i="4"/>
  <c r="Q68" i="4"/>
  <c r="R68" i="4"/>
  <c r="U68" i="4"/>
  <c r="V68" i="4"/>
  <c r="W68" i="4"/>
  <c r="Y68" i="4"/>
  <c r="Z68" i="4"/>
  <c r="AB68" i="4"/>
  <c r="AC68" i="4"/>
  <c r="AD68" i="4"/>
  <c r="AF68" i="4"/>
  <c r="AG68" i="4"/>
  <c r="AH68" i="4"/>
  <c r="AI68" i="4"/>
  <c r="AK68" i="4"/>
  <c r="AM68" i="4"/>
  <c r="AN68" i="4"/>
  <c r="A69" i="4"/>
  <c r="B69" i="4"/>
  <c r="C69" i="4"/>
  <c r="D69" i="4"/>
  <c r="E69" i="4"/>
  <c r="G69" i="4"/>
  <c r="H69" i="4"/>
  <c r="I69" i="4"/>
  <c r="K69" i="4"/>
  <c r="L69" i="4"/>
  <c r="M69" i="4"/>
  <c r="O69" i="4"/>
  <c r="P69" i="4"/>
  <c r="Q69" i="4"/>
  <c r="R69" i="4"/>
  <c r="U69" i="4"/>
  <c r="V69" i="4"/>
  <c r="W69" i="4"/>
  <c r="Y69" i="4"/>
  <c r="Z69" i="4"/>
  <c r="AB69" i="4"/>
  <c r="AC69" i="4"/>
  <c r="AD69" i="4"/>
  <c r="AF69" i="4"/>
  <c r="AG69" i="4"/>
  <c r="AH69" i="4"/>
  <c r="AI69" i="4"/>
  <c r="AK69" i="4"/>
  <c r="AM69" i="4"/>
  <c r="AN69" i="4"/>
  <c r="A70" i="4"/>
  <c r="B70" i="4"/>
  <c r="C70" i="4"/>
  <c r="D70" i="4"/>
  <c r="E70" i="4"/>
  <c r="G70" i="4"/>
  <c r="H70" i="4"/>
  <c r="I70" i="4"/>
  <c r="K70" i="4"/>
  <c r="L70" i="4"/>
  <c r="M70" i="4"/>
  <c r="O70" i="4"/>
  <c r="P70" i="4"/>
  <c r="Q70" i="4"/>
  <c r="R70" i="4"/>
  <c r="U70" i="4"/>
  <c r="V70" i="4"/>
  <c r="W70" i="4"/>
  <c r="Y70" i="4"/>
  <c r="Z70" i="4"/>
  <c r="AB70" i="4"/>
  <c r="AC70" i="4"/>
  <c r="AD70" i="4"/>
  <c r="AF70" i="4"/>
  <c r="AG70" i="4"/>
  <c r="AH70" i="4"/>
  <c r="AI70" i="4"/>
  <c r="AK70" i="4"/>
  <c r="AM70" i="4"/>
  <c r="AN70" i="4"/>
  <c r="A71" i="4"/>
  <c r="B71" i="4"/>
  <c r="C71" i="4"/>
  <c r="D71" i="4"/>
  <c r="E71" i="4"/>
  <c r="G71" i="4"/>
  <c r="H71" i="4"/>
  <c r="I71" i="4"/>
  <c r="K71" i="4"/>
  <c r="L71" i="4"/>
  <c r="M71" i="4"/>
  <c r="O71" i="4"/>
  <c r="P71" i="4"/>
  <c r="Q71" i="4"/>
  <c r="R71" i="4"/>
  <c r="U71" i="4"/>
  <c r="V71" i="4"/>
  <c r="W71" i="4"/>
  <c r="Y71" i="4"/>
  <c r="Z71" i="4"/>
  <c r="AB71" i="4"/>
  <c r="AC71" i="4"/>
  <c r="AD71" i="4"/>
  <c r="AF71" i="4"/>
  <c r="AG71" i="4"/>
  <c r="AH71" i="4"/>
  <c r="AI71" i="4"/>
  <c r="AK71" i="4"/>
  <c r="AM71" i="4"/>
  <c r="AN71" i="4"/>
  <c r="A72" i="4"/>
  <c r="B72" i="4"/>
  <c r="C72" i="4"/>
  <c r="D72" i="4"/>
  <c r="E72" i="4"/>
  <c r="G72" i="4"/>
  <c r="H72" i="4"/>
  <c r="I72" i="4"/>
  <c r="K72" i="4"/>
  <c r="L72" i="4"/>
  <c r="M72" i="4"/>
  <c r="O72" i="4"/>
  <c r="P72" i="4"/>
  <c r="Q72" i="4"/>
  <c r="R72" i="4"/>
  <c r="U72" i="4"/>
  <c r="V72" i="4"/>
  <c r="W72" i="4"/>
  <c r="Y72" i="4"/>
  <c r="Z72" i="4"/>
  <c r="AB72" i="4"/>
  <c r="AC72" i="4"/>
  <c r="AD72" i="4"/>
  <c r="AF72" i="4"/>
  <c r="AG72" i="4"/>
  <c r="AH72" i="4"/>
  <c r="AI72" i="4"/>
  <c r="AK72" i="4"/>
  <c r="AM72" i="4"/>
  <c r="AN72" i="4"/>
  <c r="A73" i="4"/>
  <c r="B73" i="4"/>
  <c r="C73" i="4"/>
  <c r="D73" i="4"/>
  <c r="E73" i="4"/>
  <c r="G73" i="4"/>
  <c r="H73" i="4"/>
  <c r="I73" i="4"/>
  <c r="K73" i="4"/>
  <c r="L73" i="4"/>
  <c r="M73" i="4"/>
  <c r="O73" i="4"/>
  <c r="P73" i="4"/>
  <c r="Q73" i="4"/>
  <c r="R73" i="4"/>
  <c r="U73" i="4"/>
  <c r="V73" i="4"/>
  <c r="W73" i="4"/>
  <c r="Y73" i="4"/>
  <c r="Z73" i="4"/>
  <c r="AB73" i="4"/>
  <c r="AC73" i="4"/>
  <c r="AD73" i="4"/>
  <c r="AF73" i="4"/>
  <c r="AG73" i="4"/>
  <c r="AH73" i="4"/>
  <c r="AI73" i="4"/>
  <c r="AK73" i="4"/>
  <c r="AM73" i="4"/>
  <c r="AN73" i="4"/>
  <c r="A74" i="4"/>
  <c r="B74" i="4"/>
  <c r="C74" i="4"/>
  <c r="D74" i="4"/>
  <c r="E74" i="4"/>
  <c r="G74" i="4"/>
  <c r="H74" i="4"/>
  <c r="I74" i="4"/>
  <c r="K74" i="4"/>
  <c r="L74" i="4"/>
  <c r="M74" i="4"/>
  <c r="O74" i="4"/>
  <c r="P74" i="4"/>
  <c r="Q74" i="4"/>
  <c r="R74" i="4"/>
  <c r="U74" i="4"/>
  <c r="V74" i="4"/>
  <c r="W74" i="4"/>
  <c r="Y74" i="4"/>
  <c r="Z74" i="4"/>
  <c r="AB74" i="4"/>
  <c r="AC74" i="4"/>
  <c r="AD74" i="4"/>
  <c r="AF74" i="4"/>
  <c r="AG74" i="4"/>
  <c r="AH74" i="4"/>
  <c r="AI74" i="4"/>
  <c r="AK74" i="4"/>
  <c r="AM74" i="4"/>
  <c r="AN74" i="4"/>
  <c r="A75" i="4"/>
  <c r="B75" i="4"/>
  <c r="C75" i="4"/>
  <c r="D75" i="4"/>
  <c r="E75" i="4"/>
  <c r="G75" i="4"/>
  <c r="H75" i="4"/>
  <c r="I75" i="4"/>
  <c r="K75" i="4"/>
  <c r="L75" i="4"/>
  <c r="M75" i="4"/>
  <c r="O75" i="4"/>
  <c r="P75" i="4"/>
  <c r="Q75" i="4"/>
  <c r="R75" i="4"/>
  <c r="U75" i="4"/>
  <c r="V75" i="4"/>
  <c r="W75" i="4"/>
  <c r="Y75" i="4"/>
  <c r="Z75" i="4"/>
  <c r="AB75" i="4"/>
  <c r="AC75" i="4"/>
  <c r="AD75" i="4"/>
  <c r="AF75" i="4"/>
  <c r="AG75" i="4"/>
  <c r="AH75" i="4"/>
  <c r="AI75" i="4"/>
  <c r="AK75" i="4"/>
  <c r="AM75" i="4"/>
  <c r="AN75" i="4"/>
  <c r="A76" i="4"/>
  <c r="B76" i="4"/>
  <c r="C76" i="4"/>
  <c r="D76" i="4"/>
  <c r="E76" i="4"/>
  <c r="G76" i="4"/>
  <c r="H76" i="4"/>
  <c r="I76" i="4"/>
  <c r="K76" i="4"/>
  <c r="L76" i="4"/>
  <c r="M76" i="4"/>
  <c r="O76" i="4"/>
  <c r="P76" i="4"/>
  <c r="Q76" i="4"/>
  <c r="R76" i="4"/>
  <c r="U76" i="4"/>
  <c r="V76" i="4"/>
  <c r="W76" i="4"/>
  <c r="Y76" i="4"/>
  <c r="Z76" i="4"/>
  <c r="AB76" i="4"/>
  <c r="AC76" i="4"/>
  <c r="AD76" i="4"/>
  <c r="AF76" i="4"/>
  <c r="AG76" i="4"/>
  <c r="AH76" i="4"/>
  <c r="AI76" i="4"/>
  <c r="AK76" i="4"/>
  <c r="AM76" i="4"/>
  <c r="AN76" i="4"/>
  <c r="A77" i="4"/>
  <c r="B77" i="4"/>
  <c r="C77" i="4"/>
  <c r="D77" i="4"/>
  <c r="E77" i="4"/>
  <c r="G77" i="4"/>
  <c r="H77" i="4"/>
  <c r="I77" i="4"/>
  <c r="K77" i="4"/>
  <c r="L77" i="4"/>
  <c r="M77" i="4"/>
  <c r="O77" i="4"/>
  <c r="P77" i="4"/>
  <c r="Q77" i="4"/>
  <c r="R77" i="4"/>
  <c r="U77" i="4"/>
  <c r="V77" i="4"/>
  <c r="W77" i="4"/>
  <c r="Y77" i="4"/>
  <c r="Z77" i="4"/>
  <c r="AB77" i="4"/>
  <c r="AC77" i="4"/>
  <c r="AD77" i="4"/>
  <c r="AF77" i="4"/>
  <c r="AG77" i="4"/>
  <c r="AH77" i="4"/>
  <c r="AI77" i="4"/>
  <c r="AK77" i="4"/>
  <c r="AM77" i="4"/>
  <c r="AN77" i="4"/>
  <c r="A78" i="4"/>
  <c r="B78" i="4"/>
  <c r="C78" i="4"/>
  <c r="D78" i="4"/>
  <c r="E78" i="4"/>
  <c r="G78" i="4"/>
  <c r="H78" i="4"/>
  <c r="I78" i="4"/>
  <c r="K78" i="4"/>
  <c r="L78" i="4"/>
  <c r="M78" i="4"/>
  <c r="O78" i="4"/>
  <c r="P78" i="4"/>
  <c r="Q78" i="4"/>
  <c r="R78" i="4"/>
  <c r="U78" i="4"/>
  <c r="V78" i="4"/>
  <c r="W78" i="4"/>
  <c r="Y78" i="4"/>
  <c r="Z78" i="4"/>
  <c r="AB78" i="4"/>
  <c r="AC78" i="4"/>
  <c r="AD78" i="4"/>
  <c r="AF78" i="4"/>
  <c r="AG78" i="4"/>
  <c r="AH78" i="4"/>
  <c r="AI78" i="4"/>
  <c r="AK78" i="4"/>
  <c r="AM78" i="4"/>
  <c r="AN78" i="4"/>
  <c r="A79" i="4"/>
  <c r="B79" i="4"/>
  <c r="C79" i="4"/>
  <c r="D79" i="4"/>
  <c r="E79" i="4"/>
  <c r="G79" i="4"/>
  <c r="H79" i="4"/>
  <c r="I79" i="4"/>
  <c r="K79" i="4"/>
  <c r="L79" i="4"/>
  <c r="M79" i="4"/>
  <c r="O79" i="4"/>
  <c r="P79" i="4"/>
  <c r="Q79" i="4"/>
  <c r="R79" i="4"/>
  <c r="U79" i="4"/>
  <c r="V79" i="4"/>
  <c r="W79" i="4"/>
  <c r="Y79" i="4"/>
  <c r="Z79" i="4"/>
  <c r="AB79" i="4"/>
  <c r="AC79" i="4"/>
  <c r="AD79" i="4"/>
  <c r="AF79" i="4"/>
  <c r="AG79" i="4"/>
  <c r="AH79" i="4"/>
  <c r="AI79" i="4"/>
  <c r="AK79" i="4"/>
  <c r="AM79" i="4"/>
  <c r="AN79" i="4"/>
  <c r="A80" i="4"/>
  <c r="B80" i="4"/>
  <c r="C80" i="4"/>
  <c r="D80" i="4"/>
  <c r="E80" i="4"/>
  <c r="G80" i="4"/>
  <c r="H80" i="4"/>
  <c r="I80" i="4"/>
  <c r="K80" i="4"/>
  <c r="L80" i="4"/>
  <c r="M80" i="4"/>
  <c r="O80" i="4"/>
  <c r="P80" i="4"/>
  <c r="Q80" i="4"/>
  <c r="R80" i="4"/>
  <c r="U80" i="4"/>
  <c r="V80" i="4"/>
  <c r="W80" i="4"/>
  <c r="Y80" i="4"/>
  <c r="Z80" i="4"/>
  <c r="AB80" i="4"/>
  <c r="AC80" i="4"/>
  <c r="AD80" i="4"/>
  <c r="AF80" i="4"/>
  <c r="AG80" i="4"/>
  <c r="AH80" i="4"/>
  <c r="AI80" i="4"/>
  <c r="AK80" i="4"/>
  <c r="AM80" i="4"/>
  <c r="AN80" i="4"/>
  <c r="A81" i="4"/>
  <c r="B81" i="4"/>
  <c r="C81" i="4"/>
  <c r="D81" i="4"/>
  <c r="E81" i="4"/>
  <c r="G81" i="4"/>
  <c r="H81" i="4"/>
  <c r="I81" i="4"/>
  <c r="K81" i="4"/>
  <c r="L81" i="4"/>
  <c r="M81" i="4"/>
  <c r="O81" i="4"/>
  <c r="P81" i="4"/>
  <c r="Q81" i="4"/>
  <c r="R81" i="4"/>
  <c r="U81" i="4"/>
  <c r="V81" i="4"/>
  <c r="W81" i="4"/>
  <c r="Y81" i="4"/>
  <c r="Z81" i="4"/>
  <c r="AB81" i="4"/>
  <c r="AC81" i="4"/>
  <c r="AD81" i="4"/>
  <c r="AF81" i="4"/>
  <c r="AG81" i="4"/>
  <c r="AH81" i="4"/>
  <c r="AI81" i="4"/>
  <c r="AK81" i="4"/>
  <c r="AM81" i="4"/>
  <c r="AN81" i="4"/>
  <c r="A82" i="4"/>
  <c r="B82" i="4"/>
  <c r="C82" i="4"/>
  <c r="D82" i="4"/>
  <c r="E82" i="4"/>
  <c r="G82" i="4"/>
  <c r="H82" i="4"/>
  <c r="I82" i="4"/>
  <c r="K82" i="4"/>
  <c r="L82" i="4"/>
  <c r="M82" i="4"/>
  <c r="O82" i="4"/>
  <c r="P82" i="4"/>
  <c r="Q82" i="4"/>
  <c r="R82" i="4"/>
  <c r="U82" i="4"/>
  <c r="V82" i="4"/>
  <c r="W82" i="4"/>
  <c r="Y82" i="4"/>
  <c r="Z82" i="4"/>
  <c r="AB82" i="4"/>
  <c r="AC82" i="4"/>
  <c r="AD82" i="4"/>
  <c r="AF82" i="4"/>
  <c r="AG82" i="4"/>
  <c r="AH82" i="4"/>
  <c r="AI82" i="4"/>
  <c r="AK82" i="4"/>
  <c r="AM82" i="4"/>
  <c r="AN82" i="4"/>
  <c r="A83" i="4"/>
  <c r="B83" i="4"/>
  <c r="C83" i="4"/>
  <c r="D83" i="4"/>
  <c r="E83" i="4"/>
  <c r="G83" i="4"/>
  <c r="H83" i="4"/>
  <c r="I83" i="4"/>
  <c r="K83" i="4"/>
  <c r="L83" i="4"/>
  <c r="M83" i="4"/>
  <c r="O83" i="4"/>
  <c r="P83" i="4"/>
  <c r="Q83" i="4"/>
  <c r="R83" i="4"/>
  <c r="U83" i="4"/>
  <c r="V83" i="4"/>
  <c r="W83" i="4"/>
  <c r="Y83" i="4"/>
  <c r="Z83" i="4"/>
  <c r="AB83" i="4"/>
  <c r="AC83" i="4"/>
  <c r="AD83" i="4"/>
  <c r="AF83" i="4"/>
  <c r="AG83" i="4"/>
  <c r="AH83" i="4"/>
  <c r="AI83" i="4"/>
  <c r="AK83" i="4"/>
  <c r="AM83" i="4"/>
  <c r="AN83" i="4"/>
  <c r="A84" i="4"/>
  <c r="B84" i="4"/>
  <c r="C84" i="4"/>
  <c r="D84" i="4"/>
  <c r="E84" i="4"/>
  <c r="G84" i="4"/>
  <c r="H84" i="4"/>
  <c r="I84" i="4"/>
  <c r="K84" i="4"/>
  <c r="L84" i="4"/>
  <c r="M84" i="4"/>
  <c r="O84" i="4"/>
  <c r="P84" i="4"/>
  <c r="Q84" i="4"/>
  <c r="R84" i="4"/>
  <c r="U84" i="4"/>
  <c r="V84" i="4"/>
  <c r="W84" i="4"/>
  <c r="Y84" i="4"/>
  <c r="Z84" i="4"/>
  <c r="AB84" i="4"/>
  <c r="AC84" i="4"/>
  <c r="AD84" i="4"/>
  <c r="AF84" i="4"/>
  <c r="AG84" i="4"/>
  <c r="AH84" i="4"/>
  <c r="AI84" i="4"/>
  <c r="AK84" i="4"/>
  <c r="AM84" i="4"/>
  <c r="AN84" i="4"/>
  <c r="A85" i="4"/>
  <c r="B85" i="4"/>
  <c r="C85" i="4"/>
  <c r="D85" i="4"/>
  <c r="E85" i="4"/>
  <c r="G85" i="4"/>
  <c r="H85" i="4"/>
  <c r="I85" i="4"/>
  <c r="K85" i="4"/>
  <c r="L85" i="4"/>
  <c r="M85" i="4"/>
  <c r="O85" i="4"/>
  <c r="P85" i="4"/>
  <c r="Q85" i="4"/>
  <c r="R85" i="4"/>
  <c r="U85" i="4"/>
  <c r="V85" i="4"/>
  <c r="W85" i="4"/>
  <c r="Y85" i="4"/>
  <c r="Z85" i="4"/>
  <c r="AB85" i="4"/>
  <c r="AC85" i="4"/>
  <c r="AD85" i="4"/>
  <c r="AF85" i="4"/>
  <c r="AG85" i="4"/>
  <c r="AH85" i="4"/>
  <c r="AI85" i="4"/>
  <c r="AK85" i="4"/>
  <c r="AM85" i="4"/>
  <c r="AN85" i="4"/>
  <c r="A86" i="4"/>
  <c r="B86" i="4"/>
  <c r="C86" i="4"/>
  <c r="D86" i="4"/>
  <c r="E86" i="4"/>
  <c r="G86" i="4"/>
  <c r="H86" i="4"/>
  <c r="I86" i="4"/>
  <c r="K86" i="4"/>
  <c r="L86" i="4"/>
  <c r="M86" i="4"/>
  <c r="O86" i="4"/>
  <c r="P86" i="4"/>
  <c r="Q86" i="4"/>
  <c r="R86" i="4"/>
  <c r="U86" i="4"/>
  <c r="V86" i="4"/>
  <c r="W86" i="4"/>
  <c r="Y86" i="4"/>
  <c r="Z86" i="4"/>
  <c r="AB86" i="4"/>
  <c r="AC86" i="4"/>
  <c r="AD86" i="4"/>
  <c r="AF86" i="4"/>
  <c r="AG86" i="4"/>
  <c r="AH86" i="4"/>
  <c r="AI86" i="4"/>
  <c r="AK86" i="4"/>
  <c r="AM86" i="4"/>
  <c r="AN86" i="4"/>
  <c r="A87" i="4"/>
  <c r="B87" i="4"/>
  <c r="C87" i="4"/>
  <c r="D87" i="4"/>
  <c r="E87" i="4"/>
  <c r="G87" i="4"/>
  <c r="H87" i="4"/>
  <c r="I87" i="4"/>
  <c r="K87" i="4"/>
  <c r="L87" i="4"/>
  <c r="M87" i="4"/>
  <c r="O87" i="4"/>
  <c r="P87" i="4"/>
  <c r="Q87" i="4"/>
  <c r="R87" i="4"/>
  <c r="U87" i="4"/>
  <c r="V87" i="4"/>
  <c r="W87" i="4"/>
  <c r="Y87" i="4"/>
  <c r="Z87" i="4"/>
  <c r="AB87" i="4"/>
  <c r="AC87" i="4"/>
  <c r="AD87" i="4"/>
  <c r="AF87" i="4"/>
  <c r="AG87" i="4"/>
  <c r="AH87" i="4"/>
  <c r="AI87" i="4"/>
  <c r="AK87" i="4"/>
  <c r="AM87" i="4"/>
  <c r="AN87" i="4"/>
  <c r="A88" i="4"/>
  <c r="B88" i="4"/>
  <c r="C88" i="4"/>
  <c r="D88" i="4"/>
  <c r="E88" i="4"/>
  <c r="G88" i="4"/>
  <c r="H88" i="4"/>
  <c r="I88" i="4"/>
  <c r="K88" i="4"/>
  <c r="L88" i="4"/>
  <c r="M88" i="4"/>
  <c r="O88" i="4"/>
  <c r="P88" i="4"/>
  <c r="Q88" i="4"/>
  <c r="R88" i="4"/>
  <c r="U88" i="4"/>
  <c r="V88" i="4"/>
  <c r="W88" i="4"/>
  <c r="Y88" i="4"/>
  <c r="Z88" i="4"/>
  <c r="AB88" i="4"/>
  <c r="AC88" i="4"/>
  <c r="AD88" i="4"/>
  <c r="AF88" i="4"/>
  <c r="AG88" i="4"/>
  <c r="AH88" i="4"/>
  <c r="AI88" i="4"/>
  <c r="AK88" i="4"/>
  <c r="AM88" i="4"/>
  <c r="AN88" i="4"/>
  <c r="A89" i="4"/>
  <c r="B89" i="4"/>
  <c r="C89" i="4"/>
  <c r="D89" i="4"/>
  <c r="E89" i="4"/>
  <c r="G89" i="4"/>
  <c r="H89" i="4"/>
  <c r="I89" i="4"/>
  <c r="K89" i="4"/>
  <c r="L89" i="4"/>
  <c r="M89" i="4"/>
  <c r="O89" i="4"/>
  <c r="P89" i="4"/>
  <c r="Q89" i="4"/>
  <c r="R89" i="4"/>
  <c r="U89" i="4"/>
  <c r="V89" i="4"/>
  <c r="W89" i="4"/>
  <c r="Y89" i="4"/>
  <c r="Z89" i="4"/>
  <c r="AB89" i="4"/>
  <c r="AC89" i="4"/>
  <c r="AD89" i="4"/>
  <c r="AF89" i="4"/>
  <c r="AG89" i="4"/>
  <c r="AH89" i="4"/>
  <c r="AI89" i="4"/>
  <c r="AK89" i="4"/>
  <c r="AM89" i="4"/>
  <c r="AN89" i="4"/>
  <c r="A90" i="4"/>
  <c r="B90" i="4"/>
  <c r="C90" i="4"/>
  <c r="D90" i="4"/>
  <c r="E90" i="4"/>
  <c r="G90" i="4"/>
  <c r="H90" i="4"/>
  <c r="I90" i="4"/>
  <c r="K90" i="4"/>
  <c r="L90" i="4"/>
  <c r="M90" i="4"/>
  <c r="O90" i="4"/>
  <c r="P90" i="4"/>
  <c r="Q90" i="4"/>
  <c r="R90" i="4"/>
  <c r="U90" i="4"/>
  <c r="V90" i="4"/>
  <c r="W90" i="4"/>
  <c r="Y90" i="4"/>
  <c r="Z90" i="4"/>
  <c r="AB90" i="4"/>
  <c r="AC90" i="4"/>
  <c r="AD90" i="4"/>
  <c r="AF90" i="4"/>
  <c r="AG90" i="4"/>
  <c r="AH90" i="4"/>
  <c r="AI90" i="4"/>
  <c r="AK90" i="4"/>
  <c r="AM90" i="4"/>
  <c r="AN90" i="4"/>
  <c r="A91" i="4"/>
  <c r="B91" i="4"/>
  <c r="C91" i="4"/>
  <c r="D91" i="4"/>
  <c r="E91" i="4"/>
  <c r="G91" i="4"/>
  <c r="H91" i="4"/>
  <c r="I91" i="4"/>
  <c r="K91" i="4"/>
  <c r="L91" i="4"/>
  <c r="M91" i="4"/>
  <c r="O91" i="4"/>
  <c r="P91" i="4"/>
  <c r="Q91" i="4"/>
  <c r="R91" i="4"/>
  <c r="U91" i="4"/>
  <c r="V91" i="4"/>
  <c r="W91" i="4"/>
  <c r="Y91" i="4"/>
  <c r="Z91" i="4"/>
  <c r="AB91" i="4"/>
  <c r="AC91" i="4"/>
  <c r="AD91" i="4"/>
  <c r="AF91" i="4"/>
  <c r="AG91" i="4"/>
  <c r="AH91" i="4"/>
  <c r="AI91" i="4"/>
  <c r="AK91" i="4"/>
  <c r="AM91" i="4"/>
  <c r="AN91" i="4"/>
  <c r="A92" i="4"/>
  <c r="B92" i="4"/>
  <c r="C92" i="4"/>
  <c r="D92" i="4"/>
  <c r="E92" i="4"/>
  <c r="G92" i="4"/>
  <c r="H92" i="4"/>
  <c r="I92" i="4"/>
  <c r="K92" i="4"/>
  <c r="L92" i="4"/>
  <c r="M92" i="4"/>
  <c r="O92" i="4"/>
  <c r="P92" i="4"/>
  <c r="Q92" i="4"/>
  <c r="R92" i="4"/>
  <c r="U92" i="4"/>
  <c r="V92" i="4"/>
  <c r="W92" i="4"/>
  <c r="Y92" i="4"/>
  <c r="Z92" i="4"/>
  <c r="AB92" i="4"/>
  <c r="AC92" i="4"/>
  <c r="AD92" i="4"/>
  <c r="AF92" i="4"/>
  <c r="AG92" i="4"/>
  <c r="AH92" i="4"/>
  <c r="AI92" i="4"/>
  <c r="AK92" i="4"/>
  <c r="AM92" i="4"/>
  <c r="AN92" i="4"/>
  <c r="A93" i="4"/>
  <c r="B93" i="4"/>
  <c r="C93" i="4"/>
  <c r="D93" i="4"/>
  <c r="E93" i="4"/>
  <c r="G93" i="4"/>
  <c r="H93" i="4"/>
  <c r="I93" i="4"/>
  <c r="K93" i="4"/>
  <c r="L93" i="4"/>
  <c r="M93" i="4"/>
  <c r="O93" i="4"/>
  <c r="P93" i="4"/>
  <c r="Q93" i="4"/>
  <c r="R93" i="4"/>
  <c r="U93" i="4"/>
  <c r="V93" i="4"/>
  <c r="W93" i="4"/>
  <c r="Y93" i="4"/>
  <c r="Z93" i="4"/>
  <c r="AB93" i="4"/>
  <c r="AC93" i="4"/>
  <c r="AD93" i="4"/>
  <c r="AF93" i="4"/>
  <c r="AG93" i="4"/>
  <c r="AH93" i="4"/>
  <c r="AI93" i="4"/>
  <c r="AK93" i="4"/>
  <c r="AM93" i="4"/>
  <c r="AN93" i="4"/>
  <c r="A94" i="4"/>
  <c r="B94" i="4"/>
  <c r="C94" i="4"/>
  <c r="D94" i="4"/>
  <c r="E94" i="4"/>
  <c r="G94" i="4"/>
  <c r="H94" i="4"/>
  <c r="I94" i="4"/>
  <c r="K94" i="4"/>
  <c r="L94" i="4"/>
  <c r="M94" i="4"/>
  <c r="O94" i="4"/>
  <c r="P94" i="4"/>
  <c r="Q94" i="4"/>
  <c r="R94" i="4"/>
  <c r="U94" i="4"/>
  <c r="V94" i="4"/>
  <c r="W94" i="4"/>
  <c r="Y94" i="4"/>
  <c r="Z94" i="4"/>
  <c r="AB94" i="4"/>
  <c r="AC94" i="4"/>
  <c r="AD94" i="4"/>
  <c r="AF94" i="4"/>
  <c r="AG94" i="4"/>
  <c r="AH94" i="4"/>
  <c r="AI94" i="4"/>
  <c r="AK94" i="4"/>
  <c r="AM94" i="4"/>
  <c r="AN94" i="4"/>
  <c r="A95" i="4"/>
  <c r="B95" i="4"/>
  <c r="C95" i="4"/>
  <c r="D95" i="4"/>
  <c r="E95" i="4"/>
  <c r="G95" i="4"/>
  <c r="H95" i="4"/>
  <c r="I95" i="4"/>
  <c r="K95" i="4"/>
  <c r="L95" i="4"/>
  <c r="M95" i="4"/>
  <c r="O95" i="4"/>
  <c r="P95" i="4"/>
  <c r="Q95" i="4"/>
  <c r="R95" i="4"/>
  <c r="U95" i="4"/>
  <c r="V95" i="4"/>
  <c r="W95" i="4"/>
  <c r="Y95" i="4"/>
  <c r="Z95" i="4"/>
  <c r="AB95" i="4"/>
  <c r="AC95" i="4"/>
  <c r="AD95" i="4"/>
  <c r="AF95" i="4"/>
  <c r="AG95" i="4"/>
  <c r="AH95" i="4"/>
  <c r="AI95" i="4"/>
  <c r="AK95" i="4"/>
  <c r="AM95" i="4"/>
  <c r="AN95" i="4"/>
  <c r="A96" i="4"/>
  <c r="B96" i="4"/>
  <c r="C96" i="4"/>
  <c r="D96" i="4"/>
  <c r="E96" i="4"/>
  <c r="G96" i="4"/>
  <c r="H96" i="4"/>
  <c r="I96" i="4"/>
  <c r="K96" i="4"/>
  <c r="L96" i="4"/>
  <c r="M96" i="4"/>
  <c r="O96" i="4"/>
  <c r="P96" i="4"/>
  <c r="Q96" i="4"/>
  <c r="R96" i="4"/>
  <c r="U96" i="4"/>
  <c r="V96" i="4"/>
  <c r="W96" i="4"/>
  <c r="Y96" i="4"/>
  <c r="Z96" i="4"/>
  <c r="AB96" i="4"/>
  <c r="AC96" i="4"/>
  <c r="AD96" i="4"/>
  <c r="AF96" i="4"/>
  <c r="AG96" i="4"/>
  <c r="AH96" i="4"/>
  <c r="AI96" i="4"/>
  <c r="AK96" i="4"/>
  <c r="AM96" i="4"/>
  <c r="AN96" i="4"/>
  <c r="A97" i="4"/>
  <c r="B97" i="4"/>
  <c r="C97" i="4"/>
  <c r="D97" i="4"/>
  <c r="E97" i="4"/>
  <c r="G97" i="4"/>
  <c r="H97" i="4"/>
  <c r="I97" i="4"/>
  <c r="K97" i="4"/>
  <c r="L97" i="4"/>
  <c r="M97" i="4"/>
  <c r="O97" i="4"/>
  <c r="P97" i="4"/>
  <c r="Q97" i="4"/>
  <c r="R97" i="4"/>
  <c r="U97" i="4"/>
  <c r="V97" i="4"/>
  <c r="W97" i="4"/>
  <c r="Y97" i="4"/>
  <c r="Z97" i="4"/>
  <c r="AB97" i="4"/>
  <c r="AC97" i="4"/>
  <c r="AD97" i="4"/>
  <c r="AF97" i="4"/>
  <c r="AG97" i="4"/>
  <c r="AH97" i="4"/>
  <c r="AI97" i="4"/>
  <c r="AK97" i="4"/>
  <c r="AM97" i="4"/>
  <c r="AN97" i="4"/>
  <c r="A98" i="4"/>
  <c r="B98" i="4"/>
  <c r="C98" i="4"/>
  <c r="D98" i="4"/>
  <c r="E98" i="4"/>
  <c r="G98" i="4"/>
  <c r="H98" i="4"/>
  <c r="I98" i="4"/>
  <c r="K98" i="4"/>
  <c r="L98" i="4"/>
  <c r="M98" i="4"/>
  <c r="O98" i="4"/>
  <c r="P98" i="4"/>
  <c r="Q98" i="4"/>
  <c r="R98" i="4"/>
  <c r="U98" i="4"/>
  <c r="V98" i="4"/>
  <c r="W98" i="4"/>
  <c r="Y98" i="4"/>
  <c r="Z98" i="4"/>
  <c r="AB98" i="4"/>
  <c r="AC98" i="4"/>
  <c r="AD98" i="4"/>
  <c r="AF98" i="4"/>
  <c r="AG98" i="4"/>
  <c r="AH98" i="4"/>
  <c r="AI98" i="4"/>
  <c r="AK98" i="4"/>
  <c r="AM98" i="4"/>
  <c r="AN98" i="4"/>
  <c r="A99" i="4"/>
  <c r="B99" i="4"/>
  <c r="C99" i="4"/>
  <c r="D99" i="4"/>
  <c r="E99" i="4"/>
  <c r="G99" i="4"/>
  <c r="H99" i="4"/>
  <c r="I99" i="4"/>
  <c r="K99" i="4"/>
  <c r="L99" i="4"/>
  <c r="M99" i="4"/>
  <c r="O99" i="4"/>
  <c r="P99" i="4"/>
  <c r="Q99" i="4"/>
  <c r="R99" i="4"/>
  <c r="U99" i="4"/>
  <c r="V99" i="4"/>
  <c r="W99" i="4"/>
  <c r="Y99" i="4"/>
  <c r="Z99" i="4"/>
  <c r="AB99" i="4"/>
  <c r="AC99" i="4"/>
  <c r="AD99" i="4"/>
  <c r="AF99" i="4"/>
  <c r="AG99" i="4"/>
  <c r="AH99" i="4"/>
  <c r="AI99" i="4"/>
  <c r="AK99" i="4"/>
  <c r="AM99" i="4"/>
  <c r="AN99" i="4"/>
  <c r="A100" i="4"/>
  <c r="B100" i="4"/>
  <c r="C100" i="4"/>
  <c r="D100" i="4"/>
  <c r="E100" i="4"/>
  <c r="G100" i="4"/>
  <c r="H100" i="4"/>
  <c r="I100" i="4"/>
  <c r="K100" i="4"/>
  <c r="L100" i="4"/>
  <c r="M100" i="4"/>
  <c r="O100" i="4"/>
  <c r="P100" i="4"/>
  <c r="Q100" i="4"/>
  <c r="R100" i="4"/>
  <c r="U100" i="4"/>
  <c r="V100" i="4"/>
  <c r="W100" i="4"/>
  <c r="Y100" i="4"/>
  <c r="Z100" i="4"/>
  <c r="AB100" i="4"/>
  <c r="AC100" i="4"/>
  <c r="AD100" i="4"/>
  <c r="AF100" i="4"/>
  <c r="AG100" i="4"/>
  <c r="AH100" i="4"/>
  <c r="AI100" i="4"/>
  <c r="AK100" i="4"/>
  <c r="AM100" i="4"/>
  <c r="AN100" i="4"/>
  <c r="A101" i="4"/>
  <c r="B101" i="4"/>
  <c r="C101" i="4"/>
  <c r="D101" i="4"/>
  <c r="E101" i="4"/>
  <c r="G101" i="4"/>
  <c r="H101" i="4"/>
  <c r="I101" i="4"/>
  <c r="K101" i="4"/>
  <c r="L101" i="4"/>
  <c r="M101" i="4"/>
  <c r="O101" i="4"/>
  <c r="P101" i="4"/>
  <c r="Q101" i="4"/>
  <c r="R101" i="4"/>
  <c r="U101" i="4"/>
  <c r="V101" i="4"/>
  <c r="W101" i="4"/>
  <c r="Y101" i="4"/>
  <c r="Z101" i="4"/>
  <c r="AB101" i="4"/>
  <c r="AC101" i="4"/>
  <c r="AD101" i="4"/>
  <c r="AF101" i="4"/>
  <c r="AG101" i="4"/>
  <c r="AH101" i="4"/>
  <c r="AI101" i="4"/>
  <c r="AK101" i="4"/>
  <c r="AM101" i="4"/>
  <c r="AN101" i="4"/>
  <c r="A102" i="4"/>
  <c r="B102" i="4"/>
  <c r="C102" i="4"/>
  <c r="D102" i="4"/>
  <c r="E102" i="4"/>
  <c r="G102" i="4"/>
  <c r="H102" i="4"/>
  <c r="I102" i="4"/>
  <c r="K102" i="4"/>
  <c r="L102" i="4"/>
  <c r="M102" i="4"/>
  <c r="O102" i="4"/>
  <c r="P102" i="4"/>
  <c r="Q102" i="4"/>
  <c r="R102" i="4"/>
  <c r="U102" i="4"/>
  <c r="V102" i="4"/>
  <c r="W102" i="4"/>
  <c r="Y102" i="4"/>
  <c r="Z102" i="4"/>
  <c r="AB102" i="4"/>
  <c r="AC102" i="4"/>
  <c r="AD102" i="4"/>
  <c r="AF102" i="4"/>
  <c r="AG102" i="4"/>
  <c r="AH102" i="4"/>
  <c r="AI102" i="4"/>
  <c r="AK102" i="4"/>
  <c r="AM102" i="4"/>
  <c r="AN102" i="4"/>
  <c r="A103" i="4"/>
  <c r="B103" i="4"/>
  <c r="C103" i="4"/>
  <c r="D103" i="4"/>
  <c r="E103" i="4"/>
  <c r="G103" i="4"/>
  <c r="H103" i="4"/>
  <c r="I103" i="4"/>
  <c r="K103" i="4"/>
  <c r="L103" i="4"/>
  <c r="M103" i="4"/>
  <c r="O103" i="4"/>
  <c r="P103" i="4"/>
  <c r="Q103" i="4"/>
  <c r="R103" i="4"/>
  <c r="U103" i="4"/>
  <c r="V103" i="4"/>
  <c r="W103" i="4"/>
  <c r="Y103" i="4"/>
  <c r="Z103" i="4"/>
  <c r="AB103" i="4"/>
  <c r="AC103" i="4"/>
  <c r="AD103" i="4"/>
  <c r="AF103" i="4"/>
  <c r="AG103" i="4"/>
  <c r="AH103" i="4"/>
  <c r="AI103" i="4"/>
  <c r="AK103" i="4"/>
  <c r="AM103" i="4"/>
  <c r="AN103" i="4"/>
  <c r="A104" i="4"/>
  <c r="B104" i="4"/>
  <c r="C104" i="4"/>
  <c r="D104" i="4"/>
  <c r="E104" i="4"/>
  <c r="G104" i="4"/>
  <c r="H104" i="4"/>
  <c r="I104" i="4"/>
  <c r="K104" i="4"/>
  <c r="L104" i="4"/>
  <c r="M104" i="4"/>
  <c r="O104" i="4"/>
  <c r="P104" i="4"/>
  <c r="Q104" i="4"/>
  <c r="R104" i="4"/>
  <c r="U104" i="4"/>
  <c r="V104" i="4"/>
  <c r="W104" i="4"/>
  <c r="Y104" i="4"/>
  <c r="Z104" i="4"/>
  <c r="AB104" i="4"/>
  <c r="AC104" i="4"/>
  <c r="AD104" i="4"/>
  <c r="AF104" i="4"/>
  <c r="AG104" i="4"/>
  <c r="AH104" i="4"/>
  <c r="AI104" i="4"/>
  <c r="AK104" i="4"/>
  <c r="AM104" i="4"/>
  <c r="AN104" i="4"/>
  <c r="A105" i="4"/>
  <c r="B105" i="4"/>
  <c r="C105" i="4"/>
  <c r="D105" i="4"/>
  <c r="E105" i="4"/>
  <c r="G105" i="4"/>
  <c r="H105" i="4"/>
  <c r="I105" i="4"/>
  <c r="K105" i="4"/>
  <c r="L105" i="4"/>
  <c r="M105" i="4"/>
  <c r="O105" i="4"/>
  <c r="P105" i="4"/>
  <c r="Q105" i="4"/>
  <c r="R105" i="4"/>
  <c r="U105" i="4"/>
  <c r="V105" i="4"/>
  <c r="W105" i="4"/>
  <c r="Y105" i="4"/>
  <c r="Z105" i="4"/>
  <c r="AB105" i="4"/>
  <c r="AC105" i="4"/>
  <c r="AD105" i="4"/>
  <c r="AF105" i="4"/>
  <c r="AG105" i="4"/>
  <c r="AH105" i="4"/>
  <c r="AI105" i="4"/>
  <c r="AK105" i="4"/>
  <c r="AM105" i="4"/>
  <c r="AN105" i="4"/>
  <c r="A106" i="4"/>
  <c r="B106" i="4"/>
  <c r="C106" i="4"/>
  <c r="D106" i="4"/>
  <c r="E106" i="4"/>
  <c r="G106" i="4"/>
  <c r="H106" i="4"/>
  <c r="I106" i="4"/>
  <c r="K106" i="4"/>
  <c r="L106" i="4"/>
  <c r="M106" i="4"/>
  <c r="O106" i="4"/>
  <c r="P106" i="4"/>
  <c r="Q106" i="4"/>
  <c r="R106" i="4"/>
  <c r="U106" i="4"/>
  <c r="V106" i="4"/>
  <c r="W106" i="4"/>
  <c r="Y106" i="4"/>
  <c r="Z106" i="4"/>
  <c r="AB106" i="4"/>
  <c r="AC106" i="4"/>
  <c r="AD106" i="4"/>
  <c r="AF106" i="4"/>
  <c r="AG106" i="4"/>
  <c r="AH106" i="4"/>
  <c r="AI106" i="4"/>
  <c r="AK106" i="4"/>
  <c r="AM106" i="4"/>
  <c r="AN106" i="4"/>
  <c r="A107" i="4"/>
  <c r="B107" i="4"/>
  <c r="C107" i="4"/>
  <c r="D107" i="4"/>
  <c r="E107" i="4"/>
  <c r="G107" i="4"/>
  <c r="H107" i="4"/>
  <c r="I107" i="4"/>
  <c r="K107" i="4"/>
  <c r="L107" i="4"/>
  <c r="M107" i="4"/>
  <c r="O107" i="4"/>
  <c r="P107" i="4"/>
  <c r="Q107" i="4"/>
  <c r="R107" i="4"/>
  <c r="U107" i="4"/>
  <c r="V107" i="4"/>
  <c r="W107" i="4"/>
  <c r="Y107" i="4"/>
  <c r="Z107" i="4"/>
  <c r="AB107" i="4"/>
  <c r="AC107" i="4"/>
  <c r="AD107" i="4"/>
  <c r="AF107" i="4"/>
  <c r="AG107" i="4"/>
  <c r="AH107" i="4"/>
  <c r="AI107" i="4"/>
  <c r="AK107" i="4"/>
  <c r="AM107" i="4"/>
  <c r="AN107" i="4"/>
  <c r="A108" i="4"/>
  <c r="B108" i="4"/>
  <c r="C108" i="4"/>
  <c r="D108" i="4"/>
  <c r="E108" i="4"/>
  <c r="G108" i="4"/>
  <c r="H108" i="4"/>
  <c r="I108" i="4"/>
  <c r="K108" i="4"/>
  <c r="L108" i="4"/>
  <c r="M108" i="4"/>
  <c r="O108" i="4"/>
  <c r="P108" i="4"/>
  <c r="Q108" i="4"/>
  <c r="R108" i="4"/>
  <c r="U108" i="4"/>
  <c r="V108" i="4"/>
  <c r="W108" i="4"/>
  <c r="Y108" i="4"/>
  <c r="Z108" i="4"/>
  <c r="AB108" i="4"/>
  <c r="AC108" i="4"/>
  <c r="AD108" i="4"/>
  <c r="AF108" i="4"/>
  <c r="AG108" i="4"/>
  <c r="AH108" i="4"/>
  <c r="AI108" i="4"/>
  <c r="AK108" i="4"/>
  <c r="AM108" i="4"/>
  <c r="AN108" i="4"/>
  <c r="A109" i="4"/>
  <c r="B109" i="4"/>
  <c r="C109" i="4"/>
  <c r="D109" i="4"/>
  <c r="E109" i="4"/>
  <c r="G109" i="4"/>
  <c r="H109" i="4"/>
  <c r="I109" i="4"/>
  <c r="K109" i="4"/>
  <c r="L109" i="4"/>
  <c r="M109" i="4"/>
  <c r="O109" i="4"/>
  <c r="P109" i="4"/>
  <c r="Q109" i="4"/>
  <c r="R109" i="4"/>
  <c r="U109" i="4"/>
  <c r="V109" i="4"/>
  <c r="W109" i="4"/>
  <c r="Y109" i="4"/>
  <c r="Z109" i="4"/>
  <c r="AB109" i="4"/>
  <c r="AC109" i="4"/>
  <c r="AD109" i="4"/>
  <c r="AF109" i="4"/>
  <c r="AG109" i="4"/>
  <c r="AH109" i="4"/>
  <c r="AI109" i="4"/>
  <c r="AK109" i="4"/>
  <c r="AM109" i="4"/>
  <c r="AN109" i="4"/>
  <c r="A110" i="4"/>
  <c r="B110" i="4"/>
  <c r="C110" i="4"/>
  <c r="D110" i="4"/>
  <c r="E110" i="4"/>
  <c r="G110" i="4"/>
  <c r="H110" i="4"/>
  <c r="I110" i="4"/>
  <c r="K110" i="4"/>
  <c r="L110" i="4"/>
  <c r="M110" i="4"/>
  <c r="O110" i="4"/>
  <c r="P110" i="4"/>
  <c r="Q110" i="4"/>
  <c r="R110" i="4"/>
  <c r="U110" i="4"/>
  <c r="V110" i="4"/>
  <c r="W110" i="4"/>
  <c r="Y110" i="4"/>
  <c r="Z110" i="4"/>
  <c r="AB110" i="4"/>
  <c r="AC110" i="4"/>
  <c r="AD110" i="4"/>
  <c r="AF110" i="4"/>
  <c r="AG110" i="4"/>
  <c r="AH110" i="4"/>
  <c r="AI110" i="4"/>
  <c r="AK110" i="4"/>
  <c r="AM110" i="4"/>
  <c r="AN110" i="4"/>
  <c r="A111" i="4"/>
  <c r="B111" i="4"/>
  <c r="C111" i="4"/>
  <c r="D111" i="4"/>
  <c r="E111" i="4"/>
  <c r="G111" i="4"/>
  <c r="H111" i="4"/>
  <c r="I111" i="4"/>
  <c r="K111" i="4"/>
  <c r="L111" i="4"/>
  <c r="M111" i="4"/>
  <c r="O111" i="4"/>
  <c r="P111" i="4"/>
  <c r="Q111" i="4"/>
  <c r="R111" i="4"/>
  <c r="U111" i="4"/>
  <c r="V111" i="4"/>
  <c r="W111" i="4"/>
  <c r="Y111" i="4"/>
  <c r="Z111" i="4"/>
  <c r="AB111" i="4"/>
  <c r="AC111" i="4"/>
  <c r="AD111" i="4"/>
  <c r="AF111" i="4"/>
  <c r="AG111" i="4"/>
  <c r="AH111" i="4"/>
  <c r="AI111" i="4"/>
  <c r="AK111" i="4"/>
  <c r="AM111" i="4"/>
  <c r="AN111" i="4"/>
  <c r="A112" i="4"/>
  <c r="B112" i="4"/>
  <c r="C112" i="4"/>
  <c r="D112" i="4"/>
  <c r="E112" i="4"/>
  <c r="G112" i="4"/>
  <c r="H112" i="4"/>
  <c r="I112" i="4"/>
  <c r="K112" i="4"/>
  <c r="L112" i="4"/>
  <c r="M112" i="4"/>
  <c r="O112" i="4"/>
  <c r="P112" i="4"/>
  <c r="Q112" i="4"/>
  <c r="R112" i="4"/>
  <c r="U112" i="4"/>
  <c r="V112" i="4"/>
  <c r="W112" i="4"/>
  <c r="Y112" i="4"/>
  <c r="Z112" i="4"/>
  <c r="AB112" i="4"/>
  <c r="AC112" i="4"/>
  <c r="AD112" i="4"/>
  <c r="AF112" i="4"/>
  <c r="AG112" i="4"/>
  <c r="AH112" i="4"/>
  <c r="AI112" i="4"/>
  <c r="AK112" i="4"/>
  <c r="AM112" i="4"/>
  <c r="AN112" i="4"/>
  <c r="A113" i="4"/>
  <c r="B113" i="4"/>
  <c r="C113" i="4"/>
  <c r="D113" i="4"/>
  <c r="E113" i="4"/>
  <c r="G113" i="4"/>
  <c r="H113" i="4"/>
  <c r="I113" i="4"/>
  <c r="K113" i="4"/>
  <c r="L113" i="4"/>
  <c r="M113" i="4"/>
  <c r="O113" i="4"/>
  <c r="P113" i="4"/>
  <c r="Q113" i="4"/>
  <c r="R113" i="4"/>
  <c r="U113" i="4"/>
  <c r="V113" i="4"/>
  <c r="W113" i="4"/>
  <c r="Y113" i="4"/>
  <c r="Z113" i="4"/>
  <c r="AB113" i="4"/>
  <c r="AC113" i="4"/>
  <c r="AD113" i="4"/>
  <c r="AF113" i="4"/>
  <c r="AG113" i="4"/>
  <c r="AH113" i="4"/>
  <c r="AI113" i="4"/>
  <c r="AK113" i="4"/>
  <c r="AM113" i="4"/>
  <c r="AN113" i="4"/>
  <c r="A114" i="4"/>
  <c r="B114" i="4"/>
  <c r="C114" i="4"/>
  <c r="D114" i="4"/>
  <c r="E114" i="4"/>
  <c r="G114" i="4"/>
  <c r="H114" i="4"/>
  <c r="I114" i="4"/>
  <c r="K114" i="4"/>
  <c r="L114" i="4"/>
  <c r="M114" i="4"/>
  <c r="O114" i="4"/>
  <c r="P114" i="4"/>
  <c r="Q114" i="4"/>
  <c r="R114" i="4"/>
  <c r="U114" i="4"/>
  <c r="V114" i="4"/>
  <c r="W114" i="4"/>
  <c r="Y114" i="4"/>
  <c r="Z114" i="4"/>
  <c r="AB114" i="4"/>
  <c r="AC114" i="4"/>
  <c r="AD114" i="4"/>
  <c r="AF114" i="4"/>
  <c r="AG114" i="4"/>
  <c r="AH114" i="4"/>
  <c r="AI114" i="4"/>
  <c r="AK114" i="4"/>
  <c r="AM114" i="4"/>
  <c r="AN114" i="4"/>
  <c r="A115" i="4"/>
  <c r="B115" i="4"/>
  <c r="C115" i="4"/>
  <c r="D115" i="4"/>
  <c r="E115" i="4"/>
  <c r="G115" i="4"/>
  <c r="H115" i="4"/>
  <c r="I115" i="4"/>
  <c r="K115" i="4"/>
  <c r="L115" i="4"/>
  <c r="M115" i="4"/>
  <c r="O115" i="4"/>
  <c r="P115" i="4"/>
  <c r="Q115" i="4"/>
  <c r="R115" i="4"/>
  <c r="U115" i="4"/>
  <c r="V115" i="4"/>
  <c r="W115" i="4"/>
  <c r="Y115" i="4"/>
  <c r="Z115" i="4"/>
  <c r="AB115" i="4"/>
  <c r="AC115" i="4"/>
  <c r="AD115" i="4"/>
  <c r="AF115" i="4"/>
  <c r="AG115" i="4"/>
  <c r="AH115" i="4"/>
  <c r="AI115" i="4"/>
  <c r="AK115" i="4"/>
  <c r="AM115" i="4"/>
  <c r="AN115" i="4"/>
  <c r="A116" i="4"/>
  <c r="B116" i="4"/>
  <c r="C116" i="4"/>
  <c r="D116" i="4"/>
  <c r="E116" i="4"/>
  <c r="G116" i="4"/>
  <c r="H116" i="4"/>
  <c r="I116" i="4"/>
  <c r="K116" i="4"/>
  <c r="L116" i="4"/>
  <c r="M116" i="4"/>
  <c r="O116" i="4"/>
  <c r="P116" i="4"/>
  <c r="Q116" i="4"/>
  <c r="R116" i="4"/>
  <c r="U116" i="4"/>
  <c r="V116" i="4"/>
  <c r="W116" i="4"/>
  <c r="Y116" i="4"/>
  <c r="Z116" i="4"/>
  <c r="AB116" i="4"/>
  <c r="AC116" i="4"/>
  <c r="AD116" i="4"/>
  <c r="AF116" i="4"/>
  <c r="AG116" i="4"/>
  <c r="AH116" i="4"/>
  <c r="AI116" i="4"/>
  <c r="AK116" i="4"/>
  <c r="AM116" i="4"/>
  <c r="AN116" i="4"/>
  <c r="A117" i="4"/>
  <c r="B117" i="4"/>
  <c r="C117" i="4"/>
  <c r="D117" i="4"/>
  <c r="E117" i="4"/>
  <c r="G117" i="4"/>
  <c r="H117" i="4"/>
  <c r="I117" i="4"/>
  <c r="K117" i="4"/>
  <c r="L117" i="4"/>
  <c r="M117" i="4"/>
  <c r="O117" i="4"/>
  <c r="P117" i="4"/>
  <c r="Q117" i="4"/>
  <c r="R117" i="4"/>
  <c r="U117" i="4"/>
  <c r="V117" i="4"/>
  <c r="W117" i="4"/>
  <c r="Y117" i="4"/>
  <c r="Z117" i="4"/>
  <c r="AB117" i="4"/>
  <c r="AC117" i="4"/>
  <c r="AD117" i="4"/>
  <c r="AF117" i="4"/>
  <c r="AG117" i="4"/>
  <c r="AH117" i="4"/>
  <c r="AI117" i="4"/>
  <c r="AK117" i="4"/>
  <c r="AM117" i="4"/>
  <c r="AN117" i="4"/>
  <c r="A118" i="4"/>
  <c r="B118" i="4"/>
  <c r="C118" i="4"/>
  <c r="D118" i="4"/>
  <c r="E118" i="4"/>
  <c r="G118" i="4"/>
  <c r="H118" i="4"/>
  <c r="I118" i="4"/>
  <c r="K118" i="4"/>
  <c r="L118" i="4"/>
  <c r="M118" i="4"/>
  <c r="O118" i="4"/>
  <c r="P118" i="4"/>
  <c r="Q118" i="4"/>
  <c r="R118" i="4"/>
  <c r="U118" i="4"/>
  <c r="V118" i="4"/>
  <c r="W118" i="4"/>
  <c r="Y118" i="4"/>
  <c r="Z118" i="4"/>
  <c r="AB118" i="4"/>
  <c r="AC118" i="4"/>
  <c r="AD118" i="4"/>
  <c r="AF118" i="4"/>
  <c r="AG118" i="4"/>
  <c r="AH118" i="4"/>
  <c r="AI118" i="4"/>
  <c r="AK118" i="4"/>
  <c r="AM118" i="4"/>
  <c r="AN118" i="4"/>
  <c r="A119" i="4"/>
  <c r="B119" i="4"/>
  <c r="C119" i="4"/>
  <c r="D119" i="4"/>
  <c r="E119" i="4"/>
  <c r="G119" i="4"/>
  <c r="H119" i="4"/>
  <c r="I119" i="4"/>
  <c r="K119" i="4"/>
  <c r="L119" i="4"/>
  <c r="M119" i="4"/>
  <c r="O119" i="4"/>
  <c r="P119" i="4"/>
  <c r="Q119" i="4"/>
  <c r="R119" i="4"/>
  <c r="U119" i="4"/>
  <c r="V119" i="4"/>
  <c r="W119" i="4"/>
  <c r="Y119" i="4"/>
  <c r="Z119" i="4"/>
  <c r="AB119" i="4"/>
  <c r="AC119" i="4"/>
  <c r="AD119" i="4"/>
  <c r="AF119" i="4"/>
  <c r="AG119" i="4"/>
  <c r="AH119" i="4"/>
  <c r="AI119" i="4"/>
  <c r="AK119" i="4"/>
  <c r="AM119" i="4"/>
  <c r="AN119" i="4"/>
  <c r="A120" i="4"/>
  <c r="B120" i="4"/>
  <c r="C120" i="4"/>
  <c r="D120" i="4"/>
  <c r="E120" i="4"/>
  <c r="G120" i="4"/>
  <c r="H120" i="4"/>
  <c r="I120" i="4"/>
  <c r="K120" i="4"/>
  <c r="L120" i="4"/>
  <c r="M120" i="4"/>
  <c r="O120" i="4"/>
  <c r="P120" i="4"/>
  <c r="Q120" i="4"/>
  <c r="R120" i="4"/>
  <c r="U120" i="4"/>
  <c r="V120" i="4"/>
  <c r="W120" i="4"/>
  <c r="Y120" i="4"/>
  <c r="Z120" i="4"/>
  <c r="AB120" i="4"/>
  <c r="AC120" i="4"/>
  <c r="AD120" i="4"/>
  <c r="AF120" i="4"/>
  <c r="AG120" i="4"/>
  <c r="AH120" i="4"/>
  <c r="AI120" i="4"/>
  <c r="AK120" i="4"/>
  <c r="AM120" i="4"/>
  <c r="AN120" i="4"/>
  <c r="A121" i="4"/>
  <c r="B121" i="4"/>
  <c r="C121" i="4"/>
  <c r="D121" i="4"/>
  <c r="E121" i="4"/>
  <c r="G121" i="4"/>
  <c r="H121" i="4"/>
  <c r="I121" i="4"/>
  <c r="K121" i="4"/>
  <c r="L121" i="4"/>
  <c r="M121" i="4"/>
  <c r="O121" i="4"/>
  <c r="P121" i="4"/>
  <c r="Q121" i="4"/>
  <c r="R121" i="4"/>
  <c r="U121" i="4"/>
  <c r="V121" i="4"/>
  <c r="W121" i="4"/>
  <c r="Y121" i="4"/>
  <c r="Z121" i="4"/>
  <c r="AB121" i="4"/>
  <c r="AC121" i="4"/>
  <c r="AD121" i="4"/>
  <c r="AF121" i="4"/>
  <c r="AG121" i="4"/>
  <c r="AH121" i="4"/>
  <c r="AI121" i="4"/>
  <c r="AK121" i="4"/>
  <c r="AM121" i="4"/>
  <c r="AN121" i="4"/>
  <c r="A122" i="4"/>
  <c r="B122" i="4"/>
  <c r="C122" i="4"/>
  <c r="D122" i="4"/>
  <c r="E122" i="4"/>
  <c r="G122" i="4"/>
  <c r="H122" i="4"/>
  <c r="I122" i="4"/>
  <c r="K122" i="4"/>
  <c r="L122" i="4"/>
  <c r="M122" i="4"/>
  <c r="O122" i="4"/>
  <c r="P122" i="4"/>
  <c r="Q122" i="4"/>
  <c r="R122" i="4"/>
  <c r="U122" i="4"/>
  <c r="V122" i="4"/>
  <c r="W122" i="4"/>
  <c r="Y122" i="4"/>
  <c r="Z122" i="4"/>
  <c r="AB122" i="4"/>
  <c r="AC122" i="4"/>
  <c r="AD122" i="4"/>
  <c r="AF122" i="4"/>
  <c r="AG122" i="4"/>
  <c r="AH122" i="4"/>
  <c r="AI122" i="4"/>
  <c r="AK122" i="4"/>
  <c r="AM122" i="4"/>
  <c r="AN122" i="4"/>
  <c r="A123" i="4"/>
  <c r="B123" i="4"/>
  <c r="C123" i="4"/>
  <c r="D123" i="4"/>
  <c r="E123" i="4"/>
  <c r="G123" i="4"/>
  <c r="H123" i="4"/>
  <c r="I123" i="4"/>
  <c r="K123" i="4"/>
  <c r="L123" i="4"/>
  <c r="M123" i="4"/>
  <c r="O123" i="4"/>
  <c r="P123" i="4"/>
  <c r="Q123" i="4"/>
  <c r="R123" i="4"/>
  <c r="U123" i="4"/>
  <c r="V123" i="4"/>
  <c r="W123" i="4"/>
  <c r="Y123" i="4"/>
  <c r="Z123" i="4"/>
  <c r="AB123" i="4"/>
  <c r="AC123" i="4"/>
  <c r="AD123" i="4"/>
  <c r="AF123" i="4"/>
  <c r="AG123" i="4"/>
  <c r="AH123" i="4"/>
  <c r="AI123" i="4"/>
  <c r="AK123" i="4"/>
  <c r="AM123" i="4"/>
  <c r="AN123" i="4"/>
  <c r="A124" i="4"/>
  <c r="B124" i="4"/>
  <c r="C124" i="4"/>
  <c r="D124" i="4"/>
  <c r="E124" i="4"/>
  <c r="G124" i="4"/>
  <c r="H124" i="4"/>
  <c r="I124" i="4"/>
  <c r="K124" i="4"/>
  <c r="L124" i="4"/>
  <c r="M124" i="4"/>
  <c r="O124" i="4"/>
  <c r="P124" i="4"/>
  <c r="Q124" i="4"/>
  <c r="R124" i="4"/>
  <c r="U124" i="4"/>
  <c r="V124" i="4"/>
  <c r="W124" i="4"/>
  <c r="Y124" i="4"/>
  <c r="Z124" i="4"/>
  <c r="AB124" i="4"/>
  <c r="AC124" i="4"/>
  <c r="AD124" i="4"/>
  <c r="AF124" i="4"/>
  <c r="AG124" i="4"/>
  <c r="AH124" i="4"/>
  <c r="AI124" i="4"/>
  <c r="AK124" i="4"/>
  <c r="AM124" i="4"/>
  <c r="AN124" i="4"/>
  <c r="A125" i="4"/>
  <c r="B125" i="4"/>
  <c r="C125" i="4"/>
  <c r="D125" i="4"/>
  <c r="E125" i="4"/>
  <c r="G125" i="4"/>
  <c r="H125" i="4"/>
  <c r="I125" i="4"/>
  <c r="K125" i="4"/>
  <c r="L125" i="4"/>
  <c r="M125" i="4"/>
  <c r="O125" i="4"/>
  <c r="P125" i="4"/>
  <c r="Q125" i="4"/>
  <c r="R125" i="4"/>
  <c r="U125" i="4"/>
  <c r="V125" i="4"/>
  <c r="W125" i="4"/>
  <c r="Y125" i="4"/>
  <c r="Z125" i="4"/>
  <c r="AB125" i="4"/>
  <c r="AC125" i="4"/>
  <c r="AD125" i="4"/>
  <c r="AF125" i="4"/>
  <c r="AG125" i="4"/>
  <c r="AH125" i="4"/>
  <c r="AI125" i="4"/>
  <c r="AK125" i="4"/>
  <c r="AM125" i="4"/>
  <c r="AN125" i="4"/>
  <c r="A126" i="4"/>
  <c r="B126" i="4"/>
  <c r="C126" i="4"/>
  <c r="D126" i="4"/>
  <c r="E126" i="4"/>
  <c r="G126" i="4"/>
  <c r="H126" i="4"/>
  <c r="I126" i="4"/>
  <c r="K126" i="4"/>
  <c r="L126" i="4"/>
  <c r="M126" i="4"/>
  <c r="O126" i="4"/>
  <c r="P126" i="4"/>
  <c r="Q126" i="4"/>
  <c r="R126" i="4"/>
  <c r="U126" i="4"/>
  <c r="V126" i="4"/>
  <c r="W126" i="4"/>
  <c r="Y126" i="4"/>
  <c r="Z126" i="4"/>
  <c r="AB126" i="4"/>
  <c r="AC126" i="4"/>
  <c r="AD126" i="4"/>
  <c r="AF126" i="4"/>
  <c r="AG126" i="4"/>
  <c r="AH126" i="4"/>
  <c r="AI126" i="4"/>
  <c r="AK126" i="4"/>
  <c r="AM126" i="4"/>
  <c r="AN126" i="4"/>
  <c r="A127" i="4"/>
  <c r="B127" i="4"/>
  <c r="C127" i="4"/>
  <c r="D127" i="4"/>
  <c r="E127" i="4"/>
  <c r="G127" i="4"/>
  <c r="H127" i="4"/>
  <c r="I127" i="4"/>
  <c r="K127" i="4"/>
  <c r="L127" i="4"/>
  <c r="M127" i="4"/>
  <c r="O127" i="4"/>
  <c r="P127" i="4"/>
  <c r="Q127" i="4"/>
  <c r="R127" i="4"/>
  <c r="U127" i="4"/>
  <c r="V127" i="4"/>
  <c r="W127" i="4"/>
  <c r="Y127" i="4"/>
  <c r="Z127" i="4"/>
  <c r="AB127" i="4"/>
  <c r="AC127" i="4"/>
  <c r="AD127" i="4"/>
  <c r="AF127" i="4"/>
  <c r="AG127" i="4"/>
  <c r="AH127" i="4"/>
  <c r="AI127" i="4"/>
  <c r="AK127" i="4"/>
  <c r="AM127" i="4"/>
  <c r="AN127" i="4"/>
  <c r="A128" i="4"/>
  <c r="B128" i="4"/>
  <c r="C128" i="4"/>
  <c r="D128" i="4"/>
  <c r="E128" i="4"/>
  <c r="G128" i="4"/>
  <c r="H128" i="4"/>
  <c r="I128" i="4"/>
  <c r="K128" i="4"/>
  <c r="L128" i="4"/>
  <c r="M128" i="4"/>
  <c r="O128" i="4"/>
  <c r="P128" i="4"/>
  <c r="Q128" i="4"/>
  <c r="R128" i="4"/>
  <c r="U128" i="4"/>
  <c r="V128" i="4"/>
  <c r="W128" i="4"/>
  <c r="Y128" i="4"/>
  <c r="Z128" i="4"/>
  <c r="AB128" i="4"/>
  <c r="AC128" i="4"/>
  <c r="AD128" i="4"/>
  <c r="AF128" i="4"/>
  <c r="AG128" i="4"/>
  <c r="AH128" i="4"/>
  <c r="AI128" i="4"/>
  <c r="AK128" i="4"/>
  <c r="AM128" i="4"/>
  <c r="AN128" i="4"/>
  <c r="A129" i="4"/>
  <c r="B129" i="4"/>
  <c r="C129" i="4"/>
  <c r="D129" i="4"/>
  <c r="E129" i="4"/>
  <c r="G129" i="4"/>
  <c r="H129" i="4"/>
  <c r="I129" i="4"/>
  <c r="K129" i="4"/>
  <c r="L129" i="4"/>
  <c r="M129" i="4"/>
  <c r="O129" i="4"/>
  <c r="P129" i="4"/>
  <c r="Q129" i="4"/>
  <c r="R129" i="4"/>
  <c r="U129" i="4"/>
  <c r="V129" i="4"/>
  <c r="W129" i="4"/>
  <c r="Y129" i="4"/>
  <c r="Z129" i="4"/>
  <c r="AB129" i="4"/>
  <c r="AC129" i="4"/>
  <c r="AD129" i="4"/>
  <c r="AF129" i="4"/>
  <c r="AG129" i="4"/>
  <c r="AH129" i="4"/>
  <c r="AI129" i="4"/>
  <c r="AK129" i="4"/>
  <c r="AM129" i="4"/>
  <c r="AN129" i="4"/>
  <c r="A130" i="4"/>
  <c r="B130" i="4"/>
  <c r="C130" i="4"/>
  <c r="D130" i="4"/>
  <c r="E130" i="4"/>
  <c r="G130" i="4"/>
  <c r="H130" i="4"/>
  <c r="I130" i="4"/>
  <c r="K130" i="4"/>
  <c r="L130" i="4"/>
  <c r="M130" i="4"/>
  <c r="O130" i="4"/>
  <c r="P130" i="4"/>
  <c r="Q130" i="4"/>
  <c r="R130" i="4"/>
  <c r="U130" i="4"/>
  <c r="V130" i="4"/>
  <c r="W130" i="4"/>
  <c r="Y130" i="4"/>
  <c r="Z130" i="4"/>
  <c r="AB130" i="4"/>
  <c r="AC130" i="4"/>
  <c r="AD130" i="4"/>
  <c r="AF130" i="4"/>
  <c r="AG130" i="4"/>
  <c r="AI130" i="4"/>
  <c r="AK130" i="4"/>
  <c r="AM130" i="4"/>
  <c r="AN130" i="4"/>
  <c r="A131" i="4"/>
  <c r="B131" i="4"/>
  <c r="C131" i="4"/>
  <c r="D131" i="4"/>
  <c r="E131" i="4"/>
  <c r="G131" i="4"/>
  <c r="H131" i="4"/>
  <c r="I131" i="4"/>
  <c r="K131" i="4"/>
  <c r="L131" i="4"/>
  <c r="M131" i="4"/>
  <c r="O131" i="4"/>
  <c r="P131" i="4"/>
  <c r="Q131" i="4"/>
  <c r="R131" i="4"/>
  <c r="U131" i="4"/>
  <c r="V131" i="4"/>
  <c r="W131" i="4"/>
  <c r="Y131" i="4"/>
  <c r="Z131" i="4"/>
  <c r="AB131" i="4"/>
  <c r="AC131" i="4"/>
  <c r="AD131" i="4"/>
  <c r="AF131" i="4"/>
  <c r="AG131" i="4"/>
  <c r="AI131" i="4"/>
  <c r="AK131" i="4"/>
  <c r="AM131" i="4"/>
  <c r="AN131" i="4"/>
  <c r="A132" i="4"/>
  <c r="B132" i="4"/>
  <c r="C132" i="4"/>
  <c r="D132" i="4"/>
  <c r="E132" i="4"/>
  <c r="G132" i="4"/>
  <c r="H132" i="4"/>
  <c r="I132" i="4"/>
  <c r="K132" i="4"/>
  <c r="L132" i="4"/>
  <c r="M132" i="4"/>
  <c r="O132" i="4"/>
  <c r="P132" i="4"/>
  <c r="Q132" i="4"/>
  <c r="R132" i="4"/>
  <c r="U132" i="4"/>
  <c r="V132" i="4"/>
  <c r="W132" i="4"/>
  <c r="Y132" i="4"/>
  <c r="Z132" i="4"/>
  <c r="AB132" i="4"/>
  <c r="AC132" i="4"/>
  <c r="AD132" i="4"/>
  <c r="AF132" i="4"/>
  <c r="AG132" i="4"/>
  <c r="AI132" i="4"/>
  <c r="AK132" i="4"/>
  <c r="AM132" i="4"/>
  <c r="AN132" i="4"/>
  <c r="A133" i="4"/>
  <c r="B133" i="4"/>
  <c r="C133" i="4"/>
  <c r="D133" i="4"/>
  <c r="E133" i="4"/>
  <c r="G133" i="4"/>
  <c r="K133" i="4"/>
  <c r="O133" i="4"/>
  <c r="U133" i="4"/>
  <c r="Y133" i="4"/>
  <c r="AB133" i="4"/>
  <c r="AF133" i="4"/>
  <c r="AK133" i="4"/>
  <c r="AM133" i="4"/>
  <c r="A134" i="4"/>
  <c r="B134" i="4"/>
  <c r="C134" i="4"/>
  <c r="D134" i="4"/>
  <c r="E134" i="4"/>
  <c r="G134" i="4"/>
  <c r="H134" i="4"/>
  <c r="I134" i="4"/>
  <c r="K134" i="4"/>
  <c r="L134" i="4"/>
  <c r="M134" i="4"/>
  <c r="O134" i="4"/>
  <c r="P134" i="4"/>
  <c r="Q134" i="4"/>
  <c r="R134" i="4"/>
  <c r="U134" i="4"/>
  <c r="V134" i="4"/>
  <c r="W134" i="4"/>
  <c r="Y134" i="4"/>
  <c r="Z134" i="4"/>
  <c r="AB134" i="4"/>
  <c r="AC134" i="4"/>
  <c r="AD134" i="4"/>
  <c r="AF134" i="4"/>
  <c r="AG134" i="4"/>
  <c r="AI134" i="4"/>
  <c r="AK134" i="4"/>
  <c r="AM134" i="4"/>
  <c r="AN134" i="4"/>
  <c r="A135" i="4"/>
  <c r="B135" i="4"/>
  <c r="C135" i="4"/>
  <c r="D135" i="4"/>
  <c r="E135" i="4"/>
  <c r="G135" i="4"/>
  <c r="H135" i="4"/>
  <c r="I135" i="4"/>
  <c r="K135" i="4"/>
  <c r="L135" i="4"/>
  <c r="M135" i="4"/>
  <c r="O135" i="4"/>
  <c r="P135" i="4"/>
  <c r="Q135" i="4"/>
  <c r="R135" i="4"/>
  <c r="U135" i="4"/>
  <c r="V135" i="4"/>
  <c r="W135" i="4"/>
  <c r="Y135" i="4"/>
  <c r="Z135" i="4"/>
  <c r="AB135" i="4"/>
  <c r="AC135" i="4"/>
  <c r="AD135" i="4"/>
  <c r="AF135" i="4"/>
  <c r="AG135" i="4"/>
  <c r="AI135" i="4"/>
  <c r="AK135" i="4"/>
  <c r="AM135" i="4"/>
  <c r="AN135" i="4"/>
  <c r="A136" i="4"/>
  <c r="B136" i="4"/>
  <c r="C136" i="4"/>
  <c r="D136" i="4"/>
  <c r="E136" i="4"/>
  <c r="G136" i="4"/>
  <c r="H136" i="4"/>
  <c r="I136" i="4"/>
  <c r="K136" i="4"/>
  <c r="L136" i="4"/>
  <c r="M136" i="4"/>
  <c r="O136" i="4"/>
  <c r="P136" i="4"/>
  <c r="Q136" i="4"/>
  <c r="R136" i="4"/>
  <c r="U136" i="4"/>
  <c r="V136" i="4"/>
  <c r="W136" i="4"/>
  <c r="Y136" i="4"/>
  <c r="Z136" i="4"/>
  <c r="AB136" i="4"/>
  <c r="AC136" i="4"/>
  <c r="AD136" i="4"/>
  <c r="AF136" i="4"/>
  <c r="AG136" i="4"/>
  <c r="AI136" i="4"/>
  <c r="AK136" i="4"/>
  <c r="AM136" i="4"/>
  <c r="AN136" i="4"/>
  <c r="A137" i="4"/>
  <c r="B137" i="4"/>
  <c r="C137" i="4"/>
  <c r="D137" i="4"/>
  <c r="E137" i="4"/>
  <c r="G137" i="4"/>
  <c r="K137" i="4"/>
  <c r="O137" i="4"/>
  <c r="U137" i="4"/>
  <c r="Y137" i="4"/>
  <c r="AB137" i="4"/>
  <c r="AF137" i="4"/>
  <c r="AK137" i="4"/>
  <c r="AM137" i="4"/>
  <c r="A138" i="4"/>
  <c r="B138" i="4"/>
  <c r="C138" i="4"/>
  <c r="D138" i="4"/>
  <c r="E138" i="4"/>
  <c r="G138" i="4"/>
  <c r="H138" i="4"/>
  <c r="I138" i="4"/>
  <c r="K138" i="4"/>
  <c r="L138" i="4"/>
  <c r="M138" i="4"/>
  <c r="O138" i="4"/>
  <c r="P138" i="4"/>
  <c r="Q138" i="4"/>
  <c r="R138" i="4"/>
  <c r="U138" i="4"/>
  <c r="V138" i="4"/>
  <c r="W138" i="4"/>
  <c r="Y138" i="4"/>
  <c r="Z138" i="4"/>
  <c r="AB138" i="4"/>
  <c r="AC138" i="4"/>
  <c r="AD138" i="4"/>
  <c r="AF138" i="4"/>
  <c r="AG138" i="4"/>
  <c r="AI138" i="4"/>
  <c r="AK138" i="4"/>
  <c r="AM138" i="4"/>
  <c r="AN138" i="4"/>
  <c r="A139" i="4"/>
  <c r="B139" i="4"/>
  <c r="C139" i="4"/>
  <c r="D139" i="4"/>
  <c r="E139" i="4"/>
  <c r="G139" i="4"/>
  <c r="H139" i="4"/>
  <c r="I139" i="4"/>
  <c r="K139" i="4"/>
  <c r="L139" i="4"/>
  <c r="M139" i="4"/>
  <c r="O139" i="4"/>
  <c r="P139" i="4"/>
  <c r="Q139" i="4"/>
  <c r="R139" i="4"/>
  <c r="U139" i="4"/>
  <c r="V139" i="4"/>
  <c r="W139" i="4"/>
  <c r="Y139" i="4"/>
  <c r="Z139" i="4"/>
  <c r="AB139" i="4"/>
  <c r="AC139" i="4"/>
  <c r="AD139" i="4"/>
  <c r="AF139" i="4"/>
  <c r="AG139" i="4"/>
  <c r="AI139" i="4"/>
  <c r="AK139" i="4"/>
  <c r="AM139" i="4"/>
  <c r="AN139" i="4"/>
  <c r="A140" i="4"/>
  <c r="B140" i="4"/>
  <c r="C140" i="4"/>
  <c r="D140" i="4"/>
  <c r="E140" i="4"/>
  <c r="G140" i="4"/>
  <c r="H140" i="4"/>
  <c r="I140" i="4"/>
  <c r="K140" i="4"/>
  <c r="L140" i="4"/>
  <c r="M140" i="4"/>
  <c r="O140" i="4"/>
  <c r="P140" i="4"/>
  <c r="Q140" i="4"/>
  <c r="R140" i="4"/>
  <c r="U140" i="4"/>
  <c r="V140" i="4"/>
  <c r="W140" i="4"/>
  <c r="Y140" i="4"/>
  <c r="Z140" i="4"/>
  <c r="AB140" i="4"/>
  <c r="AC140" i="4"/>
  <c r="AD140" i="4"/>
  <c r="AF140" i="4"/>
  <c r="AG140" i="4"/>
  <c r="AI140" i="4"/>
  <c r="AK140" i="4"/>
  <c r="AM140" i="4"/>
  <c r="AN140" i="4"/>
  <c r="A141" i="4"/>
  <c r="B141" i="4"/>
  <c r="C141" i="4"/>
  <c r="D141" i="4"/>
  <c r="E141" i="4"/>
  <c r="G141" i="4"/>
  <c r="H141" i="4"/>
  <c r="I141" i="4"/>
  <c r="K141" i="4"/>
  <c r="L141" i="4"/>
  <c r="M141" i="4"/>
  <c r="O141" i="4"/>
  <c r="P141" i="4"/>
  <c r="Q141" i="4"/>
  <c r="R141" i="4"/>
  <c r="U141" i="4"/>
  <c r="V141" i="4"/>
  <c r="W141" i="4"/>
  <c r="Y141" i="4"/>
  <c r="Z141" i="4"/>
  <c r="AB141" i="4"/>
  <c r="AC141" i="4"/>
  <c r="AD141" i="4"/>
  <c r="AF141" i="4"/>
  <c r="AG141" i="4"/>
  <c r="AI141" i="4"/>
  <c r="AK141" i="4"/>
  <c r="AM141" i="4"/>
  <c r="AN141" i="4"/>
  <c r="A142" i="4"/>
  <c r="B142" i="4"/>
  <c r="C142" i="4"/>
  <c r="D142" i="4"/>
  <c r="E142" i="4"/>
  <c r="G142" i="4"/>
  <c r="H142" i="4"/>
  <c r="I142" i="4"/>
  <c r="K142" i="4"/>
  <c r="L142" i="4"/>
  <c r="M142" i="4"/>
  <c r="O142" i="4"/>
  <c r="P142" i="4"/>
  <c r="Q142" i="4"/>
  <c r="R142" i="4"/>
  <c r="U142" i="4"/>
  <c r="V142" i="4"/>
  <c r="W142" i="4"/>
  <c r="Y142" i="4"/>
  <c r="Z142" i="4"/>
  <c r="AB142" i="4"/>
  <c r="AC142" i="4"/>
  <c r="AD142" i="4"/>
  <c r="AF142" i="4"/>
  <c r="AG142" i="4"/>
  <c r="AI142" i="4"/>
  <c r="AK142" i="4"/>
  <c r="AM142" i="4"/>
  <c r="AN142" i="4"/>
  <c r="A143" i="4"/>
  <c r="B143" i="4"/>
  <c r="C143" i="4"/>
  <c r="D143" i="4"/>
  <c r="E143" i="4"/>
  <c r="G143" i="4"/>
  <c r="H143" i="4"/>
  <c r="I143" i="4"/>
  <c r="K143" i="4"/>
  <c r="L143" i="4"/>
  <c r="M143" i="4"/>
  <c r="O143" i="4"/>
  <c r="P143" i="4"/>
  <c r="Q143" i="4"/>
  <c r="R143" i="4"/>
  <c r="U143" i="4"/>
  <c r="V143" i="4"/>
  <c r="W143" i="4"/>
  <c r="Y143" i="4"/>
  <c r="Z143" i="4"/>
  <c r="AB143" i="4"/>
  <c r="AC143" i="4"/>
  <c r="AD143" i="4"/>
  <c r="AF143" i="4"/>
  <c r="AG143" i="4"/>
  <c r="AI143" i="4"/>
  <c r="AK143" i="4"/>
  <c r="AM143" i="4"/>
  <c r="AN143" i="4"/>
  <c r="A144" i="4"/>
  <c r="B144" i="4"/>
  <c r="C144" i="4"/>
  <c r="D144" i="4"/>
  <c r="E144" i="4"/>
  <c r="G144" i="4"/>
  <c r="H144" i="4"/>
  <c r="I144" i="4"/>
  <c r="K144" i="4"/>
  <c r="L144" i="4"/>
  <c r="M144" i="4"/>
  <c r="O144" i="4"/>
  <c r="P144" i="4"/>
  <c r="Q144" i="4"/>
  <c r="R144" i="4"/>
  <c r="U144" i="4"/>
  <c r="V144" i="4"/>
  <c r="W144" i="4"/>
  <c r="Y144" i="4"/>
  <c r="Z144" i="4"/>
  <c r="AB144" i="4"/>
  <c r="AC144" i="4"/>
  <c r="AD144" i="4"/>
  <c r="AF144" i="4"/>
  <c r="AG144" i="4"/>
  <c r="AI144" i="4"/>
  <c r="AK144" i="4"/>
  <c r="AM144" i="4"/>
  <c r="AN144" i="4"/>
  <c r="A145" i="4"/>
  <c r="B145" i="4"/>
  <c r="C145" i="4"/>
  <c r="D145" i="4"/>
  <c r="E145" i="4"/>
  <c r="G145" i="4"/>
  <c r="K145" i="4"/>
  <c r="O145" i="4"/>
  <c r="U145" i="4"/>
  <c r="Y145" i="4"/>
  <c r="AB145" i="4"/>
  <c r="AF145" i="4"/>
  <c r="AG145" i="4"/>
  <c r="AK145" i="4"/>
  <c r="AM145" i="4"/>
  <c r="A146" i="4"/>
  <c r="B146" i="4"/>
  <c r="C146" i="4"/>
  <c r="D146" i="4"/>
  <c r="E146" i="4"/>
  <c r="G146" i="4"/>
  <c r="H146" i="4"/>
  <c r="I146" i="4"/>
  <c r="K146" i="4"/>
  <c r="L146" i="4"/>
  <c r="M146" i="4"/>
  <c r="O146" i="4"/>
  <c r="P146" i="4"/>
  <c r="Q146" i="4"/>
  <c r="R146" i="4"/>
  <c r="U146" i="4"/>
  <c r="V146" i="4"/>
  <c r="W146" i="4"/>
  <c r="Y146" i="4"/>
  <c r="Z146" i="4"/>
  <c r="AB146" i="4"/>
  <c r="AC146" i="4"/>
  <c r="AD146" i="4"/>
  <c r="AF146" i="4"/>
  <c r="AG146" i="4"/>
  <c r="AI146" i="4"/>
  <c r="AK146" i="4"/>
  <c r="AM146" i="4"/>
  <c r="AN146" i="4"/>
  <c r="A147" i="4"/>
  <c r="B147" i="4"/>
  <c r="C147" i="4"/>
  <c r="D147" i="4"/>
  <c r="E147" i="4"/>
  <c r="G147" i="4"/>
  <c r="H147" i="4"/>
  <c r="I147" i="4"/>
  <c r="K147" i="4"/>
  <c r="L147" i="4"/>
  <c r="M147" i="4"/>
  <c r="O147" i="4"/>
  <c r="P147" i="4"/>
  <c r="Q147" i="4"/>
  <c r="R147" i="4"/>
  <c r="U147" i="4"/>
  <c r="V147" i="4"/>
  <c r="W147" i="4"/>
  <c r="Y147" i="4"/>
  <c r="Z147" i="4"/>
  <c r="AB147" i="4"/>
  <c r="AC147" i="4"/>
  <c r="AD147" i="4"/>
  <c r="AF147" i="4"/>
  <c r="AG147" i="4"/>
  <c r="AI147" i="4"/>
  <c r="AK147" i="4"/>
  <c r="AM147" i="4"/>
  <c r="AN147" i="4"/>
  <c r="A148" i="4"/>
  <c r="B148" i="4"/>
  <c r="C148" i="4"/>
  <c r="D148" i="4"/>
  <c r="E148" i="4"/>
  <c r="G148" i="4"/>
  <c r="K148" i="4"/>
  <c r="O148" i="4"/>
  <c r="U148" i="4"/>
  <c r="Y148" i="4"/>
  <c r="AB148" i="4"/>
  <c r="AF148" i="4"/>
  <c r="AK148" i="4"/>
  <c r="AM148" i="4"/>
  <c r="A149" i="4"/>
  <c r="B149" i="4"/>
  <c r="C149" i="4"/>
  <c r="D149" i="4"/>
  <c r="E149" i="4"/>
  <c r="G149" i="4"/>
  <c r="H149" i="4"/>
  <c r="I149" i="4"/>
  <c r="K149" i="4"/>
  <c r="L149" i="4"/>
  <c r="M149" i="4"/>
  <c r="O149" i="4"/>
  <c r="P149" i="4"/>
  <c r="Q149" i="4"/>
  <c r="R149" i="4"/>
  <c r="U149" i="4"/>
  <c r="V149" i="4"/>
  <c r="W149" i="4"/>
  <c r="Y149" i="4"/>
  <c r="Z149" i="4"/>
  <c r="AB149" i="4"/>
  <c r="AC149" i="4"/>
  <c r="AD149" i="4"/>
  <c r="AF149" i="4"/>
  <c r="AG149" i="4"/>
  <c r="AI149" i="4"/>
  <c r="AK149" i="4"/>
  <c r="AM149" i="4"/>
  <c r="AN149" i="4"/>
  <c r="A150" i="4"/>
  <c r="B150" i="4"/>
  <c r="C150" i="4"/>
  <c r="D150" i="4"/>
  <c r="E150" i="4"/>
  <c r="G150" i="4"/>
  <c r="H150" i="4"/>
  <c r="I150" i="4"/>
  <c r="K150" i="4"/>
  <c r="L150" i="4"/>
  <c r="M150" i="4"/>
  <c r="O150" i="4"/>
  <c r="P150" i="4"/>
  <c r="Q150" i="4"/>
  <c r="R150" i="4"/>
  <c r="U150" i="4"/>
  <c r="V150" i="4"/>
  <c r="W150" i="4"/>
  <c r="Y150" i="4"/>
  <c r="Z150" i="4"/>
  <c r="AB150" i="4"/>
  <c r="AC150" i="4"/>
  <c r="AD150" i="4"/>
  <c r="AF150" i="4"/>
  <c r="AG150" i="4"/>
  <c r="AI150" i="4"/>
  <c r="AK150" i="4"/>
  <c r="AM150" i="4"/>
  <c r="AN150" i="4"/>
  <c r="A151" i="4"/>
  <c r="B151" i="4"/>
  <c r="C151" i="4"/>
  <c r="D151" i="4"/>
  <c r="E151" i="4"/>
  <c r="G151" i="4"/>
  <c r="H151" i="4"/>
  <c r="I151" i="4"/>
  <c r="K151" i="4"/>
  <c r="L151" i="4"/>
  <c r="M151" i="4"/>
  <c r="O151" i="4"/>
  <c r="P151" i="4"/>
  <c r="Q151" i="4"/>
  <c r="R151" i="4"/>
  <c r="U151" i="4"/>
  <c r="V151" i="4"/>
  <c r="W151" i="4"/>
  <c r="Y151" i="4"/>
  <c r="Z151" i="4"/>
  <c r="AB151" i="4"/>
  <c r="AC151" i="4"/>
  <c r="AD151" i="4"/>
  <c r="AF151" i="4"/>
  <c r="AG151" i="4"/>
  <c r="AI151" i="4"/>
  <c r="AK151" i="4"/>
  <c r="AM151" i="4"/>
  <c r="AN151" i="4"/>
  <c r="A152" i="4"/>
  <c r="B152" i="4"/>
  <c r="C152" i="4"/>
  <c r="D152" i="4"/>
  <c r="E152" i="4"/>
  <c r="G152" i="4"/>
  <c r="H152" i="4"/>
  <c r="I152" i="4"/>
  <c r="K152" i="4"/>
  <c r="L152" i="4"/>
  <c r="M152" i="4"/>
  <c r="O152" i="4"/>
  <c r="P152" i="4"/>
  <c r="Q152" i="4"/>
  <c r="R152" i="4"/>
  <c r="U152" i="4"/>
  <c r="V152" i="4"/>
  <c r="W152" i="4"/>
  <c r="Y152" i="4"/>
  <c r="Z152" i="4"/>
  <c r="AB152" i="4"/>
  <c r="AC152" i="4"/>
  <c r="AD152" i="4"/>
  <c r="AF152" i="4"/>
  <c r="AG152" i="4"/>
  <c r="AI152" i="4"/>
  <c r="AK152" i="4"/>
  <c r="AM152" i="4"/>
  <c r="AN152" i="4"/>
  <c r="A153" i="4"/>
  <c r="B153" i="4"/>
  <c r="C153" i="4"/>
  <c r="D153" i="4"/>
  <c r="E153" i="4"/>
  <c r="G153" i="4"/>
  <c r="H153" i="4"/>
  <c r="I153" i="4"/>
  <c r="K153" i="4"/>
  <c r="L153" i="4"/>
  <c r="M153" i="4"/>
  <c r="O153" i="4"/>
  <c r="P153" i="4"/>
  <c r="Q153" i="4"/>
  <c r="R153" i="4"/>
  <c r="U153" i="4"/>
  <c r="V153" i="4"/>
  <c r="W153" i="4"/>
  <c r="Y153" i="4"/>
  <c r="Z153" i="4"/>
  <c r="AB153" i="4"/>
  <c r="AC153" i="4"/>
  <c r="AD153" i="4"/>
  <c r="AF153" i="4"/>
  <c r="AG153" i="4"/>
  <c r="AI153" i="4"/>
  <c r="AK153" i="4"/>
  <c r="AM153" i="4"/>
  <c r="AN153" i="4"/>
  <c r="A154" i="4"/>
  <c r="B154" i="4"/>
  <c r="C154" i="4"/>
  <c r="D154" i="4"/>
  <c r="E154" i="4"/>
  <c r="G154" i="4"/>
  <c r="H154" i="4"/>
  <c r="I154" i="4"/>
  <c r="K154" i="4"/>
  <c r="L154" i="4"/>
  <c r="M154" i="4"/>
  <c r="O154" i="4"/>
  <c r="P154" i="4"/>
  <c r="Q154" i="4"/>
  <c r="R154" i="4"/>
  <c r="U154" i="4"/>
  <c r="V154" i="4"/>
  <c r="W154" i="4"/>
  <c r="Y154" i="4"/>
  <c r="Z154" i="4"/>
  <c r="AB154" i="4"/>
  <c r="AC154" i="4"/>
  <c r="AD154" i="4"/>
  <c r="AF154" i="4"/>
  <c r="AG154" i="4"/>
  <c r="AI154" i="4"/>
  <c r="AK154" i="4"/>
  <c r="AM154" i="4"/>
  <c r="AN154" i="4"/>
  <c r="A155" i="4"/>
  <c r="B155" i="4"/>
  <c r="C155" i="4"/>
  <c r="D155" i="4"/>
  <c r="E155" i="4"/>
  <c r="G155" i="4"/>
  <c r="K155" i="4"/>
  <c r="O155" i="4"/>
  <c r="U155" i="4"/>
  <c r="Y155" i="4"/>
  <c r="AB155" i="4"/>
  <c r="AF155" i="4"/>
  <c r="AK155" i="4"/>
  <c r="AM155" i="4"/>
  <c r="A156" i="4"/>
  <c r="B156" i="4"/>
  <c r="C156" i="4"/>
  <c r="D156" i="4"/>
  <c r="E156" i="4"/>
  <c r="G156" i="4"/>
  <c r="H156" i="4"/>
  <c r="I156" i="4"/>
  <c r="K156" i="4"/>
  <c r="L156" i="4"/>
  <c r="M156" i="4"/>
  <c r="O156" i="4"/>
  <c r="P156" i="4"/>
  <c r="Q156" i="4"/>
  <c r="R156" i="4"/>
  <c r="U156" i="4"/>
  <c r="V156" i="4"/>
  <c r="W156" i="4"/>
  <c r="Y156" i="4"/>
  <c r="Z156" i="4"/>
  <c r="AB156" i="4"/>
  <c r="AC156" i="4"/>
  <c r="AD156" i="4"/>
  <c r="AF156" i="4"/>
  <c r="AG156" i="4"/>
  <c r="AI156" i="4"/>
  <c r="AK156" i="4"/>
  <c r="AM156" i="4"/>
  <c r="AN156" i="4"/>
  <c r="A157" i="4"/>
  <c r="B157" i="4"/>
  <c r="C157" i="4"/>
  <c r="D157" i="4"/>
  <c r="E157" i="4"/>
  <c r="G157" i="4"/>
  <c r="K157" i="4"/>
  <c r="O157" i="4"/>
  <c r="U157" i="4"/>
  <c r="Y157" i="4"/>
  <c r="AB157" i="4"/>
  <c r="AF157" i="4"/>
  <c r="AK157" i="4"/>
  <c r="AM157" i="4"/>
  <c r="A158" i="4"/>
  <c r="B158" i="4"/>
  <c r="C158" i="4"/>
  <c r="D158" i="4"/>
  <c r="E158" i="4"/>
  <c r="G158" i="4"/>
  <c r="H158" i="4"/>
  <c r="I158" i="4"/>
  <c r="K158" i="4"/>
  <c r="L158" i="4"/>
  <c r="M158" i="4"/>
  <c r="O158" i="4"/>
  <c r="P158" i="4"/>
  <c r="Q158" i="4"/>
  <c r="R158" i="4"/>
  <c r="U158" i="4"/>
  <c r="V158" i="4"/>
  <c r="W158" i="4"/>
  <c r="Y158" i="4"/>
  <c r="Z158" i="4"/>
  <c r="AB158" i="4"/>
  <c r="AC158" i="4"/>
  <c r="AD158" i="4"/>
  <c r="AF158" i="4"/>
  <c r="AG158" i="4"/>
  <c r="AI158" i="4"/>
  <c r="AK158" i="4"/>
  <c r="AM158" i="4"/>
  <c r="AN158" i="4"/>
  <c r="A159" i="4"/>
  <c r="B159" i="4"/>
  <c r="C159" i="4"/>
  <c r="D159" i="4"/>
  <c r="E159" i="4"/>
  <c r="G159" i="4"/>
  <c r="H159" i="4"/>
  <c r="I159" i="4"/>
  <c r="K159" i="4"/>
  <c r="L159" i="4"/>
  <c r="M159" i="4"/>
  <c r="O159" i="4"/>
  <c r="P159" i="4"/>
  <c r="Q159" i="4"/>
  <c r="R159" i="4"/>
  <c r="U159" i="4"/>
  <c r="V159" i="4"/>
  <c r="W159" i="4"/>
  <c r="Y159" i="4"/>
  <c r="Z159" i="4"/>
  <c r="AB159" i="4"/>
  <c r="AC159" i="4"/>
  <c r="AD159" i="4"/>
  <c r="AF159" i="4"/>
  <c r="AG159" i="4"/>
  <c r="AI159" i="4"/>
  <c r="AK159" i="4"/>
  <c r="AM159" i="4"/>
  <c r="AN159" i="4"/>
  <c r="A160" i="4"/>
  <c r="B160" i="4"/>
  <c r="C160" i="4"/>
  <c r="D160" i="4"/>
  <c r="E160" i="4"/>
  <c r="G160" i="4"/>
  <c r="K160" i="4"/>
  <c r="O160" i="4"/>
  <c r="U160" i="4"/>
  <c r="Y160" i="4"/>
  <c r="AB160" i="4"/>
  <c r="AF160" i="4"/>
  <c r="AK160" i="4"/>
  <c r="AM160" i="4"/>
  <c r="A161" i="4"/>
  <c r="B161" i="4"/>
  <c r="C161" i="4"/>
  <c r="D161" i="4"/>
  <c r="E161" i="4"/>
  <c r="G161" i="4"/>
  <c r="H161" i="4"/>
  <c r="I161" i="4"/>
  <c r="K161" i="4"/>
  <c r="L161" i="4"/>
  <c r="M161" i="4"/>
  <c r="O161" i="4"/>
  <c r="P161" i="4"/>
  <c r="Q161" i="4"/>
  <c r="R161" i="4"/>
  <c r="U161" i="4"/>
  <c r="V161" i="4"/>
  <c r="W161" i="4"/>
  <c r="Y161" i="4"/>
  <c r="Z161" i="4"/>
  <c r="AB161" i="4"/>
  <c r="AC161" i="4"/>
  <c r="AD161" i="4"/>
  <c r="AF161" i="4"/>
  <c r="AG161" i="4"/>
  <c r="AI161" i="4"/>
  <c r="AK161" i="4"/>
  <c r="AM161" i="4"/>
  <c r="AN161" i="4"/>
  <c r="A162" i="4"/>
  <c r="B162" i="4"/>
  <c r="C162" i="4"/>
  <c r="D162" i="4"/>
  <c r="E162" i="4"/>
  <c r="G162" i="4"/>
  <c r="K162" i="4"/>
  <c r="O162" i="4"/>
  <c r="U162" i="4"/>
  <c r="Y162" i="4"/>
  <c r="AB162" i="4"/>
  <c r="AF162" i="4"/>
  <c r="AK162" i="4"/>
  <c r="AM162" i="4"/>
  <c r="A163" i="4"/>
  <c r="B163" i="4"/>
  <c r="C163" i="4"/>
  <c r="D163" i="4"/>
  <c r="E163" i="4"/>
  <c r="G163" i="4"/>
  <c r="K163" i="4"/>
  <c r="O163" i="4"/>
  <c r="U163" i="4"/>
  <c r="Y163" i="4"/>
  <c r="AB163" i="4"/>
  <c r="AF163" i="4"/>
  <c r="AK163" i="4"/>
  <c r="AM163" i="4"/>
  <c r="A164" i="4"/>
  <c r="B164" i="4"/>
  <c r="C164" i="4"/>
  <c r="D164" i="4"/>
  <c r="E164" i="4"/>
  <c r="G164" i="4"/>
  <c r="H164" i="4"/>
  <c r="I164" i="4"/>
  <c r="K164" i="4"/>
  <c r="L164" i="4"/>
  <c r="M164" i="4"/>
  <c r="O164" i="4"/>
  <c r="P164" i="4"/>
  <c r="Q164" i="4"/>
  <c r="R164" i="4"/>
  <c r="U164" i="4"/>
  <c r="V164" i="4"/>
  <c r="W164" i="4"/>
  <c r="Y164" i="4"/>
  <c r="Z164" i="4"/>
  <c r="AB164" i="4"/>
  <c r="AC164" i="4"/>
  <c r="AD164" i="4"/>
  <c r="AF164" i="4"/>
  <c r="AG164" i="4"/>
  <c r="AI164" i="4"/>
  <c r="AK164" i="4"/>
  <c r="AM164" i="4"/>
  <c r="AN164" i="4"/>
  <c r="A165" i="4"/>
  <c r="B165" i="4"/>
  <c r="C165" i="4"/>
  <c r="D165" i="4"/>
  <c r="E165" i="4"/>
  <c r="G165" i="4"/>
  <c r="H165" i="4"/>
  <c r="I165" i="4"/>
  <c r="K165" i="4"/>
  <c r="L165" i="4"/>
  <c r="M165" i="4"/>
  <c r="O165" i="4"/>
  <c r="P165" i="4"/>
  <c r="Q165" i="4"/>
  <c r="R165" i="4"/>
  <c r="U165" i="4"/>
  <c r="V165" i="4"/>
  <c r="W165" i="4"/>
  <c r="Y165" i="4"/>
  <c r="Z165" i="4"/>
  <c r="AB165" i="4"/>
  <c r="AC165" i="4"/>
  <c r="AD165" i="4"/>
  <c r="AF165" i="4"/>
  <c r="AG165" i="4"/>
  <c r="AI165" i="4"/>
  <c r="AK165" i="4"/>
  <c r="AM165" i="4"/>
  <c r="AN165" i="4"/>
  <c r="A166" i="4"/>
  <c r="B166" i="4"/>
  <c r="C166" i="4"/>
  <c r="D166" i="4"/>
  <c r="E166" i="4"/>
  <c r="G166" i="4"/>
  <c r="H166" i="4"/>
  <c r="I166" i="4"/>
  <c r="K166" i="4"/>
  <c r="L166" i="4"/>
  <c r="M166" i="4"/>
  <c r="O166" i="4"/>
  <c r="P166" i="4"/>
  <c r="Q166" i="4"/>
  <c r="R166" i="4"/>
  <c r="U166" i="4"/>
  <c r="V166" i="4"/>
  <c r="W166" i="4"/>
  <c r="Y166" i="4"/>
  <c r="Z166" i="4"/>
  <c r="AB166" i="4"/>
  <c r="AC166" i="4"/>
  <c r="AD166" i="4"/>
  <c r="AF166" i="4"/>
  <c r="AG166" i="4"/>
  <c r="AI166" i="4"/>
  <c r="AK166" i="4"/>
  <c r="AM166" i="4"/>
  <c r="AN166" i="4"/>
  <c r="A167" i="4"/>
  <c r="B167" i="4"/>
  <c r="C167" i="4"/>
  <c r="D167" i="4"/>
  <c r="E167" i="4"/>
  <c r="G167" i="4"/>
  <c r="H167" i="4"/>
  <c r="I167" i="4"/>
  <c r="K167" i="4"/>
  <c r="L167" i="4"/>
  <c r="M167" i="4"/>
  <c r="O167" i="4"/>
  <c r="P167" i="4"/>
  <c r="Q167" i="4"/>
  <c r="R167" i="4"/>
  <c r="U167" i="4"/>
  <c r="V167" i="4"/>
  <c r="W167" i="4"/>
  <c r="Y167" i="4"/>
  <c r="Z167" i="4"/>
  <c r="AB167" i="4"/>
  <c r="AC167" i="4"/>
  <c r="AD167" i="4"/>
  <c r="AF167" i="4"/>
  <c r="AG167" i="4"/>
  <c r="AI167" i="4"/>
  <c r="AK167" i="4"/>
  <c r="AM167" i="4"/>
  <c r="AN167" i="4"/>
  <c r="A168" i="4"/>
  <c r="B168" i="4"/>
  <c r="C168" i="4"/>
  <c r="D168" i="4"/>
  <c r="E168" i="4"/>
  <c r="G168" i="4"/>
  <c r="H168" i="4"/>
  <c r="I168" i="4"/>
  <c r="K168" i="4"/>
  <c r="L168" i="4"/>
  <c r="M168" i="4"/>
  <c r="O168" i="4"/>
  <c r="P168" i="4"/>
  <c r="Q168" i="4"/>
  <c r="R168" i="4"/>
  <c r="U168" i="4"/>
  <c r="V168" i="4"/>
  <c r="W168" i="4"/>
  <c r="Y168" i="4"/>
  <c r="Z168" i="4"/>
  <c r="AB168" i="4"/>
  <c r="AC168" i="4"/>
  <c r="AD168" i="4"/>
  <c r="AF168" i="4"/>
  <c r="AG168" i="4"/>
  <c r="AI168" i="4"/>
  <c r="AK168" i="4"/>
  <c r="AM168" i="4"/>
  <c r="AN168" i="4"/>
  <c r="A169" i="4"/>
  <c r="B169" i="4"/>
  <c r="C169" i="4"/>
  <c r="D169" i="4"/>
  <c r="E169" i="4"/>
  <c r="G169" i="4"/>
  <c r="H169" i="4"/>
  <c r="I169" i="4"/>
  <c r="K169" i="4"/>
  <c r="L169" i="4"/>
  <c r="M169" i="4"/>
  <c r="O169" i="4"/>
  <c r="P169" i="4"/>
  <c r="Q169" i="4"/>
  <c r="R169" i="4"/>
  <c r="U169" i="4"/>
  <c r="V169" i="4"/>
  <c r="W169" i="4"/>
  <c r="Y169" i="4"/>
  <c r="Z169" i="4"/>
  <c r="AB169" i="4"/>
  <c r="AC169" i="4"/>
  <c r="AD169" i="4"/>
  <c r="AF169" i="4"/>
  <c r="AG169" i="4"/>
  <c r="AI169" i="4"/>
  <c r="AK169" i="4"/>
  <c r="AM169" i="4"/>
  <c r="AN169" i="4"/>
  <c r="A170" i="4"/>
  <c r="B170" i="4"/>
  <c r="C170" i="4"/>
  <c r="D170" i="4"/>
  <c r="E170" i="4"/>
  <c r="G170" i="4"/>
  <c r="H170" i="4"/>
  <c r="I170" i="4"/>
  <c r="K170" i="4"/>
  <c r="L170" i="4"/>
  <c r="M170" i="4"/>
  <c r="O170" i="4"/>
  <c r="P170" i="4"/>
  <c r="Q170" i="4"/>
  <c r="R170" i="4"/>
  <c r="U170" i="4"/>
  <c r="V170" i="4"/>
  <c r="W170" i="4"/>
  <c r="Y170" i="4"/>
  <c r="Z170" i="4"/>
  <c r="AB170" i="4"/>
  <c r="AC170" i="4"/>
  <c r="AD170" i="4"/>
  <c r="AF170" i="4"/>
  <c r="AG170" i="4"/>
  <c r="AI170" i="4"/>
  <c r="AK170" i="4"/>
  <c r="AM170" i="4"/>
  <c r="AN170" i="4"/>
  <c r="A171" i="4"/>
  <c r="B171" i="4"/>
  <c r="C171" i="4"/>
  <c r="D171" i="4"/>
  <c r="E171" i="4"/>
  <c r="G171" i="4"/>
  <c r="K171" i="4"/>
  <c r="O171" i="4"/>
  <c r="U171" i="4"/>
  <c r="Y171" i="4"/>
  <c r="AB171" i="4"/>
  <c r="AF171" i="4"/>
  <c r="AK171" i="4"/>
  <c r="AM171" i="4"/>
  <c r="A172" i="4"/>
  <c r="B172" i="4"/>
  <c r="C172" i="4"/>
  <c r="D172" i="4"/>
  <c r="E172" i="4"/>
  <c r="G172" i="4"/>
  <c r="H172" i="4"/>
  <c r="I172" i="4"/>
  <c r="K172" i="4"/>
  <c r="L172" i="4"/>
  <c r="M172" i="4"/>
  <c r="O172" i="4"/>
  <c r="P172" i="4"/>
  <c r="Q172" i="4"/>
  <c r="R172" i="4"/>
  <c r="U172" i="4"/>
  <c r="V172" i="4"/>
  <c r="W172" i="4"/>
  <c r="Y172" i="4"/>
  <c r="Z172" i="4"/>
  <c r="AB172" i="4"/>
  <c r="AC172" i="4"/>
  <c r="AD172" i="4"/>
  <c r="AF172" i="4"/>
  <c r="AG172" i="4"/>
  <c r="AI172" i="4"/>
  <c r="AK172" i="4"/>
  <c r="AM172" i="4"/>
  <c r="AN172" i="4"/>
  <c r="A173" i="4"/>
  <c r="B173" i="4"/>
  <c r="C173" i="4"/>
  <c r="D173" i="4"/>
  <c r="E173" i="4"/>
  <c r="G173" i="4"/>
  <c r="H173" i="4"/>
  <c r="I173" i="4"/>
  <c r="K173" i="4"/>
  <c r="L173" i="4"/>
  <c r="M173" i="4"/>
  <c r="O173" i="4"/>
  <c r="P173" i="4"/>
  <c r="Q173" i="4"/>
  <c r="R173" i="4"/>
  <c r="U173" i="4"/>
  <c r="V173" i="4"/>
  <c r="W173" i="4"/>
  <c r="Y173" i="4"/>
  <c r="Z173" i="4"/>
  <c r="AB173" i="4"/>
  <c r="AC173" i="4"/>
  <c r="AD173" i="4"/>
  <c r="AF173" i="4"/>
  <c r="AG173" i="4"/>
  <c r="AI173" i="4"/>
  <c r="AK173" i="4"/>
  <c r="AM173" i="4"/>
  <c r="AN173" i="4"/>
  <c r="A174" i="4"/>
  <c r="B174" i="4"/>
  <c r="C174" i="4"/>
  <c r="D174" i="4"/>
  <c r="E174" i="4"/>
  <c r="G174" i="4"/>
  <c r="K174" i="4"/>
  <c r="O174" i="4"/>
  <c r="U174" i="4"/>
  <c r="Y174" i="4"/>
  <c r="AB174" i="4"/>
  <c r="AF174" i="4"/>
  <c r="AK174" i="4"/>
  <c r="AM174" i="4"/>
  <c r="A175" i="4"/>
  <c r="B175" i="4"/>
  <c r="C175" i="4"/>
  <c r="D175" i="4"/>
  <c r="E175" i="4"/>
  <c r="G175" i="4"/>
  <c r="H175" i="4"/>
  <c r="I175" i="4"/>
  <c r="K175" i="4"/>
  <c r="L175" i="4"/>
  <c r="M175" i="4"/>
  <c r="O175" i="4"/>
  <c r="P175" i="4"/>
  <c r="Q175" i="4"/>
  <c r="R175" i="4"/>
  <c r="U175" i="4"/>
  <c r="V175" i="4"/>
  <c r="W175" i="4"/>
  <c r="Y175" i="4"/>
  <c r="Z175" i="4"/>
  <c r="AB175" i="4"/>
  <c r="AC175" i="4"/>
  <c r="AD175" i="4"/>
  <c r="AF175" i="4"/>
  <c r="AG175" i="4"/>
  <c r="AI175" i="4"/>
  <c r="AK175" i="4"/>
  <c r="AM175" i="4"/>
  <c r="AN175" i="4"/>
  <c r="A176" i="4"/>
  <c r="B176" i="4"/>
  <c r="C176" i="4"/>
  <c r="D176" i="4"/>
  <c r="E176" i="4"/>
  <c r="G176" i="4"/>
  <c r="H176" i="4"/>
  <c r="I176" i="4"/>
  <c r="K176" i="4"/>
  <c r="L176" i="4"/>
  <c r="M176" i="4"/>
  <c r="O176" i="4"/>
  <c r="P176" i="4"/>
  <c r="Q176" i="4"/>
  <c r="R176" i="4"/>
  <c r="U176" i="4"/>
  <c r="V176" i="4"/>
  <c r="W176" i="4"/>
  <c r="Y176" i="4"/>
  <c r="Z176" i="4"/>
  <c r="AB176" i="4"/>
  <c r="AC176" i="4"/>
  <c r="AD176" i="4"/>
  <c r="AF176" i="4"/>
  <c r="AG176" i="4"/>
  <c r="AI176" i="4"/>
  <c r="AK176" i="4"/>
  <c r="AM176" i="4"/>
  <c r="AN176" i="4"/>
  <c r="A177" i="4"/>
  <c r="B177" i="4"/>
  <c r="C177" i="4"/>
  <c r="D177" i="4"/>
  <c r="E177" i="4"/>
  <c r="G177" i="4"/>
  <c r="H177" i="4"/>
  <c r="I177" i="4"/>
  <c r="K177" i="4"/>
  <c r="L177" i="4"/>
  <c r="M177" i="4"/>
  <c r="O177" i="4"/>
  <c r="P177" i="4"/>
  <c r="Q177" i="4"/>
  <c r="R177" i="4"/>
  <c r="U177" i="4"/>
  <c r="V177" i="4"/>
  <c r="W177" i="4"/>
  <c r="Y177" i="4"/>
  <c r="Z177" i="4"/>
  <c r="AB177" i="4"/>
  <c r="AC177" i="4"/>
  <c r="AD177" i="4"/>
  <c r="AF177" i="4"/>
  <c r="AG177" i="4"/>
  <c r="AI177" i="4"/>
  <c r="AK177" i="4"/>
  <c r="AM177" i="4"/>
  <c r="AN177" i="4"/>
  <c r="A178" i="4"/>
  <c r="B178" i="4"/>
  <c r="C178" i="4"/>
  <c r="D178" i="4"/>
  <c r="E178" i="4"/>
  <c r="G178" i="4"/>
  <c r="H178" i="4"/>
  <c r="I178" i="4"/>
  <c r="K178" i="4"/>
  <c r="L178" i="4"/>
  <c r="M178" i="4"/>
  <c r="O178" i="4"/>
  <c r="P178" i="4"/>
  <c r="Q178" i="4"/>
  <c r="R178" i="4"/>
  <c r="U178" i="4"/>
  <c r="V178" i="4"/>
  <c r="W178" i="4"/>
  <c r="Y178" i="4"/>
  <c r="Z178" i="4"/>
  <c r="AB178" i="4"/>
  <c r="AC178" i="4"/>
  <c r="AD178" i="4"/>
  <c r="AF178" i="4"/>
  <c r="AG178" i="4"/>
  <c r="AI178" i="4"/>
  <c r="AK178" i="4"/>
  <c r="AM178" i="4"/>
  <c r="AN178" i="4"/>
  <c r="A179" i="4"/>
  <c r="B179" i="4"/>
  <c r="C179" i="4"/>
  <c r="D179" i="4"/>
  <c r="E179" i="4"/>
  <c r="G179" i="4"/>
  <c r="H179" i="4"/>
  <c r="I179" i="4"/>
  <c r="K179" i="4"/>
  <c r="L179" i="4"/>
  <c r="M179" i="4"/>
  <c r="O179" i="4"/>
  <c r="P179" i="4"/>
  <c r="Q179" i="4"/>
  <c r="R179" i="4"/>
  <c r="U179" i="4"/>
  <c r="V179" i="4"/>
  <c r="W179" i="4"/>
  <c r="Y179" i="4"/>
  <c r="Z179" i="4"/>
  <c r="AB179" i="4"/>
  <c r="AC179" i="4"/>
  <c r="AD179" i="4"/>
  <c r="AF179" i="4"/>
  <c r="AG179" i="4"/>
  <c r="AI179" i="4"/>
  <c r="AK179" i="4"/>
  <c r="AM179" i="4"/>
  <c r="AN179" i="4"/>
  <c r="A180" i="4"/>
  <c r="B180" i="4"/>
  <c r="C180" i="4"/>
  <c r="D180" i="4"/>
  <c r="E180" i="4"/>
  <c r="G180" i="4"/>
  <c r="H180" i="4"/>
  <c r="I180" i="4"/>
  <c r="K180" i="4"/>
  <c r="L180" i="4"/>
  <c r="M180" i="4"/>
  <c r="O180" i="4"/>
  <c r="P180" i="4"/>
  <c r="Q180" i="4"/>
  <c r="R180" i="4"/>
  <c r="U180" i="4"/>
  <c r="V180" i="4"/>
  <c r="W180" i="4"/>
  <c r="Y180" i="4"/>
  <c r="Z180" i="4"/>
  <c r="AB180" i="4"/>
  <c r="AC180" i="4"/>
  <c r="AD180" i="4"/>
  <c r="AF180" i="4"/>
  <c r="AG180" i="4"/>
  <c r="AI180" i="4"/>
  <c r="AK180" i="4"/>
  <c r="AM180" i="4"/>
  <c r="AN180" i="4"/>
  <c r="A181" i="4"/>
  <c r="B181" i="4"/>
  <c r="C181" i="4"/>
  <c r="D181" i="4"/>
  <c r="E181" i="4"/>
  <c r="G181" i="4"/>
  <c r="H181" i="4"/>
  <c r="I181" i="4"/>
  <c r="K181" i="4"/>
  <c r="L181" i="4"/>
  <c r="M181" i="4"/>
  <c r="O181" i="4"/>
  <c r="P181" i="4"/>
  <c r="Q181" i="4"/>
  <c r="R181" i="4"/>
  <c r="U181" i="4"/>
  <c r="V181" i="4"/>
  <c r="W181" i="4"/>
  <c r="Y181" i="4"/>
  <c r="Z181" i="4"/>
  <c r="AB181" i="4"/>
  <c r="AC181" i="4"/>
  <c r="AD181" i="4"/>
  <c r="AF181" i="4"/>
  <c r="AG181" i="4"/>
  <c r="AI181" i="4"/>
  <c r="AK181" i="4"/>
  <c r="AM181" i="4"/>
  <c r="AN181" i="4"/>
  <c r="A182" i="4"/>
  <c r="B182" i="4"/>
  <c r="C182" i="4"/>
  <c r="D182" i="4"/>
  <c r="E182" i="4"/>
  <c r="G182" i="4"/>
  <c r="H182" i="4"/>
  <c r="I182" i="4"/>
  <c r="K182" i="4"/>
  <c r="L182" i="4"/>
  <c r="M182" i="4"/>
  <c r="O182" i="4"/>
  <c r="P182" i="4"/>
  <c r="Q182" i="4"/>
  <c r="R182" i="4"/>
  <c r="U182" i="4"/>
  <c r="V182" i="4"/>
  <c r="W182" i="4"/>
  <c r="Y182" i="4"/>
  <c r="Z182" i="4"/>
  <c r="AB182" i="4"/>
  <c r="AC182" i="4"/>
  <c r="AD182" i="4"/>
  <c r="AF182" i="4"/>
  <c r="AG182" i="4"/>
  <c r="AI182" i="4"/>
  <c r="AK182" i="4"/>
  <c r="AM182" i="4"/>
  <c r="AN182" i="4"/>
  <c r="A183" i="4"/>
  <c r="B183" i="4"/>
  <c r="C183" i="4"/>
  <c r="D183" i="4"/>
  <c r="E183" i="4"/>
  <c r="G183" i="4"/>
  <c r="H183" i="4"/>
  <c r="I183" i="4"/>
  <c r="K183" i="4"/>
  <c r="L183" i="4"/>
  <c r="M183" i="4"/>
  <c r="O183" i="4"/>
  <c r="P183" i="4"/>
  <c r="Q183" i="4"/>
  <c r="R183" i="4"/>
  <c r="U183" i="4"/>
  <c r="V183" i="4"/>
  <c r="W183" i="4"/>
  <c r="Y183" i="4"/>
  <c r="Z183" i="4"/>
  <c r="AB183" i="4"/>
  <c r="AC183" i="4"/>
  <c r="AD183" i="4"/>
  <c r="AF183" i="4"/>
  <c r="AG183" i="4"/>
  <c r="AI183" i="4"/>
  <c r="AK183" i="4"/>
  <c r="AM183" i="4"/>
  <c r="AN183" i="4"/>
  <c r="A184" i="4"/>
  <c r="B184" i="4"/>
  <c r="C184" i="4"/>
  <c r="D184" i="4"/>
  <c r="E184" i="4"/>
  <c r="G184" i="4"/>
  <c r="H184" i="4"/>
  <c r="I184" i="4"/>
  <c r="K184" i="4"/>
  <c r="L184" i="4"/>
  <c r="M184" i="4"/>
  <c r="O184" i="4"/>
  <c r="P184" i="4"/>
  <c r="Q184" i="4"/>
  <c r="R184" i="4"/>
  <c r="U184" i="4"/>
  <c r="V184" i="4"/>
  <c r="W184" i="4"/>
  <c r="Y184" i="4"/>
  <c r="Z184" i="4"/>
  <c r="AB184" i="4"/>
  <c r="AC184" i="4"/>
  <c r="AD184" i="4"/>
  <c r="AF184" i="4"/>
  <c r="AG184" i="4"/>
  <c r="AI184" i="4"/>
  <c r="AK184" i="4"/>
  <c r="AM184" i="4"/>
  <c r="AN184" i="4"/>
  <c r="A185" i="4"/>
  <c r="B185" i="4"/>
  <c r="C185" i="4"/>
  <c r="D185" i="4"/>
  <c r="E185" i="4"/>
  <c r="G185" i="4"/>
  <c r="H185" i="4"/>
  <c r="I185" i="4"/>
  <c r="K185" i="4"/>
  <c r="L185" i="4"/>
  <c r="M185" i="4"/>
  <c r="O185" i="4"/>
  <c r="P185" i="4"/>
  <c r="Q185" i="4"/>
  <c r="R185" i="4"/>
  <c r="U185" i="4"/>
  <c r="V185" i="4"/>
  <c r="W185" i="4"/>
  <c r="Y185" i="4"/>
  <c r="Z185" i="4"/>
  <c r="AB185" i="4"/>
  <c r="AC185" i="4"/>
  <c r="AD185" i="4"/>
  <c r="AF185" i="4"/>
  <c r="AG185" i="4"/>
  <c r="AI185" i="4"/>
  <c r="AK185" i="4"/>
  <c r="AM185" i="4"/>
  <c r="AN185" i="4"/>
  <c r="A186" i="4"/>
  <c r="B186" i="4"/>
  <c r="C186" i="4"/>
  <c r="D186" i="4"/>
  <c r="E186" i="4"/>
  <c r="G186" i="4"/>
  <c r="H186" i="4"/>
  <c r="I186" i="4"/>
  <c r="K186" i="4"/>
  <c r="L186" i="4"/>
  <c r="M186" i="4"/>
  <c r="O186" i="4"/>
  <c r="P186" i="4"/>
  <c r="Q186" i="4"/>
  <c r="R186" i="4"/>
  <c r="U186" i="4"/>
  <c r="V186" i="4"/>
  <c r="W186" i="4"/>
  <c r="Y186" i="4"/>
  <c r="Z186" i="4"/>
  <c r="AB186" i="4"/>
  <c r="AC186" i="4"/>
  <c r="AD186" i="4"/>
  <c r="AF186" i="4"/>
  <c r="AG186" i="4"/>
  <c r="AI186" i="4"/>
  <c r="AK186" i="4"/>
  <c r="AM186" i="4"/>
  <c r="AN186" i="4"/>
  <c r="A187" i="4"/>
  <c r="B187" i="4"/>
  <c r="C187" i="4"/>
  <c r="D187" i="4"/>
  <c r="E187" i="4"/>
  <c r="G187" i="4"/>
  <c r="H187" i="4"/>
  <c r="I187" i="4"/>
  <c r="K187" i="4"/>
  <c r="L187" i="4"/>
  <c r="M187" i="4"/>
  <c r="O187" i="4"/>
  <c r="P187" i="4"/>
  <c r="Q187" i="4"/>
  <c r="R187" i="4"/>
  <c r="U187" i="4"/>
  <c r="V187" i="4"/>
  <c r="W187" i="4"/>
  <c r="Y187" i="4"/>
  <c r="Z187" i="4"/>
  <c r="AB187" i="4"/>
  <c r="AC187" i="4"/>
  <c r="AD187" i="4"/>
  <c r="AF187" i="4"/>
  <c r="AG187" i="4"/>
  <c r="AI187" i="4"/>
  <c r="AK187" i="4"/>
  <c r="AM187" i="4"/>
  <c r="AN187" i="4"/>
  <c r="A188" i="4"/>
  <c r="B188" i="4"/>
  <c r="C188" i="4"/>
  <c r="D188" i="4"/>
  <c r="E188" i="4"/>
  <c r="G188" i="4"/>
  <c r="H188" i="4"/>
  <c r="I188" i="4"/>
  <c r="K188" i="4"/>
  <c r="L188" i="4"/>
  <c r="M188" i="4"/>
  <c r="O188" i="4"/>
  <c r="P188" i="4"/>
  <c r="Q188" i="4"/>
  <c r="R188" i="4"/>
  <c r="U188" i="4"/>
  <c r="V188" i="4"/>
  <c r="W188" i="4"/>
  <c r="Y188" i="4"/>
  <c r="Z188" i="4"/>
  <c r="AB188" i="4"/>
  <c r="AC188" i="4"/>
  <c r="AD188" i="4"/>
  <c r="AF188" i="4"/>
  <c r="AG188" i="4"/>
  <c r="AI188" i="4"/>
  <c r="AK188" i="4"/>
  <c r="AM188" i="4"/>
  <c r="AN188" i="4"/>
  <c r="A189" i="4"/>
  <c r="B189" i="4"/>
  <c r="C189" i="4"/>
  <c r="D189" i="4"/>
  <c r="E189" i="4"/>
  <c r="G189" i="4"/>
  <c r="H189" i="4"/>
  <c r="I189" i="4"/>
  <c r="K189" i="4"/>
  <c r="L189" i="4"/>
  <c r="M189" i="4"/>
  <c r="O189" i="4"/>
  <c r="P189" i="4"/>
  <c r="Q189" i="4"/>
  <c r="R189" i="4"/>
  <c r="U189" i="4"/>
  <c r="V189" i="4"/>
  <c r="W189" i="4"/>
  <c r="Y189" i="4"/>
  <c r="Z189" i="4"/>
  <c r="AB189" i="4"/>
  <c r="AC189" i="4"/>
  <c r="AD189" i="4"/>
  <c r="AF189" i="4"/>
  <c r="AG189" i="4"/>
  <c r="AI189" i="4"/>
  <c r="AK189" i="4"/>
  <c r="AM189" i="4"/>
  <c r="AN189" i="4"/>
  <c r="A190" i="4"/>
  <c r="B190" i="4"/>
  <c r="C190" i="4"/>
  <c r="D190" i="4"/>
  <c r="E190" i="4"/>
  <c r="G190" i="4"/>
  <c r="H190" i="4"/>
  <c r="I190" i="4"/>
  <c r="K190" i="4"/>
  <c r="L190" i="4"/>
  <c r="M190" i="4"/>
  <c r="O190" i="4"/>
  <c r="P190" i="4"/>
  <c r="Q190" i="4"/>
  <c r="R190" i="4"/>
  <c r="U190" i="4"/>
  <c r="V190" i="4"/>
  <c r="W190" i="4"/>
  <c r="Y190" i="4"/>
  <c r="Z190" i="4"/>
  <c r="AB190" i="4"/>
  <c r="AC190" i="4"/>
  <c r="AD190" i="4"/>
  <c r="AF190" i="4"/>
  <c r="AG190" i="4"/>
  <c r="AI190" i="4"/>
  <c r="AK190" i="4"/>
  <c r="AM190" i="4"/>
  <c r="AN190" i="4"/>
  <c r="A191" i="4"/>
  <c r="B191" i="4"/>
  <c r="C191" i="4"/>
  <c r="D191" i="4"/>
  <c r="E191" i="4"/>
  <c r="G191" i="4"/>
  <c r="K191" i="4"/>
  <c r="O191" i="4"/>
  <c r="U191" i="4"/>
  <c r="Y191" i="4"/>
  <c r="AB191" i="4"/>
  <c r="AF191" i="4"/>
  <c r="AK191" i="4"/>
  <c r="AM191" i="4"/>
  <c r="A192" i="4"/>
  <c r="B192" i="4"/>
  <c r="C192" i="4"/>
  <c r="D192" i="4"/>
  <c r="E192" i="4"/>
  <c r="G192" i="4"/>
  <c r="H192" i="4"/>
  <c r="I192" i="4"/>
  <c r="K192" i="4"/>
  <c r="L192" i="4"/>
  <c r="M192" i="4"/>
  <c r="O192" i="4"/>
  <c r="P192" i="4"/>
  <c r="Q192" i="4"/>
  <c r="R192" i="4"/>
  <c r="U192" i="4"/>
  <c r="V192" i="4"/>
  <c r="W192" i="4"/>
  <c r="Y192" i="4"/>
  <c r="Z192" i="4"/>
  <c r="AB192" i="4"/>
  <c r="AC192" i="4"/>
  <c r="AD192" i="4"/>
  <c r="AF192" i="4"/>
  <c r="AG192" i="4"/>
  <c r="AI192" i="4"/>
  <c r="AK192" i="4"/>
  <c r="AM192" i="4"/>
  <c r="AN192" i="4"/>
  <c r="A193" i="4"/>
  <c r="B193" i="4"/>
  <c r="C193" i="4"/>
  <c r="D193" i="4"/>
  <c r="E193" i="4"/>
  <c r="G193" i="4"/>
  <c r="H193" i="4"/>
  <c r="I193" i="4"/>
  <c r="K193" i="4"/>
  <c r="L193" i="4"/>
  <c r="M193" i="4"/>
  <c r="O193" i="4"/>
  <c r="P193" i="4"/>
  <c r="Q193" i="4"/>
  <c r="R193" i="4"/>
  <c r="U193" i="4"/>
  <c r="V193" i="4"/>
  <c r="W193" i="4"/>
  <c r="Y193" i="4"/>
  <c r="Z193" i="4"/>
  <c r="AB193" i="4"/>
  <c r="AC193" i="4"/>
  <c r="AD193" i="4"/>
  <c r="AF193" i="4"/>
  <c r="AG193" i="4"/>
  <c r="AI193" i="4"/>
  <c r="AK193" i="4"/>
  <c r="AM193" i="4"/>
  <c r="AN193" i="4"/>
  <c r="A194" i="4"/>
  <c r="B194" i="4"/>
  <c r="C194" i="4"/>
  <c r="D194" i="4"/>
  <c r="E194" i="4"/>
  <c r="G194" i="4"/>
  <c r="H194" i="4"/>
  <c r="I194" i="4"/>
  <c r="K194" i="4"/>
  <c r="L194" i="4"/>
  <c r="M194" i="4"/>
  <c r="O194" i="4"/>
  <c r="P194" i="4"/>
  <c r="Q194" i="4"/>
  <c r="R194" i="4"/>
  <c r="U194" i="4"/>
  <c r="V194" i="4"/>
  <c r="W194" i="4"/>
  <c r="Y194" i="4"/>
  <c r="Z194" i="4"/>
  <c r="AB194" i="4"/>
  <c r="AC194" i="4"/>
  <c r="AD194" i="4"/>
  <c r="AF194" i="4"/>
  <c r="AG194" i="4"/>
  <c r="AI194" i="4"/>
  <c r="AK194" i="4"/>
  <c r="AM194" i="4"/>
  <c r="AN194" i="4"/>
  <c r="A195" i="4"/>
  <c r="B195" i="4"/>
  <c r="C195" i="4"/>
  <c r="D195" i="4"/>
  <c r="E195" i="4"/>
  <c r="G195" i="4"/>
  <c r="H195" i="4"/>
  <c r="I195" i="4"/>
  <c r="K195" i="4"/>
  <c r="L195" i="4"/>
  <c r="M195" i="4"/>
  <c r="O195" i="4"/>
  <c r="P195" i="4"/>
  <c r="Q195" i="4"/>
  <c r="R195" i="4"/>
  <c r="U195" i="4"/>
  <c r="V195" i="4"/>
  <c r="W195" i="4"/>
  <c r="Y195" i="4"/>
  <c r="Z195" i="4"/>
  <c r="AB195" i="4"/>
  <c r="AC195" i="4"/>
  <c r="AD195" i="4"/>
  <c r="AF195" i="4"/>
  <c r="AG195" i="4"/>
  <c r="AI195" i="4"/>
  <c r="AK195" i="4"/>
  <c r="AM195" i="4"/>
  <c r="AN195" i="4"/>
  <c r="A196" i="4"/>
  <c r="B196" i="4"/>
  <c r="C196" i="4"/>
  <c r="D196" i="4"/>
  <c r="E196" i="4"/>
  <c r="G196" i="4"/>
  <c r="H196" i="4"/>
  <c r="I196" i="4"/>
  <c r="K196" i="4"/>
  <c r="L196" i="4"/>
  <c r="M196" i="4"/>
  <c r="O196" i="4"/>
  <c r="P196" i="4"/>
  <c r="Q196" i="4"/>
  <c r="R196" i="4"/>
  <c r="U196" i="4"/>
  <c r="V196" i="4"/>
  <c r="W196" i="4"/>
  <c r="Y196" i="4"/>
  <c r="Z196" i="4"/>
  <c r="AB196" i="4"/>
  <c r="AC196" i="4"/>
  <c r="AD196" i="4"/>
  <c r="AF196" i="4"/>
  <c r="AG196" i="4"/>
  <c r="AI196" i="4"/>
  <c r="AK196" i="4"/>
  <c r="AM196" i="4"/>
  <c r="AN196" i="4"/>
  <c r="A197" i="4"/>
  <c r="B197" i="4"/>
  <c r="C197" i="4"/>
  <c r="D197" i="4"/>
  <c r="E197" i="4"/>
  <c r="G197" i="4"/>
  <c r="K197" i="4"/>
  <c r="O197" i="4"/>
  <c r="U197" i="4"/>
  <c r="Y197" i="4"/>
  <c r="AB197" i="4"/>
  <c r="AF197" i="4"/>
  <c r="AK197" i="4"/>
  <c r="AM197" i="4"/>
  <c r="A198" i="4"/>
  <c r="B198" i="4"/>
  <c r="C198" i="4"/>
  <c r="D198" i="4"/>
  <c r="E198" i="4"/>
  <c r="G198" i="4"/>
  <c r="H198" i="4"/>
  <c r="I198" i="4"/>
  <c r="K198" i="4"/>
  <c r="L198" i="4"/>
  <c r="M198" i="4"/>
  <c r="O198" i="4"/>
  <c r="P198" i="4"/>
  <c r="Q198" i="4"/>
  <c r="R198" i="4"/>
  <c r="U198" i="4"/>
  <c r="V198" i="4"/>
  <c r="W198" i="4"/>
  <c r="Y198" i="4"/>
  <c r="Z198" i="4"/>
  <c r="AB198" i="4"/>
  <c r="AC198" i="4"/>
  <c r="AD198" i="4"/>
  <c r="AF198" i="4"/>
  <c r="AG198" i="4"/>
  <c r="AI198" i="4"/>
  <c r="AK198" i="4"/>
  <c r="AM198" i="4"/>
  <c r="AN198" i="4"/>
  <c r="A199" i="4"/>
  <c r="B199" i="4"/>
  <c r="C199" i="4"/>
  <c r="D199" i="4"/>
  <c r="E199" i="4"/>
  <c r="G199" i="4"/>
  <c r="H199" i="4"/>
  <c r="I199" i="4"/>
  <c r="K199" i="4"/>
  <c r="L199" i="4"/>
  <c r="M199" i="4"/>
  <c r="O199" i="4"/>
  <c r="P199" i="4"/>
  <c r="Q199" i="4"/>
  <c r="R199" i="4"/>
  <c r="U199" i="4"/>
  <c r="V199" i="4"/>
  <c r="W199" i="4"/>
  <c r="Y199" i="4"/>
  <c r="Z199" i="4"/>
  <c r="AB199" i="4"/>
  <c r="AC199" i="4"/>
  <c r="AD199" i="4"/>
  <c r="AF199" i="4"/>
  <c r="AG199" i="4"/>
  <c r="AI199" i="4"/>
  <c r="AK199" i="4"/>
  <c r="AM199" i="4"/>
  <c r="AN199" i="4"/>
  <c r="A200" i="4"/>
  <c r="B200" i="4"/>
  <c r="C200" i="4"/>
  <c r="D200" i="4"/>
  <c r="E200" i="4"/>
  <c r="G200" i="4"/>
  <c r="H200" i="4"/>
  <c r="I200" i="4"/>
  <c r="K200" i="4"/>
  <c r="L200" i="4"/>
  <c r="M200" i="4"/>
  <c r="O200" i="4"/>
  <c r="P200" i="4"/>
  <c r="Q200" i="4"/>
  <c r="R200" i="4"/>
  <c r="U200" i="4"/>
  <c r="V200" i="4"/>
  <c r="W200" i="4"/>
  <c r="Y200" i="4"/>
  <c r="Z200" i="4"/>
  <c r="AB200" i="4"/>
  <c r="AC200" i="4"/>
  <c r="AD200" i="4"/>
  <c r="AF200" i="4"/>
  <c r="AG200" i="4"/>
  <c r="AI200" i="4"/>
  <c r="AK200" i="4"/>
  <c r="AM200" i="4"/>
  <c r="AN200" i="4"/>
  <c r="A201" i="4"/>
  <c r="B201" i="4"/>
  <c r="C201" i="4"/>
  <c r="D201" i="4"/>
  <c r="E201" i="4"/>
  <c r="G201" i="4"/>
  <c r="H201" i="4"/>
  <c r="I201" i="4"/>
  <c r="K201" i="4"/>
  <c r="L201" i="4"/>
  <c r="M201" i="4"/>
  <c r="O201" i="4"/>
  <c r="P201" i="4"/>
  <c r="Q201" i="4"/>
  <c r="R201" i="4"/>
  <c r="U201" i="4"/>
  <c r="V201" i="4"/>
  <c r="W201" i="4"/>
  <c r="Y201" i="4"/>
  <c r="Z201" i="4"/>
  <c r="AB201" i="4"/>
  <c r="AC201" i="4"/>
  <c r="AD201" i="4"/>
  <c r="AF201" i="4"/>
  <c r="AG201" i="4"/>
  <c r="AI201" i="4"/>
  <c r="AK201" i="4"/>
  <c r="AM201" i="4"/>
  <c r="AN201" i="4"/>
  <c r="A202" i="4"/>
  <c r="B202" i="4"/>
  <c r="C202" i="4"/>
  <c r="D202" i="4"/>
  <c r="E202" i="4"/>
  <c r="G202" i="4"/>
  <c r="H202" i="4"/>
  <c r="I202" i="4"/>
  <c r="K202" i="4"/>
  <c r="L202" i="4"/>
  <c r="M202" i="4"/>
  <c r="O202" i="4"/>
  <c r="P202" i="4"/>
  <c r="Q202" i="4"/>
  <c r="R202" i="4"/>
  <c r="U202" i="4"/>
  <c r="V202" i="4"/>
  <c r="W202" i="4"/>
  <c r="Y202" i="4"/>
  <c r="Z202" i="4"/>
  <c r="AB202" i="4"/>
  <c r="AC202" i="4"/>
  <c r="AD202" i="4"/>
  <c r="AF202" i="4"/>
  <c r="AG202" i="4"/>
  <c r="AI202" i="4"/>
  <c r="AK202" i="4"/>
  <c r="AM202" i="4"/>
  <c r="AN202" i="4"/>
  <c r="A203" i="4"/>
  <c r="B203" i="4"/>
  <c r="C203" i="4"/>
  <c r="D203" i="4"/>
  <c r="E203" i="4"/>
  <c r="G203" i="4"/>
  <c r="H203" i="4"/>
  <c r="I203" i="4"/>
  <c r="K203" i="4"/>
  <c r="L203" i="4"/>
  <c r="M203" i="4"/>
  <c r="O203" i="4"/>
  <c r="P203" i="4"/>
  <c r="Q203" i="4"/>
  <c r="R203" i="4"/>
  <c r="U203" i="4"/>
  <c r="V203" i="4"/>
  <c r="W203" i="4"/>
  <c r="Y203" i="4"/>
  <c r="Z203" i="4"/>
  <c r="AB203" i="4"/>
  <c r="AC203" i="4"/>
  <c r="AD203" i="4"/>
  <c r="AF203" i="4"/>
  <c r="AG203" i="4"/>
  <c r="AI203" i="4"/>
  <c r="AK203" i="4"/>
  <c r="AM203" i="4"/>
  <c r="AN203" i="4"/>
  <c r="A204" i="4"/>
  <c r="B204" i="4"/>
  <c r="C204" i="4"/>
  <c r="D204" i="4"/>
  <c r="E204" i="4"/>
  <c r="G204" i="4"/>
  <c r="H204" i="4"/>
  <c r="I204" i="4"/>
  <c r="K204" i="4"/>
  <c r="L204" i="4"/>
  <c r="M204" i="4"/>
  <c r="O204" i="4"/>
  <c r="P204" i="4"/>
  <c r="Q204" i="4"/>
  <c r="R204" i="4"/>
  <c r="U204" i="4"/>
  <c r="V204" i="4"/>
  <c r="W204" i="4"/>
  <c r="Y204" i="4"/>
  <c r="Z204" i="4"/>
  <c r="AB204" i="4"/>
  <c r="AC204" i="4"/>
  <c r="AD204" i="4"/>
  <c r="AF204" i="4"/>
  <c r="AG204" i="4"/>
  <c r="AI204" i="4"/>
  <c r="AK204" i="4"/>
  <c r="AM204" i="4"/>
  <c r="AN204" i="4"/>
  <c r="A205" i="4"/>
  <c r="B205" i="4"/>
  <c r="C205" i="4"/>
  <c r="D205" i="4"/>
  <c r="E205" i="4"/>
  <c r="G205" i="4"/>
  <c r="H205" i="4"/>
  <c r="I205" i="4"/>
  <c r="K205" i="4"/>
  <c r="L205" i="4"/>
  <c r="M205" i="4"/>
  <c r="O205" i="4"/>
  <c r="P205" i="4"/>
  <c r="Q205" i="4"/>
  <c r="R205" i="4"/>
  <c r="U205" i="4"/>
  <c r="V205" i="4"/>
  <c r="W205" i="4"/>
  <c r="Y205" i="4"/>
  <c r="Z205" i="4"/>
  <c r="AB205" i="4"/>
  <c r="AC205" i="4"/>
  <c r="AD205" i="4"/>
  <c r="AF205" i="4"/>
  <c r="AG205" i="4"/>
  <c r="AI205" i="4"/>
  <c r="AK205" i="4"/>
  <c r="AM205" i="4"/>
  <c r="AN205" i="4"/>
  <c r="A206" i="4"/>
  <c r="B206" i="4"/>
  <c r="C206" i="4"/>
  <c r="D206" i="4"/>
  <c r="E206" i="4"/>
  <c r="G206" i="4"/>
  <c r="H206" i="4"/>
  <c r="I206" i="4"/>
  <c r="K206" i="4"/>
  <c r="L206" i="4"/>
  <c r="M206" i="4"/>
  <c r="O206" i="4"/>
  <c r="P206" i="4"/>
  <c r="Q206" i="4"/>
  <c r="R206" i="4"/>
  <c r="U206" i="4"/>
  <c r="V206" i="4"/>
  <c r="W206" i="4"/>
  <c r="Y206" i="4"/>
  <c r="Z206" i="4"/>
  <c r="AB206" i="4"/>
  <c r="AC206" i="4"/>
  <c r="AD206" i="4"/>
  <c r="AF206" i="4"/>
  <c r="AG206" i="4"/>
  <c r="AI206" i="4"/>
  <c r="AK206" i="4"/>
  <c r="AM206" i="4"/>
  <c r="AN206" i="4"/>
  <c r="A207" i="4"/>
  <c r="B207" i="4"/>
  <c r="C207" i="4"/>
  <c r="D207" i="4"/>
  <c r="E207" i="4"/>
  <c r="G207" i="4"/>
  <c r="H207" i="4"/>
  <c r="I207" i="4"/>
  <c r="K207" i="4"/>
  <c r="L207" i="4"/>
  <c r="M207" i="4"/>
  <c r="O207" i="4"/>
  <c r="P207" i="4"/>
  <c r="Q207" i="4"/>
  <c r="R207" i="4"/>
  <c r="U207" i="4"/>
  <c r="V207" i="4"/>
  <c r="W207" i="4"/>
  <c r="Y207" i="4"/>
  <c r="Z207" i="4"/>
  <c r="AB207" i="4"/>
  <c r="AC207" i="4"/>
  <c r="AD207" i="4"/>
  <c r="AF207" i="4"/>
  <c r="AG207" i="4"/>
  <c r="AI207" i="4"/>
  <c r="AK207" i="4"/>
  <c r="AM207" i="4"/>
  <c r="AN207" i="4"/>
  <c r="A208" i="4"/>
  <c r="B208" i="4"/>
  <c r="C208" i="4"/>
  <c r="D208" i="4"/>
  <c r="E208" i="4"/>
  <c r="G208" i="4"/>
  <c r="H208" i="4"/>
  <c r="I208" i="4"/>
  <c r="K208" i="4"/>
  <c r="L208" i="4"/>
  <c r="M208" i="4"/>
  <c r="O208" i="4"/>
  <c r="P208" i="4"/>
  <c r="Q208" i="4"/>
  <c r="R208" i="4"/>
  <c r="U208" i="4"/>
  <c r="V208" i="4"/>
  <c r="W208" i="4"/>
  <c r="Y208" i="4"/>
  <c r="Z208" i="4"/>
  <c r="AB208" i="4"/>
  <c r="AC208" i="4"/>
  <c r="AD208" i="4"/>
  <c r="AF208" i="4"/>
  <c r="AG208" i="4"/>
  <c r="AI208" i="4"/>
  <c r="AK208" i="4"/>
  <c r="AM208" i="4"/>
  <c r="AN208" i="4"/>
  <c r="A209" i="4"/>
  <c r="B209" i="4"/>
  <c r="C209" i="4"/>
  <c r="D209" i="4"/>
  <c r="E209" i="4"/>
  <c r="G209" i="4"/>
  <c r="H209" i="4"/>
  <c r="I209" i="4"/>
  <c r="K209" i="4"/>
  <c r="L209" i="4"/>
  <c r="M209" i="4"/>
  <c r="O209" i="4"/>
  <c r="P209" i="4"/>
  <c r="Q209" i="4"/>
  <c r="R209" i="4"/>
  <c r="U209" i="4"/>
  <c r="V209" i="4"/>
  <c r="W209" i="4"/>
  <c r="Y209" i="4"/>
  <c r="Z209" i="4"/>
  <c r="AB209" i="4"/>
  <c r="AC209" i="4"/>
  <c r="AD209" i="4"/>
  <c r="AF209" i="4"/>
  <c r="AG209" i="4"/>
  <c r="AI209" i="4"/>
  <c r="AK209" i="4"/>
  <c r="AM209" i="4"/>
  <c r="AN209" i="4"/>
  <c r="A210" i="4"/>
  <c r="B210" i="4"/>
  <c r="C210" i="4"/>
  <c r="D210" i="4"/>
  <c r="E210" i="4"/>
  <c r="G210" i="4"/>
  <c r="H210" i="4"/>
  <c r="I210" i="4"/>
  <c r="K210" i="4"/>
  <c r="L210" i="4"/>
  <c r="M210" i="4"/>
  <c r="O210" i="4"/>
  <c r="P210" i="4"/>
  <c r="Q210" i="4"/>
  <c r="R210" i="4"/>
  <c r="U210" i="4"/>
  <c r="V210" i="4"/>
  <c r="W210" i="4"/>
  <c r="Y210" i="4"/>
  <c r="Z210" i="4"/>
  <c r="AB210" i="4"/>
  <c r="AC210" i="4"/>
  <c r="AD210" i="4"/>
  <c r="AF210" i="4"/>
  <c r="AG210" i="4"/>
  <c r="AI210" i="4"/>
  <c r="AK210" i="4"/>
  <c r="AM210" i="4"/>
  <c r="AN210" i="4"/>
  <c r="A211" i="4"/>
  <c r="B211" i="4"/>
  <c r="C211" i="4"/>
  <c r="D211" i="4"/>
  <c r="E211" i="4"/>
  <c r="G211" i="4"/>
  <c r="H211" i="4"/>
  <c r="I211" i="4"/>
  <c r="K211" i="4"/>
  <c r="L211" i="4"/>
  <c r="M211" i="4"/>
  <c r="O211" i="4"/>
  <c r="P211" i="4"/>
  <c r="Q211" i="4"/>
  <c r="R211" i="4"/>
  <c r="U211" i="4"/>
  <c r="V211" i="4"/>
  <c r="W211" i="4"/>
  <c r="Y211" i="4"/>
  <c r="Z211" i="4"/>
  <c r="AB211" i="4"/>
  <c r="AC211" i="4"/>
  <c r="AD211" i="4"/>
  <c r="AF211" i="4"/>
  <c r="AG211" i="4"/>
  <c r="AI211" i="4"/>
  <c r="AK211" i="4"/>
  <c r="AM211" i="4"/>
  <c r="AN211" i="4"/>
  <c r="A212" i="4"/>
  <c r="B212" i="4"/>
  <c r="C212" i="4"/>
  <c r="D212" i="4"/>
  <c r="E212" i="4"/>
  <c r="G212" i="4"/>
  <c r="H212" i="4"/>
  <c r="I212" i="4"/>
  <c r="K212" i="4"/>
  <c r="L212" i="4"/>
  <c r="M212" i="4"/>
  <c r="O212" i="4"/>
  <c r="P212" i="4"/>
  <c r="Q212" i="4"/>
  <c r="R212" i="4"/>
  <c r="U212" i="4"/>
  <c r="V212" i="4"/>
  <c r="W212" i="4"/>
  <c r="Y212" i="4"/>
  <c r="Z212" i="4"/>
  <c r="AB212" i="4"/>
  <c r="AC212" i="4"/>
  <c r="AD212" i="4"/>
  <c r="AF212" i="4"/>
  <c r="AG212" i="4"/>
  <c r="AI212" i="4"/>
  <c r="AK212" i="4"/>
  <c r="AM212" i="4"/>
  <c r="AN212" i="4"/>
  <c r="A213" i="4"/>
  <c r="B213" i="4"/>
  <c r="C213" i="4"/>
  <c r="D213" i="4"/>
  <c r="E213" i="4"/>
  <c r="G213" i="4"/>
  <c r="H213" i="4"/>
  <c r="I213" i="4"/>
  <c r="K213" i="4"/>
  <c r="L213" i="4"/>
  <c r="M213" i="4"/>
  <c r="O213" i="4"/>
  <c r="P213" i="4"/>
  <c r="Q213" i="4"/>
  <c r="R213" i="4"/>
  <c r="U213" i="4"/>
  <c r="V213" i="4"/>
  <c r="W213" i="4"/>
  <c r="Y213" i="4"/>
  <c r="Z213" i="4"/>
  <c r="AB213" i="4"/>
  <c r="AC213" i="4"/>
  <c r="AD213" i="4"/>
  <c r="AF213" i="4"/>
  <c r="AG213" i="4"/>
  <c r="AI213" i="4"/>
  <c r="AK213" i="4"/>
  <c r="AM213" i="4"/>
  <c r="AN213" i="4"/>
  <c r="A214" i="4"/>
  <c r="B214" i="4"/>
  <c r="C214" i="4"/>
  <c r="D214" i="4"/>
  <c r="E214" i="4"/>
  <c r="G214" i="4"/>
  <c r="H214" i="4"/>
  <c r="I214" i="4"/>
  <c r="K214" i="4"/>
  <c r="L214" i="4"/>
  <c r="M214" i="4"/>
  <c r="O214" i="4"/>
  <c r="P214" i="4"/>
  <c r="Q214" i="4"/>
  <c r="R214" i="4"/>
  <c r="U214" i="4"/>
  <c r="V214" i="4"/>
  <c r="W214" i="4"/>
  <c r="Y214" i="4"/>
  <c r="Z214" i="4"/>
  <c r="AB214" i="4"/>
  <c r="AC214" i="4"/>
  <c r="AD214" i="4"/>
  <c r="AF214" i="4"/>
  <c r="AG214" i="4"/>
  <c r="AI214" i="4"/>
  <c r="AK214" i="4"/>
  <c r="AM214" i="4"/>
  <c r="AN214" i="4"/>
  <c r="A215" i="4"/>
  <c r="B215" i="4"/>
  <c r="C215" i="4"/>
  <c r="D215" i="4"/>
  <c r="E215" i="4"/>
  <c r="G215" i="4"/>
  <c r="H215" i="4"/>
  <c r="I215" i="4"/>
  <c r="K215" i="4"/>
  <c r="L215" i="4"/>
  <c r="M215" i="4"/>
  <c r="O215" i="4"/>
  <c r="P215" i="4"/>
  <c r="Q215" i="4"/>
  <c r="R215" i="4"/>
  <c r="U215" i="4"/>
  <c r="V215" i="4"/>
  <c r="W215" i="4"/>
  <c r="Y215" i="4"/>
  <c r="Z215" i="4"/>
  <c r="AB215" i="4"/>
  <c r="AC215" i="4"/>
  <c r="AD215" i="4"/>
  <c r="AF215" i="4"/>
  <c r="AG215" i="4"/>
  <c r="AI215" i="4"/>
  <c r="AK215" i="4"/>
  <c r="AM215" i="4"/>
  <c r="AN215" i="4"/>
  <c r="A216" i="4"/>
  <c r="B216" i="4"/>
  <c r="C216" i="4"/>
  <c r="D216" i="4"/>
  <c r="E216" i="4"/>
  <c r="G216" i="4"/>
  <c r="K216" i="4"/>
  <c r="O216" i="4"/>
  <c r="U216" i="4"/>
  <c r="Y216" i="4"/>
  <c r="AB216" i="4"/>
  <c r="AF216" i="4"/>
  <c r="AK216" i="4"/>
  <c r="AM216" i="4"/>
  <c r="A217" i="4"/>
  <c r="B217" i="4"/>
  <c r="C217" i="4"/>
  <c r="D217" i="4"/>
  <c r="E217" i="4"/>
  <c r="G217" i="4"/>
  <c r="H217" i="4"/>
  <c r="I217" i="4"/>
  <c r="K217" i="4"/>
  <c r="L217" i="4"/>
  <c r="M217" i="4"/>
  <c r="O217" i="4"/>
  <c r="P217" i="4"/>
  <c r="Q217" i="4"/>
  <c r="R217" i="4"/>
  <c r="U217" i="4"/>
  <c r="V217" i="4"/>
  <c r="W217" i="4"/>
  <c r="Y217" i="4"/>
  <c r="Z217" i="4"/>
  <c r="AB217" i="4"/>
  <c r="AC217" i="4"/>
  <c r="AD217" i="4"/>
  <c r="AF217" i="4"/>
  <c r="AG217" i="4"/>
  <c r="AI217" i="4"/>
  <c r="AK217" i="4"/>
  <c r="AM217" i="4"/>
  <c r="AN217" i="4"/>
  <c r="A218" i="4"/>
  <c r="B218" i="4"/>
  <c r="C218" i="4"/>
  <c r="D218" i="4"/>
  <c r="E218" i="4"/>
  <c r="G218" i="4"/>
  <c r="H218" i="4"/>
  <c r="I218" i="4"/>
  <c r="K218" i="4"/>
  <c r="L218" i="4"/>
  <c r="M218" i="4"/>
  <c r="O218" i="4"/>
  <c r="P218" i="4"/>
  <c r="Q218" i="4"/>
  <c r="R218" i="4"/>
  <c r="U218" i="4"/>
  <c r="V218" i="4"/>
  <c r="W218" i="4"/>
  <c r="Y218" i="4"/>
  <c r="Z218" i="4"/>
  <c r="AB218" i="4"/>
  <c r="AC218" i="4"/>
  <c r="AD218" i="4"/>
  <c r="AF218" i="4"/>
  <c r="AG218" i="4"/>
  <c r="AI218" i="4"/>
  <c r="AK218" i="4"/>
  <c r="AM218" i="4"/>
  <c r="AN218" i="4"/>
  <c r="A219" i="4"/>
  <c r="B219" i="4"/>
  <c r="C219" i="4"/>
  <c r="D219" i="4"/>
  <c r="E219" i="4"/>
  <c r="G219" i="4"/>
  <c r="H219" i="4"/>
  <c r="I219" i="4"/>
  <c r="K219" i="4"/>
  <c r="L219" i="4"/>
  <c r="M219" i="4"/>
  <c r="O219" i="4"/>
  <c r="P219" i="4"/>
  <c r="Q219" i="4"/>
  <c r="R219" i="4"/>
  <c r="U219" i="4"/>
  <c r="V219" i="4"/>
  <c r="W219" i="4"/>
  <c r="Y219" i="4"/>
  <c r="Z219" i="4"/>
  <c r="AB219" i="4"/>
  <c r="AC219" i="4"/>
  <c r="AD219" i="4"/>
  <c r="AF219" i="4"/>
  <c r="AG219" i="4"/>
  <c r="AI219" i="4"/>
  <c r="AK219" i="4"/>
  <c r="AM219" i="4"/>
  <c r="AN219" i="4"/>
  <c r="A220" i="4"/>
  <c r="B220" i="4"/>
  <c r="C220" i="4"/>
  <c r="D220" i="4"/>
  <c r="E220" i="4"/>
  <c r="G220" i="4"/>
  <c r="H220" i="4"/>
  <c r="I220" i="4"/>
  <c r="K220" i="4"/>
  <c r="L220" i="4"/>
  <c r="M220" i="4"/>
  <c r="O220" i="4"/>
  <c r="P220" i="4"/>
  <c r="Q220" i="4"/>
  <c r="R220" i="4"/>
  <c r="U220" i="4"/>
  <c r="V220" i="4"/>
  <c r="W220" i="4"/>
  <c r="Y220" i="4"/>
  <c r="Z220" i="4"/>
  <c r="AB220" i="4"/>
  <c r="AC220" i="4"/>
  <c r="AD220" i="4"/>
  <c r="AF220" i="4"/>
  <c r="AG220" i="4"/>
  <c r="AI220" i="4"/>
  <c r="AK220" i="4"/>
  <c r="AM220" i="4"/>
  <c r="AN220" i="4"/>
  <c r="A221" i="4"/>
  <c r="B221" i="4"/>
  <c r="C221" i="4"/>
  <c r="D221" i="4"/>
  <c r="E221" i="4"/>
  <c r="G221" i="4"/>
  <c r="H221" i="4"/>
  <c r="I221" i="4"/>
  <c r="K221" i="4"/>
  <c r="L221" i="4"/>
  <c r="M221" i="4"/>
  <c r="O221" i="4"/>
  <c r="P221" i="4"/>
  <c r="Q221" i="4"/>
  <c r="R221" i="4"/>
  <c r="U221" i="4"/>
  <c r="V221" i="4"/>
  <c r="W221" i="4"/>
  <c r="Y221" i="4"/>
  <c r="Z221" i="4"/>
  <c r="AB221" i="4"/>
  <c r="AC221" i="4"/>
  <c r="AD221" i="4"/>
  <c r="AF221" i="4"/>
  <c r="AG221" i="4"/>
  <c r="AI221" i="4"/>
  <c r="AK221" i="4"/>
  <c r="AM221" i="4"/>
  <c r="AN221" i="4"/>
  <c r="A222" i="4"/>
  <c r="B222" i="4"/>
  <c r="C222" i="4"/>
  <c r="D222" i="4"/>
  <c r="E222" i="4"/>
  <c r="G222" i="4"/>
  <c r="H222" i="4"/>
  <c r="I222" i="4"/>
  <c r="K222" i="4"/>
  <c r="L222" i="4"/>
  <c r="M222" i="4"/>
  <c r="O222" i="4"/>
  <c r="P222" i="4"/>
  <c r="Q222" i="4"/>
  <c r="R222" i="4"/>
  <c r="U222" i="4"/>
  <c r="V222" i="4"/>
  <c r="W222" i="4"/>
  <c r="Y222" i="4"/>
  <c r="Z222" i="4"/>
  <c r="AB222" i="4"/>
  <c r="AC222" i="4"/>
  <c r="AD222" i="4"/>
  <c r="AF222" i="4"/>
  <c r="AG222" i="4"/>
  <c r="AI222" i="4"/>
  <c r="AK222" i="4"/>
  <c r="AM222" i="4"/>
  <c r="AN222" i="4"/>
  <c r="A223" i="4"/>
  <c r="B223" i="4"/>
  <c r="C223" i="4"/>
  <c r="D223" i="4"/>
  <c r="E223" i="4"/>
  <c r="G223" i="4"/>
  <c r="K223" i="4"/>
  <c r="O223" i="4"/>
  <c r="U223" i="4"/>
  <c r="Y223" i="4"/>
  <c r="AB223" i="4"/>
  <c r="AF223" i="4"/>
  <c r="AK223" i="4"/>
  <c r="AM223" i="4"/>
  <c r="A224" i="4"/>
  <c r="B224" i="4"/>
  <c r="C224" i="4"/>
  <c r="D224" i="4"/>
  <c r="E224" i="4"/>
  <c r="G224" i="4"/>
  <c r="H224" i="4"/>
  <c r="I224" i="4"/>
  <c r="K224" i="4"/>
  <c r="L224" i="4"/>
  <c r="M224" i="4"/>
  <c r="O224" i="4"/>
  <c r="P224" i="4"/>
  <c r="Q224" i="4"/>
  <c r="R224" i="4"/>
  <c r="U224" i="4"/>
  <c r="V224" i="4"/>
  <c r="W224" i="4"/>
  <c r="Y224" i="4"/>
  <c r="Z224" i="4"/>
  <c r="AB224" i="4"/>
  <c r="AC224" i="4"/>
  <c r="AD224" i="4"/>
  <c r="AF224" i="4"/>
  <c r="AG224" i="4"/>
  <c r="AI224" i="4"/>
  <c r="AK224" i="4"/>
  <c r="AM224" i="4"/>
  <c r="AN224" i="4"/>
  <c r="A225" i="4"/>
  <c r="B225" i="4"/>
  <c r="C225" i="4"/>
  <c r="D225" i="4"/>
  <c r="E225" i="4"/>
  <c r="G225" i="4"/>
  <c r="H225" i="4"/>
  <c r="I225" i="4"/>
  <c r="K225" i="4"/>
  <c r="L225" i="4"/>
  <c r="M225" i="4"/>
  <c r="O225" i="4"/>
  <c r="P225" i="4"/>
  <c r="Q225" i="4"/>
  <c r="R225" i="4"/>
  <c r="U225" i="4"/>
  <c r="V225" i="4"/>
  <c r="W225" i="4"/>
  <c r="Y225" i="4"/>
  <c r="Z225" i="4"/>
  <c r="AB225" i="4"/>
  <c r="AC225" i="4"/>
  <c r="AD225" i="4"/>
  <c r="AF225" i="4"/>
  <c r="AG225" i="4"/>
  <c r="AI225" i="4"/>
  <c r="AK225" i="4"/>
  <c r="AM225" i="4"/>
  <c r="AN225" i="4"/>
  <c r="A226" i="4"/>
  <c r="B226" i="4"/>
  <c r="C226" i="4"/>
  <c r="D226" i="4"/>
  <c r="E226" i="4"/>
  <c r="G226" i="4"/>
  <c r="K226" i="4"/>
  <c r="O226" i="4"/>
  <c r="U226" i="4"/>
  <c r="Y226" i="4"/>
  <c r="AB226" i="4"/>
  <c r="AF226" i="4"/>
  <c r="AK226" i="4"/>
  <c r="AM226" i="4"/>
  <c r="A227" i="4"/>
  <c r="B227" i="4"/>
  <c r="C227" i="4"/>
  <c r="D227" i="4"/>
  <c r="E227" i="4"/>
  <c r="G227" i="4"/>
  <c r="H227" i="4"/>
  <c r="I227" i="4"/>
  <c r="K227" i="4"/>
  <c r="L227" i="4"/>
  <c r="M227" i="4"/>
  <c r="O227" i="4"/>
  <c r="P227" i="4"/>
  <c r="Q227" i="4"/>
  <c r="R227" i="4"/>
  <c r="U227" i="4"/>
  <c r="V227" i="4"/>
  <c r="W227" i="4"/>
  <c r="Y227" i="4"/>
  <c r="Z227" i="4"/>
  <c r="AB227" i="4"/>
  <c r="AC227" i="4"/>
  <c r="AD227" i="4"/>
  <c r="AF227" i="4"/>
  <c r="AG227" i="4"/>
  <c r="AI227" i="4"/>
  <c r="AK227" i="4"/>
  <c r="AM227" i="4"/>
  <c r="AN227" i="4"/>
  <c r="A228" i="4"/>
  <c r="B228" i="4"/>
  <c r="C228" i="4"/>
  <c r="D228" i="4"/>
  <c r="E228" i="4"/>
  <c r="G228" i="4"/>
  <c r="H228" i="4"/>
  <c r="I228" i="4"/>
  <c r="K228" i="4"/>
  <c r="L228" i="4"/>
  <c r="M228" i="4"/>
  <c r="O228" i="4"/>
  <c r="P228" i="4"/>
  <c r="Q228" i="4"/>
  <c r="R228" i="4"/>
  <c r="U228" i="4"/>
  <c r="V228" i="4"/>
  <c r="W228" i="4"/>
  <c r="Y228" i="4"/>
  <c r="Z228" i="4"/>
  <c r="AB228" i="4"/>
  <c r="AC228" i="4"/>
  <c r="AD228" i="4"/>
  <c r="AF228" i="4"/>
  <c r="AG228" i="4"/>
  <c r="AI228" i="4"/>
  <c r="AK228" i="4"/>
  <c r="AM228" i="4"/>
  <c r="AN228" i="4"/>
  <c r="A229" i="4"/>
  <c r="B229" i="4"/>
  <c r="C229" i="4"/>
  <c r="D229" i="4"/>
  <c r="E229" i="4"/>
  <c r="G229" i="4"/>
  <c r="H229" i="4"/>
  <c r="I229" i="4"/>
  <c r="K229" i="4"/>
  <c r="L229" i="4"/>
  <c r="M229" i="4"/>
  <c r="O229" i="4"/>
  <c r="P229" i="4"/>
  <c r="Q229" i="4"/>
  <c r="R229" i="4"/>
  <c r="U229" i="4"/>
  <c r="V229" i="4"/>
  <c r="W229" i="4"/>
  <c r="Y229" i="4"/>
  <c r="Z229" i="4"/>
  <c r="AB229" i="4"/>
  <c r="AC229" i="4"/>
  <c r="AD229" i="4"/>
  <c r="AF229" i="4"/>
  <c r="AG229" i="4"/>
  <c r="AI229" i="4"/>
  <c r="AK229" i="4"/>
  <c r="AM229" i="4"/>
  <c r="AN229" i="4"/>
  <c r="A230" i="4"/>
  <c r="B230" i="4"/>
  <c r="C230" i="4"/>
  <c r="D230" i="4"/>
  <c r="E230" i="4"/>
  <c r="G230" i="4"/>
  <c r="H230" i="4"/>
  <c r="I230" i="4"/>
  <c r="K230" i="4"/>
  <c r="L230" i="4"/>
  <c r="M230" i="4"/>
  <c r="O230" i="4"/>
  <c r="P230" i="4"/>
  <c r="Q230" i="4"/>
  <c r="R230" i="4"/>
  <c r="U230" i="4"/>
  <c r="V230" i="4"/>
  <c r="W230" i="4"/>
  <c r="Y230" i="4"/>
  <c r="Z230" i="4"/>
  <c r="AB230" i="4"/>
  <c r="AC230" i="4"/>
  <c r="AD230" i="4"/>
  <c r="AF230" i="4"/>
  <c r="AG230" i="4"/>
  <c r="AI230" i="4"/>
  <c r="AK230" i="4"/>
  <c r="AM230" i="4"/>
  <c r="AN230" i="4"/>
  <c r="A231" i="4"/>
  <c r="B231" i="4"/>
  <c r="C231" i="4"/>
  <c r="D231" i="4"/>
  <c r="E231" i="4"/>
  <c r="G231" i="4"/>
  <c r="H231" i="4"/>
  <c r="I231" i="4"/>
  <c r="K231" i="4"/>
  <c r="L231" i="4"/>
  <c r="M231" i="4"/>
  <c r="O231" i="4"/>
  <c r="P231" i="4"/>
  <c r="Q231" i="4"/>
  <c r="R231" i="4"/>
  <c r="U231" i="4"/>
  <c r="V231" i="4"/>
  <c r="W231" i="4"/>
  <c r="Y231" i="4"/>
  <c r="Z231" i="4"/>
  <c r="AB231" i="4"/>
  <c r="AC231" i="4"/>
  <c r="AD231" i="4"/>
  <c r="AF231" i="4"/>
  <c r="AG231" i="4"/>
  <c r="AI231" i="4"/>
  <c r="AK231" i="4"/>
  <c r="AM231" i="4"/>
  <c r="AN231" i="4"/>
  <c r="A232" i="4"/>
  <c r="B232" i="4"/>
  <c r="C232" i="4"/>
  <c r="D232" i="4"/>
  <c r="E232" i="4"/>
  <c r="G232" i="4"/>
  <c r="H232" i="4"/>
  <c r="I232" i="4"/>
  <c r="K232" i="4"/>
  <c r="L232" i="4"/>
  <c r="M232" i="4"/>
  <c r="O232" i="4"/>
  <c r="P232" i="4"/>
  <c r="Q232" i="4"/>
  <c r="R232" i="4"/>
  <c r="U232" i="4"/>
  <c r="V232" i="4"/>
  <c r="W232" i="4"/>
  <c r="Y232" i="4"/>
  <c r="Z232" i="4"/>
  <c r="AB232" i="4"/>
  <c r="AC232" i="4"/>
  <c r="AD232" i="4"/>
  <c r="AF232" i="4"/>
  <c r="AG232" i="4"/>
  <c r="AI232" i="4"/>
  <c r="AK232" i="4"/>
  <c r="AM232" i="4"/>
  <c r="AN232" i="4"/>
  <c r="A233" i="4"/>
  <c r="B233" i="4"/>
  <c r="C233" i="4"/>
  <c r="D233" i="4"/>
  <c r="E233" i="4"/>
  <c r="G233" i="4"/>
  <c r="H233" i="4"/>
  <c r="I233" i="4"/>
  <c r="K233" i="4"/>
  <c r="L233" i="4"/>
  <c r="M233" i="4"/>
  <c r="O233" i="4"/>
  <c r="P233" i="4"/>
  <c r="Q233" i="4"/>
  <c r="R233" i="4"/>
  <c r="U233" i="4"/>
  <c r="V233" i="4"/>
  <c r="W233" i="4"/>
  <c r="Y233" i="4"/>
  <c r="Z233" i="4"/>
  <c r="AB233" i="4"/>
  <c r="AC233" i="4"/>
  <c r="AD233" i="4"/>
  <c r="AF233" i="4"/>
  <c r="AG233" i="4"/>
  <c r="AI233" i="4"/>
  <c r="AK233" i="4"/>
  <c r="AM233" i="4"/>
  <c r="AN233" i="4"/>
  <c r="A234" i="4"/>
  <c r="B234" i="4"/>
  <c r="C234" i="4"/>
  <c r="D234" i="4"/>
  <c r="E234" i="4"/>
  <c r="G234" i="4"/>
  <c r="H234" i="4"/>
  <c r="I234" i="4"/>
  <c r="K234" i="4"/>
  <c r="L234" i="4"/>
  <c r="M234" i="4"/>
  <c r="O234" i="4"/>
  <c r="P234" i="4"/>
  <c r="Q234" i="4"/>
  <c r="R234" i="4"/>
  <c r="U234" i="4"/>
  <c r="V234" i="4"/>
  <c r="W234" i="4"/>
  <c r="Y234" i="4"/>
  <c r="Z234" i="4"/>
  <c r="AB234" i="4"/>
  <c r="AC234" i="4"/>
  <c r="AD234" i="4"/>
  <c r="AF234" i="4"/>
  <c r="AG234" i="4"/>
  <c r="AI234" i="4"/>
  <c r="AK234" i="4"/>
  <c r="AM234" i="4"/>
  <c r="AN234" i="4"/>
  <c r="A235" i="4"/>
  <c r="B235" i="4"/>
  <c r="C235" i="4"/>
  <c r="D235" i="4"/>
  <c r="E235" i="4"/>
  <c r="G235" i="4"/>
  <c r="H235" i="4"/>
  <c r="I235" i="4"/>
  <c r="K235" i="4"/>
  <c r="L235" i="4"/>
  <c r="M235" i="4"/>
  <c r="O235" i="4"/>
  <c r="P235" i="4"/>
  <c r="Q235" i="4"/>
  <c r="R235" i="4"/>
  <c r="U235" i="4"/>
  <c r="V235" i="4"/>
  <c r="W235" i="4"/>
  <c r="Y235" i="4"/>
  <c r="Z235" i="4"/>
  <c r="AB235" i="4"/>
  <c r="AC235" i="4"/>
  <c r="AD235" i="4"/>
  <c r="AF235" i="4"/>
  <c r="AG235" i="4"/>
  <c r="AI235" i="4"/>
  <c r="AK235" i="4"/>
  <c r="AM235" i="4"/>
  <c r="AN235" i="4"/>
  <c r="A236" i="4"/>
  <c r="B236" i="4"/>
  <c r="C236" i="4"/>
  <c r="D236" i="4"/>
  <c r="E236" i="4"/>
  <c r="G236" i="4"/>
  <c r="H236" i="4"/>
  <c r="I236" i="4"/>
  <c r="K236" i="4"/>
  <c r="L236" i="4"/>
  <c r="M236" i="4"/>
  <c r="O236" i="4"/>
  <c r="P236" i="4"/>
  <c r="Q236" i="4"/>
  <c r="R236" i="4"/>
  <c r="U236" i="4"/>
  <c r="V236" i="4"/>
  <c r="W236" i="4"/>
  <c r="Y236" i="4"/>
  <c r="Z236" i="4"/>
  <c r="AB236" i="4"/>
  <c r="AC236" i="4"/>
  <c r="AD236" i="4"/>
  <c r="AF236" i="4"/>
  <c r="AG236" i="4"/>
  <c r="AI236" i="4"/>
  <c r="AK236" i="4"/>
  <c r="AM236" i="4"/>
  <c r="AN236" i="4"/>
  <c r="A237" i="4"/>
  <c r="B237" i="4"/>
  <c r="C237" i="4"/>
  <c r="D237" i="4"/>
  <c r="E237" i="4"/>
  <c r="G237" i="4"/>
  <c r="H237" i="4"/>
  <c r="I237" i="4"/>
  <c r="K237" i="4"/>
  <c r="L237" i="4"/>
  <c r="M237" i="4"/>
  <c r="O237" i="4"/>
  <c r="P237" i="4"/>
  <c r="Q237" i="4"/>
  <c r="R237" i="4"/>
  <c r="U237" i="4"/>
  <c r="V237" i="4"/>
  <c r="W237" i="4"/>
  <c r="Y237" i="4"/>
  <c r="Z237" i="4"/>
  <c r="AB237" i="4"/>
  <c r="AC237" i="4"/>
  <c r="AD237" i="4"/>
  <c r="AF237" i="4"/>
  <c r="AG237" i="4"/>
  <c r="AI237" i="4"/>
  <c r="AK237" i="4"/>
  <c r="AM237" i="4"/>
  <c r="AN237" i="4"/>
  <c r="A238" i="4"/>
  <c r="B238" i="4"/>
  <c r="C238" i="4"/>
  <c r="D238" i="4"/>
  <c r="E238" i="4"/>
  <c r="G238" i="4"/>
  <c r="H238" i="4"/>
  <c r="I238" i="4"/>
  <c r="K238" i="4"/>
  <c r="L238" i="4"/>
  <c r="M238" i="4"/>
  <c r="O238" i="4"/>
  <c r="P238" i="4"/>
  <c r="Q238" i="4"/>
  <c r="R238" i="4"/>
  <c r="U238" i="4"/>
  <c r="V238" i="4"/>
  <c r="W238" i="4"/>
  <c r="Y238" i="4"/>
  <c r="Z238" i="4"/>
  <c r="AB238" i="4"/>
  <c r="AC238" i="4"/>
  <c r="AD238" i="4"/>
  <c r="AF238" i="4"/>
  <c r="AG238" i="4"/>
  <c r="AI238" i="4"/>
  <c r="AK238" i="4"/>
  <c r="AM238" i="4"/>
  <c r="AN238" i="4"/>
  <c r="A239" i="4"/>
  <c r="B239" i="4"/>
  <c r="C239" i="4"/>
  <c r="D239" i="4"/>
  <c r="E239" i="4"/>
  <c r="G239" i="4"/>
  <c r="H239" i="4"/>
  <c r="I239" i="4"/>
  <c r="K239" i="4"/>
  <c r="L239" i="4"/>
  <c r="M239" i="4"/>
  <c r="O239" i="4"/>
  <c r="P239" i="4"/>
  <c r="Q239" i="4"/>
  <c r="R239" i="4"/>
  <c r="U239" i="4"/>
  <c r="V239" i="4"/>
  <c r="W239" i="4"/>
  <c r="Y239" i="4"/>
  <c r="Z239" i="4"/>
  <c r="AB239" i="4"/>
  <c r="AC239" i="4"/>
  <c r="AD239" i="4"/>
  <c r="AF239" i="4"/>
  <c r="AG239" i="4"/>
  <c r="AI239" i="4"/>
  <c r="AK239" i="4"/>
  <c r="AM239" i="4"/>
  <c r="AN239" i="4"/>
  <c r="A240" i="4"/>
  <c r="B240" i="4"/>
  <c r="C240" i="4"/>
  <c r="D240" i="4"/>
  <c r="E240" i="4"/>
  <c r="G240" i="4"/>
  <c r="H240" i="4"/>
  <c r="I240" i="4"/>
  <c r="K240" i="4"/>
  <c r="L240" i="4"/>
  <c r="M240" i="4"/>
  <c r="O240" i="4"/>
  <c r="P240" i="4"/>
  <c r="Q240" i="4"/>
  <c r="R240" i="4"/>
  <c r="U240" i="4"/>
  <c r="V240" i="4"/>
  <c r="W240" i="4"/>
  <c r="Y240" i="4"/>
  <c r="Z240" i="4"/>
  <c r="AB240" i="4"/>
  <c r="AC240" i="4"/>
  <c r="AD240" i="4"/>
  <c r="AF240" i="4"/>
  <c r="AG240" i="4"/>
  <c r="AI240" i="4"/>
  <c r="AK240" i="4"/>
  <c r="AM240" i="4"/>
  <c r="AN240" i="4"/>
  <c r="A241" i="4"/>
  <c r="B241" i="4"/>
  <c r="C241" i="4"/>
  <c r="D241" i="4"/>
  <c r="E241" i="4"/>
  <c r="G241" i="4"/>
  <c r="H241" i="4"/>
  <c r="I241" i="4"/>
  <c r="K241" i="4"/>
  <c r="L241" i="4"/>
  <c r="M241" i="4"/>
  <c r="O241" i="4"/>
  <c r="P241" i="4"/>
  <c r="Q241" i="4"/>
  <c r="R241" i="4"/>
  <c r="U241" i="4"/>
  <c r="V241" i="4"/>
  <c r="W241" i="4"/>
  <c r="Y241" i="4"/>
  <c r="Z241" i="4"/>
  <c r="AB241" i="4"/>
  <c r="AC241" i="4"/>
  <c r="AD241" i="4"/>
  <c r="AF241" i="4"/>
  <c r="AG241" i="4"/>
  <c r="AI241" i="4"/>
  <c r="AK241" i="4"/>
  <c r="AM241" i="4"/>
  <c r="AN241" i="4"/>
  <c r="A242" i="4"/>
  <c r="B242" i="4"/>
  <c r="C242" i="4"/>
  <c r="D242" i="4"/>
  <c r="E242" i="4"/>
  <c r="G242" i="4"/>
  <c r="K242" i="4"/>
  <c r="O242" i="4"/>
  <c r="U242" i="4"/>
  <c r="Y242" i="4"/>
  <c r="AB242" i="4"/>
  <c r="AF242" i="4"/>
  <c r="AK242" i="4"/>
  <c r="AM242" i="4"/>
  <c r="A243" i="4"/>
  <c r="B243" i="4"/>
  <c r="C243" i="4"/>
  <c r="D243" i="4"/>
  <c r="E243" i="4"/>
  <c r="G243" i="4"/>
  <c r="H243" i="4"/>
  <c r="I243" i="4"/>
  <c r="K243" i="4"/>
  <c r="L243" i="4"/>
  <c r="M243" i="4"/>
  <c r="O243" i="4"/>
  <c r="P243" i="4"/>
  <c r="Q243" i="4"/>
  <c r="R243" i="4"/>
  <c r="U243" i="4"/>
  <c r="V243" i="4"/>
  <c r="W243" i="4"/>
  <c r="Y243" i="4"/>
  <c r="Z243" i="4"/>
  <c r="AB243" i="4"/>
  <c r="AC243" i="4"/>
  <c r="AD243" i="4"/>
  <c r="AF243" i="4"/>
  <c r="AG243" i="4"/>
  <c r="AI243" i="4"/>
  <c r="AK243" i="4"/>
  <c r="AM243" i="4"/>
  <c r="AN243" i="4"/>
  <c r="A244" i="4"/>
  <c r="B244" i="4"/>
  <c r="C244" i="4"/>
  <c r="D244" i="4"/>
  <c r="E244" i="4"/>
  <c r="G244" i="4"/>
  <c r="H244" i="4"/>
  <c r="I244" i="4"/>
  <c r="K244" i="4"/>
  <c r="L244" i="4"/>
  <c r="M244" i="4"/>
  <c r="O244" i="4"/>
  <c r="P244" i="4"/>
  <c r="Q244" i="4"/>
  <c r="R244" i="4"/>
  <c r="U244" i="4"/>
  <c r="V244" i="4"/>
  <c r="W244" i="4"/>
  <c r="Y244" i="4"/>
  <c r="Z244" i="4"/>
  <c r="AB244" i="4"/>
  <c r="AC244" i="4"/>
  <c r="AD244" i="4"/>
  <c r="AF244" i="4"/>
  <c r="AG244" i="4"/>
  <c r="AI244" i="4"/>
  <c r="AK244" i="4"/>
  <c r="AM244" i="4"/>
  <c r="AN244" i="4"/>
  <c r="A245" i="4"/>
  <c r="B245" i="4"/>
  <c r="C245" i="4"/>
  <c r="D245" i="4"/>
  <c r="E245" i="4"/>
  <c r="G245" i="4"/>
  <c r="H245" i="4"/>
  <c r="I245" i="4"/>
  <c r="K245" i="4"/>
  <c r="L245" i="4"/>
  <c r="M245" i="4"/>
  <c r="O245" i="4"/>
  <c r="P245" i="4"/>
  <c r="Q245" i="4"/>
  <c r="R245" i="4"/>
  <c r="U245" i="4"/>
  <c r="V245" i="4"/>
  <c r="W245" i="4"/>
  <c r="Y245" i="4"/>
  <c r="Z245" i="4"/>
  <c r="AB245" i="4"/>
  <c r="AC245" i="4"/>
  <c r="AD245" i="4"/>
  <c r="AF245" i="4"/>
  <c r="AG245" i="4"/>
  <c r="AI245" i="4"/>
  <c r="AK245" i="4"/>
  <c r="AM245" i="4"/>
  <c r="AN245" i="4"/>
  <c r="A246" i="4"/>
  <c r="B246" i="4"/>
  <c r="C246" i="4"/>
  <c r="D246" i="4"/>
  <c r="E246" i="4"/>
  <c r="G246" i="4"/>
  <c r="H246" i="4"/>
  <c r="I246" i="4"/>
  <c r="K246" i="4"/>
  <c r="L246" i="4"/>
  <c r="M246" i="4"/>
  <c r="O246" i="4"/>
  <c r="P246" i="4"/>
  <c r="Q246" i="4"/>
  <c r="R246" i="4"/>
  <c r="U246" i="4"/>
  <c r="V246" i="4"/>
  <c r="W246" i="4"/>
  <c r="Y246" i="4"/>
  <c r="Z246" i="4"/>
  <c r="AB246" i="4"/>
  <c r="AC246" i="4"/>
  <c r="AD246" i="4"/>
  <c r="AF246" i="4"/>
  <c r="AG246" i="4"/>
  <c r="AI246" i="4"/>
  <c r="AK246" i="4"/>
  <c r="AM246" i="4"/>
  <c r="AN246" i="4"/>
  <c r="A247" i="4"/>
  <c r="B247" i="4"/>
  <c r="C247" i="4"/>
  <c r="D247" i="4"/>
  <c r="E247" i="4"/>
  <c r="G247" i="4"/>
  <c r="H247" i="4"/>
  <c r="I247" i="4"/>
  <c r="K247" i="4"/>
  <c r="L247" i="4"/>
  <c r="M247" i="4"/>
  <c r="O247" i="4"/>
  <c r="P247" i="4"/>
  <c r="Q247" i="4"/>
  <c r="R247" i="4"/>
  <c r="U247" i="4"/>
  <c r="V247" i="4"/>
  <c r="W247" i="4"/>
  <c r="Y247" i="4"/>
  <c r="Z247" i="4"/>
  <c r="AB247" i="4"/>
  <c r="AC247" i="4"/>
  <c r="AD247" i="4"/>
  <c r="AF247" i="4"/>
  <c r="AG247" i="4"/>
  <c r="AI247" i="4"/>
  <c r="AK247" i="4"/>
  <c r="AM247" i="4"/>
  <c r="AN247" i="4"/>
  <c r="A248" i="4"/>
  <c r="B248" i="4"/>
  <c r="C248" i="4"/>
  <c r="D248" i="4"/>
  <c r="E248" i="4"/>
  <c r="G248" i="4"/>
  <c r="H248" i="4"/>
  <c r="I248" i="4"/>
  <c r="K248" i="4"/>
  <c r="L248" i="4"/>
  <c r="M248" i="4"/>
  <c r="O248" i="4"/>
  <c r="P248" i="4"/>
  <c r="Q248" i="4"/>
  <c r="R248" i="4"/>
  <c r="U248" i="4"/>
  <c r="V248" i="4"/>
  <c r="W248" i="4"/>
  <c r="Y248" i="4"/>
  <c r="Z248" i="4"/>
  <c r="AB248" i="4"/>
  <c r="AC248" i="4"/>
  <c r="AD248" i="4"/>
  <c r="AF248" i="4"/>
  <c r="AG248" i="4"/>
  <c r="AI248" i="4"/>
  <c r="AK248" i="4"/>
  <c r="AM248" i="4"/>
  <c r="AN248" i="4"/>
  <c r="A249" i="4"/>
  <c r="B249" i="4"/>
  <c r="C249" i="4"/>
  <c r="D249" i="4"/>
  <c r="E249" i="4"/>
  <c r="G249" i="4"/>
  <c r="K249" i="4"/>
  <c r="O249" i="4"/>
  <c r="U249" i="4"/>
  <c r="Y249" i="4"/>
  <c r="AB249" i="4"/>
  <c r="AF249" i="4"/>
  <c r="AK249" i="4"/>
  <c r="AM249" i="4"/>
  <c r="A250" i="4"/>
  <c r="B250" i="4"/>
  <c r="C250" i="4"/>
  <c r="D250" i="4"/>
  <c r="E250" i="4"/>
  <c r="G250" i="4"/>
  <c r="H250" i="4"/>
  <c r="I250" i="4"/>
  <c r="K250" i="4"/>
  <c r="L250" i="4"/>
  <c r="M250" i="4"/>
  <c r="O250" i="4"/>
  <c r="P250" i="4"/>
  <c r="Q250" i="4"/>
  <c r="R250" i="4"/>
  <c r="U250" i="4"/>
  <c r="V250" i="4"/>
  <c r="W250" i="4"/>
  <c r="Y250" i="4"/>
  <c r="Z250" i="4"/>
  <c r="AB250" i="4"/>
  <c r="AC250" i="4"/>
  <c r="AD250" i="4"/>
  <c r="AF250" i="4"/>
  <c r="AG250" i="4"/>
  <c r="AI250" i="4"/>
  <c r="AK250" i="4"/>
  <c r="AM250" i="4"/>
  <c r="AN250" i="4"/>
  <c r="A251" i="4"/>
  <c r="B251" i="4"/>
  <c r="C251" i="4"/>
  <c r="D251" i="4"/>
  <c r="E251" i="4"/>
  <c r="G251" i="4"/>
  <c r="K251" i="4"/>
  <c r="O251" i="4"/>
  <c r="U251" i="4"/>
  <c r="Y251" i="4"/>
  <c r="AB251" i="4"/>
  <c r="AF251" i="4"/>
  <c r="AK251" i="4"/>
  <c r="AM251" i="4"/>
  <c r="A252" i="4"/>
  <c r="B252" i="4"/>
  <c r="C252" i="4"/>
  <c r="E252" i="4"/>
  <c r="G252" i="4"/>
  <c r="H252" i="4"/>
  <c r="I252" i="4"/>
  <c r="K252" i="4"/>
  <c r="L252" i="4"/>
  <c r="M252" i="4"/>
  <c r="O252" i="4"/>
  <c r="P252" i="4"/>
  <c r="Q252" i="4"/>
  <c r="R252" i="4"/>
  <c r="U252" i="4"/>
  <c r="V252" i="4"/>
  <c r="W252" i="4"/>
  <c r="Y252" i="4"/>
  <c r="Z252" i="4"/>
  <c r="AB252" i="4"/>
  <c r="AC252" i="4"/>
  <c r="AD252" i="4"/>
  <c r="AF252" i="4"/>
  <c r="AG252" i="4"/>
  <c r="AH252" i="4"/>
  <c r="AI252" i="4"/>
  <c r="AK252" i="4"/>
  <c r="AM252" i="4"/>
  <c r="AN252" i="4"/>
  <c r="A253" i="4"/>
  <c r="B253" i="4"/>
  <c r="C253" i="4"/>
  <c r="E253" i="4"/>
  <c r="G253" i="4"/>
  <c r="H253" i="4"/>
  <c r="I253" i="4"/>
  <c r="K253" i="4"/>
  <c r="L253" i="4"/>
  <c r="M253" i="4"/>
  <c r="O253" i="4"/>
  <c r="P253" i="4"/>
  <c r="Q253" i="4"/>
  <c r="R253" i="4"/>
  <c r="U253" i="4"/>
  <c r="V253" i="4"/>
  <c r="W253" i="4"/>
  <c r="Y253" i="4"/>
  <c r="Z253" i="4"/>
  <c r="AB253" i="4"/>
  <c r="AC253" i="4"/>
  <c r="AD253" i="4"/>
  <c r="AF253" i="4"/>
  <c r="AG253" i="4"/>
  <c r="AH253" i="4"/>
  <c r="AI253" i="4"/>
  <c r="AK253" i="4"/>
  <c r="AM253" i="4"/>
  <c r="AN253" i="4"/>
  <c r="A254" i="4"/>
  <c r="B254" i="4"/>
  <c r="C254" i="4"/>
  <c r="E254" i="4"/>
  <c r="G254" i="4"/>
  <c r="H254" i="4"/>
  <c r="I254" i="4"/>
  <c r="K254" i="4"/>
  <c r="L254" i="4"/>
  <c r="M254" i="4"/>
  <c r="O254" i="4"/>
  <c r="P254" i="4"/>
  <c r="Q254" i="4"/>
  <c r="R254" i="4"/>
  <c r="U254" i="4"/>
  <c r="V254" i="4"/>
  <c r="W254" i="4"/>
  <c r="Y254" i="4"/>
  <c r="Z254" i="4"/>
  <c r="AB254" i="4"/>
  <c r="AC254" i="4"/>
  <c r="AD254" i="4"/>
  <c r="AF254" i="4"/>
  <c r="AG254" i="4"/>
  <c r="AH254" i="4"/>
  <c r="AI254" i="4"/>
  <c r="AK254" i="4"/>
  <c r="AM254" i="4"/>
  <c r="AN254" i="4"/>
  <c r="A255" i="4"/>
  <c r="B255" i="4"/>
  <c r="C255" i="4"/>
  <c r="E255" i="4"/>
  <c r="G255" i="4"/>
  <c r="H255" i="4"/>
  <c r="I255" i="4"/>
  <c r="K255" i="4"/>
  <c r="L255" i="4"/>
  <c r="M255" i="4"/>
  <c r="O255" i="4"/>
  <c r="P255" i="4"/>
  <c r="Q255" i="4"/>
  <c r="R255" i="4"/>
  <c r="U255" i="4"/>
  <c r="V255" i="4"/>
  <c r="W255" i="4"/>
  <c r="Y255" i="4"/>
  <c r="Z255" i="4"/>
  <c r="AB255" i="4"/>
  <c r="AC255" i="4"/>
  <c r="AD255" i="4"/>
  <c r="AF255" i="4"/>
  <c r="AG255" i="4"/>
  <c r="AH255" i="4"/>
  <c r="AI255" i="4"/>
  <c r="AK255" i="4"/>
  <c r="AM255" i="4"/>
  <c r="AN255" i="4"/>
  <c r="A256" i="4"/>
  <c r="B256" i="4"/>
  <c r="C256" i="4"/>
  <c r="E256" i="4"/>
  <c r="G256" i="4"/>
  <c r="H256" i="4"/>
  <c r="I256" i="4"/>
  <c r="K256" i="4"/>
  <c r="L256" i="4"/>
  <c r="M256" i="4"/>
  <c r="O256" i="4"/>
  <c r="P256" i="4"/>
  <c r="Q256" i="4"/>
  <c r="R256" i="4"/>
  <c r="U256" i="4"/>
  <c r="V256" i="4"/>
  <c r="W256" i="4"/>
  <c r="Y256" i="4"/>
  <c r="Z256" i="4"/>
  <c r="AB256" i="4"/>
  <c r="AC256" i="4"/>
  <c r="AD256" i="4"/>
  <c r="AF256" i="4"/>
  <c r="AG256" i="4"/>
  <c r="AH256" i="4"/>
  <c r="AI256" i="4"/>
  <c r="AK256" i="4"/>
  <c r="AM256" i="4"/>
  <c r="AN256" i="4"/>
  <c r="A257" i="4"/>
  <c r="B257" i="4"/>
  <c r="C257" i="4"/>
  <c r="E257" i="4"/>
  <c r="G257" i="4"/>
  <c r="H257" i="4"/>
  <c r="I257" i="4"/>
  <c r="K257" i="4"/>
  <c r="L257" i="4"/>
  <c r="M257" i="4"/>
  <c r="O257" i="4"/>
  <c r="P257" i="4"/>
  <c r="Q257" i="4"/>
  <c r="R257" i="4"/>
  <c r="U257" i="4"/>
  <c r="V257" i="4"/>
  <c r="W257" i="4"/>
  <c r="Y257" i="4"/>
  <c r="Z257" i="4"/>
  <c r="AB257" i="4"/>
  <c r="AC257" i="4"/>
  <c r="AD257" i="4"/>
  <c r="AF257" i="4"/>
  <c r="AG257" i="4"/>
  <c r="AH257" i="4"/>
  <c r="AI257" i="4"/>
  <c r="AK257" i="4"/>
  <c r="AM257" i="4"/>
  <c r="AN257" i="4"/>
  <c r="A258" i="4"/>
  <c r="B258" i="4"/>
  <c r="C258" i="4"/>
  <c r="D258" i="4"/>
  <c r="E258" i="4"/>
  <c r="G258" i="4"/>
  <c r="H258" i="4"/>
  <c r="I258" i="4"/>
  <c r="K258" i="4"/>
  <c r="L258" i="4"/>
  <c r="M258" i="4"/>
  <c r="O258" i="4"/>
  <c r="P258" i="4"/>
  <c r="Q258" i="4"/>
  <c r="R258" i="4"/>
  <c r="U258" i="4"/>
  <c r="V258" i="4"/>
  <c r="W258" i="4"/>
  <c r="Y258" i="4"/>
  <c r="Z258" i="4"/>
  <c r="AB258" i="4"/>
  <c r="AC258" i="4"/>
  <c r="AD258" i="4"/>
  <c r="AF258" i="4"/>
  <c r="AG258" i="4"/>
  <c r="AH258" i="4"/>
  <c r="AI258" i="4"/>
  <c r="AK258" i="4"/>
  <c r="AM258" i="4"/>
  <c r="AN258" i="4"/>
  <c r="A259" i="4"/>
  <c r="B259" i="4"/>
  <c r="C259" i="4"/>
  <c r="D259" i="4"/>
  <c r="E259" i="4"/>
  <c r="G259" i="4"/>
  <c r="H259" i="4"/>
  <c r="I259" i="4"/>
  <c r="K259" i="4"/>
  <c r="L259" i="4"/>
  <c r="M259" i="4"/>
  <c r="O259" i="4"/>
  <c r="P259" i="4"/>
  <c r="Q259" i="4"/>
  <c r="R259" i="4"/>
  <c r="U259" i="4"/>
  <c r="V259" i="4"/>
  <c r="W259" i="4"/>
  <c r="Y259" i="4"/>
  <c r="Z259" i="4"/>
  <c r="AB259" i="4"/>
  <c r="AC259" i="4"/>
  <c r="AD259" i="4"/>
  <c r="AF259" i="4"/>
  <c r="AG259" i="4"/>
  <c r="AH259" i="4"/>
  <c r="AI259" i="4"/>
  <c r="AK259" i="4"/>
  <c r="AM259" i="4"/>
  <c r="AN259" i="4"/>
  <c r="A260" i="4"/>
  <c r="B260" i="4"/>
  <c r="C260" i="4"/>
  <c r="D260" i="4"/>
  <c r="E260" i="4"/>
  <c r="G260" i="4"/>
  <c r="H260" i="4"/>
  <c r="I260" i="4"/>
  <c r="K260" i="4"/>
  <c r="L260" i="4"/>
  <c r="M260" i="4"/>
  <c r="O260" i="4"/>
  <c r="P260" i="4"/>
  <c r="Q260" i="4"/>
  <c r="R260" i="4"/>
  <c r="U260" i="4"/>
  <c r="V260" i="4"/>
  <c r="W260" i="4"/>
  <c r="Y260" i="4"/>
  <c r="Z260" i="4"/>
  <c r="AB260" i="4"/>
  <c r="AC260" i="4"/>
  <c r="AD260" i="4"/>
  <c r="AF260" i="4"/>
  <c r="AG260" i="4"/>
  <c r="AH260" i="4"/>
  <c r="AI260" i="4"/>
  <c r="AK260" i="4"/>
  <c r="AM260" i="4"/>
  <c r="AN260" i="4"/>
  <c r="A261" i="4"/>
  <c r="B261" i="4"/>
  <c r="C261" i="4"/>
  <c r="D261" i="4"/>
  <c r="E261" i="4"/>
  <c r="G261" i="4"/>
  <c r="H261" i="4"/>
  <c r="I261" i="4"/>
  <c r="K261" i="4"/>
  <c r="L261" i="4"/>
  <c r="M261" i="4"/>
  <c r="O261" i="4"/>
  <c r="P261" i="4"/>
  <c r="Q261" i="4"/>
  <c r="R261" i="4"/>
  <c r="U261" i="4"/>
  <c r="V261" i="4"/>
  <c r="W261" i="4"/>
  <c r="Y261" i="4"/>
  <c r="Z261" i="4"/>
  <c r="AB261" i="4"/>
  <c r="AC261" i="4"/>
  <c r="AD261" i="4"/>
  <c r="AF261" i="4"/>
  <c r="AG261" i="4"/>
  <c r="AH261" i="4"/>
  <c r="AI261" i="4"/>
  <c r="AK261" i="4"/>
  <c r="AM261" i="4"/>
  <c r="AN261" i="4"/>
  <c r="A262" i="4"/>
  <c r="B262" i="4"/>
  <c r="C262" i="4"/>
  <c r="D262" i="4"/>
  <c r="E262" i="4"/>
  <c r="G262" i="4"/>
  <c r="H262" i="4"/>
  <c r="I262" i="4"/>
  <c r="K262" i="4"/>
  <c r="L262" i="4"/>
  <c r="M262" i="4"/>
  <c r="O262" i="4"/>
  <c r="P262" i="4"/>
  <c r="Q262" i="4"/>
  <c r="R262" i="4"/>
  <c r="U262" i="4"/>
  <c r="V262" i="4"/>
  <c r="W262" i="4"/>
  <c r="Y262" i="4"/>
  <c r="Z262" i="4"/>
  <c r="AB262" i="4"/>
  <c r="AC262" i="4"/>
  <c r="AD262" i="4"/>
  <c r="AF262" i="4"/>
  <c r="AG262" i="4"/>
  <c r="AH262" i="4"/>
  <c r="AI262" i="4"/>
  <c r="AK262" i="4"/>
  <c r="AM262" i="4"/>
  <c r="AN262" i="4"/>
  <c r="A263" i="4"/>
  <c r="B263" i="4"/>
  <c r="C263" i="4"/>
  <c r="D263" i="4"/>
  <c r="E263" i="4"/>
  <c r="G263" i="4"/>
  <c r="H263" i="4"/>
  <c r="I263" i="4"/>
  <c r="K263" i="4"/>
  <c r="L263" i="4"/>
  <c r="M263" i="4"/>
  <c r="O263" i="4"/>
  <c r="P263" i="4"/>
  <c r="Q263" i="4"/>
  <c r="R263" i="4"/>
  <c r="U263" i="4"/>
  <c r="V263" i="4"/>
  <c r="W263" i="4"/>
  <c r="Y263" i="4"/>
  <c r="Z263" i="4"/>
  <c r="AB263" i="4"/>
  <c r="AC263" i="4"/>
  <c r="AD263" i="4"/>
  <c r="AF263" i="4"/>
  <c r="AG263" i="4"/>
  <c r="AH263" i="4"/>
  <c r="AI263" i="4"/>
  <c r="AK263" i="4"/>
  <c r="AM263" i="4"/>
  <c r="AN263" i="4"/>
  <c r="A264" i="4"/>
  <c r="B264" i="4"/>
  <c r="C264" i="4"/>
  <c r="D264" i="4"/>
  <c r="E264" i="4"/>
  <c r="G264" i="4"/>
  <c r="H264" i="4"/>
  <c r="I264" i="4"/>
  <c r="K264" i="4"/>
  <c r="L264" i="4"/>
  <c r="M264" i="4"/>
  <c r="O264" i="4"/>
  <c r="P264" i="4"/>
  <c r="Q264" i="4"/>
  <c r="R264" i="4"/>
  <c r="U264" i="4"/>
  <c r="V264" i="4"/>
  <c r="W264" i="4"/>
  <c r="Y264" i="4"/>
  <c r="Z264" i="4"/>
  <c r="AB264" i="4"/>
  <c r="AC264" i="4"/>
  <c r="AD264" i="4"/>
  <c r="AF264" i="4"/>
  <c r="AG264" i="4"/>
  <c r="AI264" i="4"/>
  <c r="AK264" i="4"/>
  <c r="AM264" i="4"/>
  <c r="AN264" i="4"/>
  <c r="A265" i="4"/>
  <c r="B265" i="4"/>
  <c r="C265" i="4"/>
  <c r="D265" i="4"/>
  <c r="E265" i="4"/>
  <c r="G265" i="4"/>
  <c r="H265" i="4"/>
  <c r="I265" i="4"/>
  <c r="K265" i="4"/>
  <c r="L265" i="4"/>
  <c r="M265" i="4"/>
  <c r="O265" i="4"/>
  <c r="P265" i="4"/>
  <c r="Q265" i="4"/>
  <c r="R265" i="4"/>
  <c r="U265" i="4"/>
  <c r="V265" i="4"/>
  <c r="W265" i="4"/>
  <c r="Y265" i="4"/>
  <c r="Z265" i="4"/>
  <c r="AB265" i="4"/>
  <c r="AC265" i="4"/>
  <c r="AD265" i="4"/>
  <c r="AF265" i="4"/>
  <c r="AG265" i="4"/>
  <c r="AH265" i="4"/>
  <c r="AI265" i="4"/>
  <c r="AK265" i="4"/>
  <c r="AM265" i="4"/>
  <c r="AN265" i="4"/>
  <c r="A266" i="4"/>
  <c r="B266" i="4"/>
  <c r="C266" i="4"/>
  <c r="D266" i="4"/>
  <c r="E266" i="4"/>
  <c r="G266" i="4"/>
  <c r="H266" i="4"/>
  <c r="I266" i="4"/>
  <c r="K266" i="4"/>
  <c r="L266" i="4"/>
  <c r="M266" i="4"/>
  <c r="O266" i="4"/>
  <c r="P266" i="4"/>
  <c r="Q266" i="4"/>
  <c r="R266" i="4"/>
  <c r="U266" i="4"/>
  <c r="V266" i="4"/>
  <c r="W266" i="4"/>
  <c r="Y266" i="4"/>
  <c r="Z266" i="4"/>
  <c r="AB266" i="4"/>
  <c r="AC266" i="4"/>
  <c r="AD266" i="4"/>
  <c r="AF266" i="4"/>
  <c r="AG266" i="4"/>
  <c r="AH266" i="4"/>
  <c r="AI266" i="4"/>
  <c r="AK266" i="4"/>
  <c r="AM266" i="4"/>
  <c r="AN266" i="4"/>
  <c r="A267" i="4"/>
  <c r="B267" i="4"/>
  <c r="C267" i="4"/>
  <c r="D267" i="4"/>
  <c r="E267" i="4"/>
  <c r="G267" i="4"/>
  <c r="H267" i="4"/>
  <c r="I267" i="4"/>
  <c r="K267" i="4"/>
  <c r="L267" i="4"/>
  <c r="M267" i="4"/>
  <c r="O267" i="4"/>
  <c r="P267" i="4"/>
  <c r="Q267" i="4"/>
  <c r="R267" i="4"/>
  <c r="U267" i="4"/>
  <c r="V267" i="4"/>
  <c r="W267" i="4"/>
  <c r="Y267" i="4"/>
  <c r="Z267" i="4"/>
  <c r="AB267" i="4"/>
  <c r="AC267" i="4"/>
  <c r="AD267" i="4"/>
  <c r="AF267" i="4"/>
  <c r="AG267" i="4"/>
  <c r="AH267" i="4"/>
  <c r="AI267" i="4"/>
  <c r="AK267" i="4"/>
  <c r="AM267" i="4"/>
  <c r="AN267" i="4"/>
  <c r="A268" i="4"/>
  <c r="B268" i="4"/>
  <c r="C268" i="4"/>
  <c r="D268" i="4"/>
  <c r="E268" i="4"/>
  <c r="G268" i="4"/>
  <c r="H268" i="4"/>
  <c r="I268" i="4"/>
  <c r="K268" i="4"/>
  <c r="L268" i="4"/>
  <c r="M268" i="4"/>
  <c r="O268" i="4"/>
  <c r="P268" i="4"/>
  <c r="Q268" i="4"/>
  <c r="R268" i="4"/>
  <c r="U268" i="4"/>
  <c r="V268" i="4"/>
  <c r="W268" i="4"/>
  <c r="Y268" i="4"/>
  <c r="Z268" i="4"/>
  <c r="AB268" i="4"/>
  <c r="AC268" i="4"/>
  <c r="AD268" i="4"/>
  <c r="AF268" i="4"/>
  <c r="AG268" i="4"/>
  <c r="AH268" i="4"/>
  <c r="AI268" i="4"/>
  <c r="AK268" i="4"/>
  <c r="AM268" i="4"/>
  <c r="AN268" i="4"/>
  <c r="A269" i="4"/>
  <c r="B269" i="4"/>
  <c r="C269" i="4"/>
  <c r="D269" i="4"/>
  <c r="E269" i="4"/>
  <c r="G269" i="4"/>
  <c r="H269" i="4"/>
  <c r="I269" i="4"/>
  <c r="K269" i="4"/>
  <c r="L269" i="4"/>
  <c r="M269" i="4"/>
  <c r="O269" i="4"/>
  <c r="P269" i="4"/>
  <c r="Q269" i="4"/>
  <c r="R269" i="4"/>
  <c r="U269" i="4"/>
  <c r="V269" i="4"/>
  <c r="W269" i="4"/>
  <c r="Y269" i="4"/>
  <c r="Z269" i="4"/>
  <c r="AB269" i="4"/>
  <c r="AC269" i="4"/>
  <c r="AD269" i="4"/>
  <c r="AF269" i="4"/>
  <c r="AG269" i="4"/>
  <c r="AH269" i="4"/>
  <c r="AI269" i="4"/>
  <c r="AK269" i="4"/>
  <c r="AM269" i="4"/>
  <c r="AN269" i="4"/>
  <c r="A270" i="4"/>
  <c r="B270" i="4"/>
  <c r="C270" i="4"/>
  <c r="D270" i="4"/>
  <c r="E270" i="4"/>
  <c r="G270" i="4"/>
  <c r="H270" i="4"/>
  <c r="I270" i="4"/>
  <c r="K270" i="4"/>
  <c r="L270" i="4"/>
  <c r="M270" i="4"/>
  <c r="O270" i="4"/>
  <c r="P270" i="4"/>
  <c r="Q270" i="4"/>
  <c r="R270" i="4"/>
  <c r="U270" i="4"/>
  <c r="V270" i="4"/>
  <c r="W270" i="4"/>
  <c r="Y270" i="4"/>
  <c r="Z270" i="4"/>
  <c r="AB270" i="4"/>
  <c r="AC270" i="4"/>
  <c r="AD270" i="4"/>
  <c r="AF270" i="4"/>
  <c r="AG270" i="4"/>
  <c r="AH270" i="4"/>
  <c r="AI270" i="4"/>
  <c r="AK270" i="4"/>
  <c r="AM270" i="4"/>
  <c r="AN270" i="4"/>
  <c r="A271" i="4"/>
  <c r="B271" i="4"/>
  <c r="C271" i="4"/>
  <c r="D271" i="4"/>
  <c r="E271" i="4"/>
  <c r="G271" i="4"/>
  <c r="H271" i="4"/>
  <c r="I271" i="4"/>
  <c r="K271" i="4"/>
  <c r="L271" i="4"/>
  <c r="M271" i="4"/>
  <c r="O271" i="4"/>
  <c r="P271" i="4"/>
  <c r="Q271" i="4"/>
  <c r="R271" i="4"/>
  <c r="U271" i="4"/>
  <c r="V271" i="4"/>
  <c r="W271" i="4"/>
  <c r="Y271" i="4"/>
  <c r="Z271" i="4"/>
  <c r="AB271" i="4"/>
  <c r="AC271" i="4"/>
  <c r="AD271" i="4"/>
  <c r="AF271" i="4"/>
  <c r="AG271" i="4"/>
  <c r="AI271" i="4"/>
  <c r="AK271" i="4"/>
  <c r="AM271" i="4"/>
  <c r="AN271" i="4"/>
  <c r="A272" i="4"/>
  <c r="B272" i="4"/>
  <c r="C272" i="4"/>
  <c r="E272" i="4"/>
  <c r="G272" i="4"/>
  <c r="H272" i="4"/>
  <c r="I272" i="4"/>
  <c r="K272" i="4"/>
  <c r="L272" i="4"/>
  <c r="M272" i="4"/>
  <c r="O272" i="4"/>
  <c r="P272" i="4"/>
  <c r="Q272" i="4"/>
  <c r="R272" i="4"/>
  <c r="U272" i="4"/>
  <c r="V272" i="4"/>
  <c r="W272" i="4"/>
  <c r="Y272" i="4"/>
  <c r="Z272" i="4"/>
  <c r="AB272" i="4"/>
  <c r="AC272" i="4"/>
  <c r="AD272" i="4"/>
  <c r="AF272" i="4"/>
  <c r="AG272" i="4"/>
  <c r="AH272" i="4"/>
  <c r="AI272" i="4"/>
  <c r="AK272" i="4"/>
  <c r="AM272" i="4"/>
  <c r="AN272" i="4"/>
  <c r="A273" i="4"/>
  <c r="B273" i="4"/>
  <c r="C273" i="4"/>
  <c r="E273" i="4"/>
  <c r="G273" i="4"/>
  <c r="H273" i="4"/>
  <c r="I273" i="4"/>
  <c r="K273" i="4"/>
  <c r="L273" i="4"/>
  <c r="M273" i="4"/>
  <c r="O273" i="4"/>
  <c r="P273" i="4"/>
  <c r="Q273" i="4"/>
  <c r="R273" i="4"/>
  <c r="U273" i="4"/>
  <c r="V273" i="4"/>
  <c r="W273" i="4"/>
  <c r="Y273" i="4"/>
  <c r="Z273" i="4"/>
  <c r="AB273" i="4"/>
  <c r="AC273" i="4"/>
  <c r="AD273" i="4"/>
  <c r="AF273" i="4"/>
  <c r="AG273" i="4"/>
  <c r="AH273" i="4"/>
  <c r="AI273" i="4"/>
  <c r="AK273" i="4"/>
  <c r="AM273" i="4"/>
  <c r="AN273" i="4"/>
  <c r="A274" i="4"/>
  <c r="B274" i="4"/>
  <c r="C274" i="4"/>
  <c r="E274" i="4"/>
  <c r="G274" i="4"/>
  <c r="H274" i="4"/>
  <c r="I274" i="4"/>
  <c r="K274" i="4"/>
  <c r="L274" i="4"/>
  <c r="M274" i="4"/>
  <c r="O274" i="4"/>
  <c r="P274" i="4"/>
  <c r="Q274" i="4"/>
  <c r="R274" i="4"/>
  <c r="U274" i="4"/>
  <c r="V274" i="4"/>
  <c r="W274" i="4"/>
  <c r="Y274" i="4"/>
  <c r="Z274" i="4"/>
  <c r="AB274" i="4"/>
  <c r="AC274" i="4"/>
  <c r="AD274" i="4"/>
  <c r="AF274" i="4"/>
  <c r="AG274" i="4"/>
  <c r="AI274" i="4"/>
  <c r="AK274" i="4"/>
  <c r="AM274" i="4"/>
  <c r="AN274" i="4"/>
  <c r="A275" i="4"/>
  <c r="B275" i="4"/>
  <c r="C275" i="4"/>
  <c r="E275" i="4"/>
  <c r="G275" i="4"/>
  <c r="H275" i="4"/>
  <c r="I275" i="4"/>
  <c r="K275" i="4"/>
  <c r="L275" i="4"/>
  <c r="M275" i="4"/>
  <c r="O275" i="4"/>
  <c r="P275" i="4"/>
  <c r="Q275" i="4"/>
  <c r="R275" i="4"/>
  <c r="U275" i="4"/>
  <c r="V275" i="4"/>
  <c r="W275" i="4"/>
  <c r="Y275" i="4"/>
  <c r="Z275" i="4"/>
  <c r="AB275" i="4"/>
  <c r="AC275" i="4"/>
  <c r="AD275" i="4"/>
  <c r="AF275" i="4"/>
  <c r="AG275" i="4"/>
  <c r="AH275" i="4"/>
  <c r="AI275" i="4"/>
  <c r="AK275" i="4"/>
  <c r="AM275" i="4"/>
  <c r="AN275" i="4"/>
  <c r="A276" i="4"/>
  <c r="B276" i="4"/>
  <c r="C276" i="4"/>
  <c r="E276" i="4"/>
  <c r="G276" i="4"/>
  <c r="H276" i="4"/>
  <c r="I276" i="4"/>
  <c r="K276" i="4"/>
  <c r="L276" i="4"/>
  <c r="M276" i="4"/>
  <c r="O276" i="4"/>
  <c r="P276" i="4"/>
  <c r="Q276" i="4"/>
  <c r="R276" i="4"/>
  <c r="U276" i="4"/>
  <c r="V276" i="4"/>
  <c r="W276" i="4"/>
  <c r="Y276" i="4"/>
  <c r="Z276" i="4"/>
  <c r="AB276" i="4"/>
  <c r="AC276" i="4"/>
  <c r="AD276" i="4"/>
  <c r="AF276" i="4"/>
  <c r="AG276" i="4"/>
  <c r="AH276" i="4"/>
  <c r="AI276" i="4"/>
  <c r="AK276" i="4"/>
  <c r="AM276" i="4"/>
  <c r="AN276" i="4"/>
  <c r="A277" i="4"/>
  <c r="B277" i="4"/>
  <c r="C277" i="4"/>
  <c r="E277" i="4"/>
  <c r="G277" i="4"/>
  <c r="H277" i="4"/>
  <c r="I277" i="4"/>
  <c r="K277" i="4"/>
  <c r="L277" i="4"/>
  <c r="M277" i="4"/>
  <c r="O277" i="4"/>
  <c r="P277" i="4"/>
  <c r="Q277" i="4"/>
  <c r="R277" i="4"/>
  <c r="U277" i="4"/>
  <c r="V277" i="4"/>
  <c r="W277" i="4"/>
  <c r="Y277" i="4"/>
  <c r="Z277" i="4"/>
  <c r="AB277" i="4"/>
  <c r="AC277" i="4"/>
  <c r="AD277" i="4"/>
  <c r="AF277" i="4"/>
  <c r="AG277" i="4"/>
  <c r="AH277" i="4"/>
  <c r="AI277" i="4"/>
  <c r="AK277" i="4"/>
  <c r="AM277" i="4"/>
  <c r="AN277" i="4"/>
  <c r="A278" i="4"/>
  <c r="B278" i="4"/>
  <c r="C278" i="4"/>
  <c r="E278" i="4"/>
  <c r="G278" i="4"/>
  <c r="H278" i="4"/>
  <c r="I278" i="4"/>
  <c r="K278" i="4"/>
  <c r="L278" i="4"/>
  <c r="M278" i="4"/>
  <c r="O278" i="4"/>
  <c r="P278" i="4"/>
  <c r="Q278" i="4"/>
  <c r="R278" i="4"/>
  <c r="U278" i="4"/>
  <c r="V278" i="4"/>
  <c r="W278" i="4"/>
  <c r="Y278" i="4"/>
  <c r="Z278" i="4"/>
  <c r="AB278" i="4"/>
  <c r="AC278" i="4"/>
  <c r="AD278" i="4"/>
  <c r="AF278" i="4"/>
  <c r="AG278" i="4"/>
  <c r="AH278" i="4"/>
  <c r="AI278" i="4"/>
  <c r="AK278" i="4"/>
  <c r="AM278" i="4"/>
  <c r="AN278" i="4"/>
  <c r="A279" i="4"/>
  <c r="B279" i="4"/>
  <c r="C279" i="4"/>
  <c r="E279" i="4"/>
  <c r="G279" i="4"/>
  <c r="H279" i="4"/>
  <c r="I279" i="4"/>
  <c r="K279" i="4"/>
  <c r="L279" i="4"/>
  <c r="M279" i="4"/>
  <c r="O279" i="4"/>
  <c r="P279" i="4"/>
  <c r="Q279" i="4"/>
  <c r="R279" i="4"/>
  <c r="U279" i="4"/>
  <c r="V279" i="4"/>
  <c r="W279" i="4"/>
  <c r="Y279" i="4"/>
  <c r="Z279" i="4"/>
  <c r="AB279" i="4"/>
  <c r="AC279" i="4"/>
  <c r="AD279" i="4"/>
  <c r="AF279" i="4"/>
  <c r="AG279" i="4"/>
  <c r="AH279" i="4"/>
  <c r="AI279" i="4"/>
  <c r="AK279" i="4"/>
  <c r="AM279" i="4"/>
  <c r="AN279" i="4"/>
  <c r="A280" i="4"/>
  <c r="B280" i="4"/>
  <c r="C280" i="4"/>
  <c r="E280" i="4"/>
  <c r="G280" i="4"/>
  <c r="H280" i="4"/>
  <c r="I280" i="4"/>
  <c r="K280" i="4"/>
  <c r="L280" i="4"/>
  <c r="M280" i="4"/>
  <c r="O280" i="4"/>
  <c r="P280" i="4"/>
  <c r="Q280" i="4"/>
  <c r="R280" i="4"/>
  <c r="U280" i="4"/>
  <c r="V280" i="4"/>
  <c r="W280" i="4"/>
  <c r="Y280" i="4"/>
  <c r="Z280" i="4"/>
  <c r="AB280" i="4"/>
  <c r="AC280" i="4"/>
  <c r="AD280" i="4"/>
  <c r="AF280" i="4"/>
  <c r="AG280" i="4"/>
  <c r="AH280" i="4"/>
  <c r="AI280" i="4"/>
  <c r="AK280" i="4"/>
  <c r="AM280" i="4"/>
  <c r="AN280" i="4"/>
  <c r="A281" i="4"/>
  <c r="B281" i="4"/>
  <c r="C281" i="4"/>
  <c r="E281" i="4"/>
  <c r="G281" i="4"/>
  <c r="H281" i="4"/>
  <c r="I281" i="4"/>
  <c r="K281" i="4"/>
  <c r="L281" i="4"/>
  <c r="M281" i="4"/>
  <c r="O281" i="4"/>
  <c r="P281" i="4"/>
  <c r="Q281" i="4"/>
  <c r="R281" i="4"/>
  <c r="U281" i="4"/>
  <c r="V281" i="4"/>
  <c r="W281" i="4"/>
  <c r="Y281" i="4"/>
  <c r="Z281" i="4"/>
  <c r="AB281" i="4"/>
  <c r="AC281" i="4"/>
  <c r="AD281" i="4"/>
  <c r="AF281" i="4"/>
  <c r="AG281" i="4"/>
  <c r="AH281" i="4"/>
  <c r="AI281" i="4"/>
  <c r="AK281" i="4"/>
  <c r="AM281" i="4"/>
  <c r="AN281" i="4"/>
  <c r="A282" i="4"/>
  <c r="B282" i="4"/>
  <c r="C282" i="4"/>
  <c r="E282" i="4"/>
  <c r="G282" i="4"/>
  <c r="H282" i="4"/>
  <c r="I282" i="4"/>
  <c r="K282" i="4"/>
  <c r="L282" i="4"/>
  <c r="M282" i="4"/>
  <c r="O282" i="4"/>
  <c r="P282" i="4"/>
  <c r="Q282" i="4"/>
  <c r="R282" i="4"/>
  <c r="U282" i="4"/>
  <c r="V282" i="4"/>
  <c r="W282" i="4"/>
  <c r="Y282" i="4"/>
  <c r="Z282" i="4"/>
  <c r="AB282" i="4"/>
  <c r="AC282" i="4"/>
  <c r="AD282" i="4"/>
  <c r="AF282" i="4"/>
  <c r="AG282" i="4"/>
  <c r="AH282" i="4"/>
  <c r="AI282" i="4"/>
  <c r="AK282" i="4"/>
  <c r="AM282" i="4"/>
  <c r="AN282" i="4"/>
  <c r="A283" i="4"/>
  <c r="B283" i="4"/>
  <c r="C283" i="4"/>
  <c r="E283" i="4"/>
  <c r="G283" i="4"/>
  <c r="H283" i="4"/>
  <c r="I283" i="4"/>
  <c r="K283" i="4"/>
  <c r="L283" i="4"/>
  <c r="M283" i="4"/>
  <c r="O283" i="4"/>
  <c r="P283" i="4"/>
  <c r="Q283" i="4"/>
  <c r="R283" i="4"/>
  <c r="U283" i="4"/>
  <c r="V283" i="4"/>
  <c r="W283" i="4"/>
  <c r="Y283" i="4"/>
  <c r="Z283" i="4"/>
  <c r="AB283" i="4"/>
  <c r="AC283" i="4"/>
  <c r="AD283" i="4"/>
  <c r="AF283" i="4"/>
  <c r="AG283" i="4"/>
  <c r="AH283" i="4"/>
  <c r="AI283" i="4"/>
  <c r="AK283" i="4"/>
  <c r="AM283" i="4"/>
  <c r="AN283" i="4"/>
  <c r="A284" i="4"/>
  <c r="B284" i="4"/>
  <c r="C284" i="4"/>
  <c r="E284" i="4"/>
  <c r="G284" i="4"/>
  <c r="H284" i="4"/>
  <c r="I284" i="4"/>
  <c r="K284" i="4"/>
  <c r="L284" i="4"/>
  <c r="M284" i="4"/>
  <c r="O284" i="4"/>
  <c r="P284" i="4"/>
  <c r="Q284" i="4"/>
  <c r="R284" i="4"/>
  <c r="U284" i="4"/>
  <c r="V284" i="4"/>
  <c r="W284" i="4"/>
  <c r="Y284" i="4"/>
  <c r="Z284" i="4"/>
  <c r="AB284" i="4"/>
  <c r="AC284" i="4"/>
  <c r="AD284" i="4"/>
  <c r="AF284" i="4"/>
  <c r="AG284" i="4"/>
  <c r="AH284" i="4"/>
  <c r="AI284" i="4"/>
  <c r="AK284" i="4"/>
  <c r="AM284" i="4"/>
  <c r="AN284" i="4"/>
  <c r="A285" i="4"/>
  <c r="B285" i="4"/>
  <c r="C285" i="4"/>
  <c r="E285" i="4"/>
  <c r="G285" i="4"/>
  <c r="H285" i="4"/>
  <c r="I285" i="4"/>
  <c r="K285" i="4"/>
  <c r="L285" i="4"/>
  <c r="M285" i="4"/>
  <c r="O285" i="4"/>
  <c r="P285" i="4"/>
  <c r="Q285" i="4"/>
  <c r="R285" i="4"/>
  <c r="U285" i="4"/>
  <c r="V285" i="4"/>
  <c r="W285" i="4"/>
  <c r="Y285" i="4"/>
  <c r="Z285" i="4"/>
  <c r="AB285" i="4"/>
  <c r="AC285" i="4"/>
  <c r="AD285" i="4"/>
  <c r="AF285" i="4"/>
  <c r="AG285" i="4"/>
  <c r="AH285" i="4"/>
  <c r="AI285" i="4"/>
  <c r="AK285" i="4"/>
  <c r="AM285" i="4"/>
  <c r="AN285" i="4"/>
  <c r="A286" i="4"/>
  <c r="B286" i="4"/>
  <c r="C286" i="4"/>
  <c r="E286" i="4"/>
  <c r="G286" i="4"/>
  <c r="H286" i="4"/>
  <c r="I286" i="4"/>
  <c r="K286" i="4"/>
  <c r="L286" i="4"/>
  <c r="M286" i="4"/>
  <c r="O286" i="4"/>
  <c r="P286" i="4"/>
  <c r="Q286" i="4"/>
  <c r="R286" i="4"/>
  <c r="U286" i="4"/>
  <c r="V286" i="4"/>
  <c r="W286" i="4"/>
  <c r="Y286" i="4"/>
  <c r="Z286" i="4"/>
  <c r="AB286" i="4"/>
  <c r="AC286" i="4"/>
  <c r="AD286" i="4"/>
  <c r="AF286" i="4"/>
  <c r="AG286" i="4"/>
  <c r="AH286" i="4"/>
  <c r="AI286" i="4"/>
  <c r="AK286" i="4"/>
  <c r="AM286" i="4"/>
  <c r="AN286" i="4"/>
  <c r="A287" i="4"/>
  <c r="B287" i="4"/>
  <c r="C287" i="4"/>
  <c r="E287" i="4"/>
  <c r="G287" i="4"/>
  <c r="H287" i="4"/>
  <c r="I287" i="4"/>
  <c r="K287" i="4"/>
  <c r="L287" i="4"/>
  <c r="M287" i="4"/>
  <c r="O287" i="4"/>
  <c r="P287" i="4"/>
  <c r="Q287" i="4"/>
  <c r="R287" i="4"/>
  <c r="U287" i="4"/>
  <c r="V287" i="4"/>
  <c r="W287" i="4"/>
  <c r="Y287" i="4"/>
  <c r="Z287" i="4"/>
  <c r="AB287" i="4"/>
  <c r="AC287" i="4"/>
  <c r="AD287" i="4"/>
  <c r="AF287" i="4"/>
  <c r="AG287" i="4"/>
  <c r="AH287" i="4"/>
  <c r="AI287" i="4"/>
  <c r="AK287" i="4"/>
  <c r="AM287" i="4"/>
  <c r="AN287" i="4"/>
  <c r="A288" i="4"/>
  <c r="B288" i="4"/>
  <c r="C288" i="4"/>
  <c r="E288" i="4"/>
  <c r="G288" i="4"/>
  <c r="H288" i="4"/>
  <c r="I288" i="4"/>
  <c r="K288" i="4"/>
  <c r="L288" i="4"/>
  <c r="M288" i="4"/>
  <c r="O288" i="4"/>
  <c r="P288" i="4"/>
  <c r="Q288" i="4"/>
  <c r="R288" i="4"/>
  <c r="U288" i="4"/>
  <c r="V288" i="4"/>
  <c r="W288" i="4"/>
  <c r="Y288" i="4"/>
  <c r="Z288" i="4"/>
  <c r="AB288" i="4"/>
  <c r="AC288" i="4"/>
  <c r="AD288" i="4"/>
  <c r="AF288" i="4"/>
  <c r="AG288" i="4"/>
  <c r="AH288" i="4"/>
  <c r="AI288" i="4"/>
  <c r="AK288" i="4"/>
  <c r="AM288" i="4"/>
  <c r="AN288" i="4"/>
  <c r="A289" i="4"/>
  <c r="B289" i="4"/>
  <c r="C289" i="4"/>
  <c r="E289" i="4"/>
  <c r="G289" i="4"/>
  <c r="H289" i="4"/>
  <c r="I289" i="4"/>
  <c r="K289" i="4"/>
  <c r="L289" i="4"/>
  <c r="M289" i="4"/>
  <c r="O289" i="4"/>
  <c r="P289" i="4"/>
  <c r="Q289" i="4"/>
  <c r="R289" i="4"/>
  <c r="U289" i="4"/>
  <c r="V289" i="4"/>
  <c r="W289" i="4"/>
  <c r="Y289" i="4"/>
  <c r="Z289" i="4"/>
  <c r="AB289" i="4"/>
  <c r="AC289" i="4"/>
  <c r="AD289" i="4"/>
  <c r="AF289" i="4"/>
  <c r="AG289" i="4"/>
  <c r="AH289" i="4"/>
  <c r="AI289" i="4"/>
  <c r="AK289" i="4"/>
  <c r="AM289" i="4"/>
  <c r="AN289" i="4"/>
  <c r="A290" i="4"/>
  <c r="B290" i="4"/>
  <c r="C290" i="4"/>
  <c r="E290" i="4"/>
  <c r="G290" i="4"/>
  <c r="H290" i="4"/>
  <c r="I290" i="4"/>
  <c r="K290" i="4"/>
  <c r="L290" i="4"/>
  <c r="M290" i="4"/>
  <c r="O290" i="4"/>
  <c r="P290" i="4"/>
  <c r="Q290" i="4"/>
  <c r="R290" i="4"/>
  <c r="U290" i="4"/>
  <c r="V290" i="4"/>
  <c r="W290" i="4"/>
  <c r="Y290" i="4"/>
  <c r="Z290" i="4"/>
  <c r="AB290" i="4"/>
  <c r="AC290" i="4"/>
  <c r="AD290" i="4"/>
  <c r="AF290" i="4"/>
  <c r="AG290" i="4"/>
  <c r="AH290" i="4"/>
  <c r="AI290" i="4"/>
  <c r="AK290" i="4"/>
  <c r="AM290" i="4"/>
  <c r="AN290" i="4"/>
  <c r="A291" i="4"/>
  <c r="B291" i="4"/>
  <c r="C291" i="4"/>
  <c r="E291" i="4"/>
  <c r="G291" i="4"/>
  <c r="H291" i="4"/>
  <c r="I291" i="4"/>
  <c r="K291" i="4"/>
  <c r="L291" i="4"/>
  <c r="M291" i="4"/>
  <c r="O291" i="4"/>
  <c r="P291" i="4"/>
  <c r="Q291" i="4"/>
  <c r="R291" i="4"/>
  <c r="U291" i="4"/>
  <c r="V291" i="4"/>
  <c r="W291" i="4"/>
  <c r="Y291" i="4"/>
  <c r="Z291" i="4"/>
  <c r="AB291" i="4"/>
  <c r="AC291" i="4"/>
  <c r="AD291" i="4"/>
  <c r="AF291" i="4"/>
  <c r="AG291" i="4"/>
  <c r="AH291" i="4"/>
  <c r="AI291" i="4"/>
  <c r="AK291" i="4"/>
  <c r="AM291" i="4"/>
  <c r="AN291" i="4"/>
  <c r="A292" i="4"/>
  <c r="B292" i="4"/>
  <c r="C292" i="4"/>
  <c r="E292" i="4"/>
  <c r="G292" i="4"/>
  <c r="H292" i="4"/>
  <c r="I292" i="4"/>
  <c r="K292" i="4"/>
  <c r="L292" i="4"/>
  <c r="M292" i="4"/>
  <c r="O292" i="4"/>
  <c r="P292" i="4"/>
  <c r="Q292" i="4"/>
  <c r="R292" i="4"/>
  <c r="U292" i="4"/>
  <c r="V292" i="4"/>
  <c r="W292" i="4"/>
  <c r="Y292" i="4"/>
  <c r="Z292" i="4"/>
  <c r="AB292" i="4"/>
  <c r="AC292" i="4"/>
  <c r="AD292" i="4"/>
  <c r="AF292" i="4"/>
  <c r="AG292" i="4"/>
  <c r="AH292" i="4"/>
  <c r="AI292" i="4"/>
  <c r="AK292" i="4"/>
  <c r="AM292" i="4"/>
  <c r="AN292" i="4"/>
  <c r="A293" i="4"/>
  <c r="B293" i="4"/>
  <c r="C293" i="4"/>
  <c r="E293" i="4"/>
  <c r="G293" i="4"/>
  <c r="H293" i="4"/>
  <c r="I293" i="4"/>
  <c r="K293" i="4"/>
  <c r="L293" i="4"/>
  <c r="M293" i="4"/>
  <c r="O293" i="4"/>
  <c r="P293" i="4"/>
  <c r="Q293" i="4"/>
  <c r="R293" i="4"/>
  <c r="U293" i="4"/>
  <c r="V293" i="4"/>
  <c r="W293" i="4"/>
  <c r="Y293" i="4"/>
  <c r="Z293" i="4"/>
  <c r="AB293" i="4"/>
  <c r="AC293" i="4"/>
  <c r="AD293" i="4"/>
  <c r="AF293" i="4"/>
  <c r="AG293" i="4"/>
  <c r="AH293" i="4"/>
  <c r="AI293" i="4"/>
  <c r="AK293" i="4"/>
  <c r="AM293" i="4"/>
  <c r="AN293" i="4"/>
  <c r="A294" i="4"/>
  <c r="B294" i="4"/>
  <c r="C294" i="4"/>
  <c r="E294" i="4"/>
  <c r="G294" i="4"/>
  <c r="H294" i="4"/>
  <c r="I294" i="4"/>
  <c r="K294" i="4"/>
  <c r="L294" i="4"/>
  <c r="M294" i="4"/>
  <c r="O294" i="4"/>
  <c r="P294" i="4"/>
  <c r="Q294" i="4"/>
  <c r="R294" i="4"/>
  <c r="U294" i="4"/>
  <c r="V294" i="4"/>
  <c r="W294" i="4"/>
  <c r="Y294" i="4"/>
  <c r="Z294" i="4"/>
  <c r="AB294" i="4"/>
  <c r="AC294" i="4"/>
  <c r="AD294" i="4"/>
  <c r="AF294" i="4"/>
  <c r="AG294" i="4"/>
  <c r="AH294" i="4"/>
  <c r="AI294" i="4"/>
  <c r="AK294" i="4"/>
  <c r="AM294" i="4"/>
  <c r="AN294" i="4"/>
  <c r="A295" i="4"/>
  <c r="B295" i="4"/>
  <c r="C295" i="4"/>
  <c r="E295" i="4"/>
  <c r="G295" i="4"/>
  <c r="H295" i="4"/>
  <c r="I295" i="4"/>
  <c r="K295" i="4"/>
  <c r="L295" i="4"/>
  <c r="M295" i="4"/>
  <c r="O295" i="4"/>
  <c r="P295" i="4"/>
  <c r="Q295" i="4"/>
  <c r="R295" i="4"/>
  <c r="U295" i="4"/>
  <c r="V295" i="4"/>
  <c r="W295" i="4"/>
  <c r="Y295" i="4"/>
  <c r="Z295" i="4"/>
  <c r="AB295" i="4"/>
  <c r="AC295" i="4"/>
  <c r="AD295" i="4"/>
  <c r="AF295" i="4"/>
  <c r="AG295" i="4"/>
  <c r="AH295" i="4"/>
  <c r="AI295" i="4"/>
  <c r="AK295" i="4"/>
  <c r="AM295" i="4"/>
  <c r="AN295" i="4"/>
  <c r="A296" i="4"/>
  <c r="B296" i="4"/>
  <c r="C296" i="4"/>
  <c r="E296" i="4"/>
  <c r="G296" i="4"/>
  <c r="H296" i="4"/>
  <c r="I296" i="4"/>
  <c r="K296" i="4"/>
  <c r="L296" i="4"/>
  <c r="M296" i="4"/>
  <c r="O296" i="4"/>
  <c r="P296" i="4"/>
  <c r="Q296" i="4"/>
  <c r="R296" i="4"/>
  <c r="U296" i="4"/>
  <c r="V296" i="4"/>
  <c r="W296" i="4"/>
  <c r="Y296" i="4"/>
  <c r="Z296" i="4"/>
  <c r="AB296" i="4"/>
  <c r="AC296" i="4"/>
  <c r="AD296" i="4"/>
  <c r="AF296" i="4"/>
  <c r="AG296" i="4"/>
  <c r="AI296" i="4"/>
  <c r="AK296" i="4"/>
  <c r="AM296" i="4"/>
  <c r="AN296" i="4"/>
  <c r="A297" i="4"/>
  <c r="B297" i="4"/>
  <c r="C297" i="4"/>
  <c r="E297" i="4"/>
  <c r="G297" i="4"/>
  <c r="H297" i="4"/>
  <c r="I297" i="4"/>
  <c r="K297" i="4"/>
  <c r="L297" i="4"/>
  <c r="M297" i="4"/>
  <c r="O297" i="4"/>
  <c r="P297" i="4"/>
  <c r="Q297" i="4"/>
  <c r="R297" i="4"/>
  <c r="U297" i="4"/>
  <c r="V297" i="4"/>
  <c r="W297" i="4"/>
  <c r="Y297" i="4"/>
  <c r="Z297" i="4"/>
  <c r="AB297" i="4"/>
  <c r="AC297" i="4"/>
  <c r="AD297" i="4"/>
  <c r="AF297" i="4"/>
  <c r="AG297" i="4"/>
  <c r="AH297" i="4"/>
  <c r="AI297" i="4"/>
  <c r="AK297" i="4"/>
  <c r="AM297" i="4"/>
  <c r="AN297" i="4"/>
  <c r="A298" i="4"/>
  <c r="B298" i="4"/>
  <c r="C298" i="4"/>
  <c r="E298" i="4"/>
  <c r="G298" i="4"/>
  <c r="H298" i="4"/>
  <c r="I298" i="4"/>
  <c r="K298" i="4"/>
  <c r="L298" i="4"/>
  <c r="M298" i="4"/>
  <c r="O298" i="4"/>
  <c r="P298" i="4"/>
  <c r="Q298" i="4"/>
  <c r="R298" i="4"/>
  <c r="U298" i="4"/>
  <c r="V298" i="4"/>
  <c r="W298" i="4"/>
  <c r="Y298" i="4"/>
  <c r="Z298" i="4"/>
  <c r="AB298" i="4"/>
  <c r="AC298" i="4"/>
  <c r="AD298" i="4"/>
  <c r="AF298" i="4"/>
  <c r="AG298" i="4"/>
  <c r="AH298" i="4"/>
  <c r="AI298" i="4"/>
  <c r="AK298" i="4"/>
  <c r="AM298" i="4"/>
  <c r="AN298" i="4"/>
  <c r="A299" i="4"/>
  <c r="B299" i="4"/>
  <c r="C299" i="4"/>
  <c r="E299" i="4"/>
  <c r="G299" i="4"/>
  <c r="H299" i="4"/>
  <c r="I299" i="4"/>
  <c r="K299" i="4"/>
  <c r="L299" i="4"/>
  <c r="M299" i="4"/>
  <c r="O299" i="4"/>
  <c r="P299" i="4"/>
  <c r="Q299" i="4"/>
  <c r="R299" i="4"/>
  <c r="U299" i="4"/>
  <c r="V299" i="4"/>
  <c r="W299" i="4"/>
  <c r="Y299" i="4"/>
  <c r="Z299" i="4"/>
  <c r="AB299" i="4"/>
  <c r="AC299" i="4"/>
  <c r="AD299" i="4"/>
  <c r="AF299" i="4"/>
  <c r="AG299" i="4"/>
  <c r="AH299" i="4"/>
  <c r="AI299" i="4"/>
  <c r="AK299" i="4"/>
  <c r="AM299" i="4"/>
  <c r="AN299" i="4"/>
  <c r="A300" i="4"/>
  <c r="B300" i="4"/>
  <c r="C300" i="4"/>
  <c r="E300" i="4"/>
  <c r="G300" i="4"/>
  <c r="H300" i="4"/>
  <c r="I300" i="4"/>
  <c r="K300" i="4"/>
  <c r="L300" i="4"/>
  <c r="M300" i="4"/>
  <c r="O300" i="4"/>
  <c r="P300" i="4"/>
  <c r="Q300" i="4"/>
  <c r="R300" i="4"/>
  <c r="U300" i="4"/>
  <c r="V300" i="4"/>
  <c r="W300" i="4"/>
  <c r="Y300" i="4"/>
  <c r="Z300" i="4"/>
  <c r="AB300" i="4"/>
  <c r="AC300" i="4"/>
  <c r="AD300" i="4"/>
  <c r="AF300" i="4"/>
  <c r="AG300" i="4"/>
  <c r="AH300" i="4"/>
  <c r="AI300" i="4"/>
  <c r="AK300" i="4"/>
  <c r="AM300" i="4"/>
  <c r="AN300" i="4"/>
  <c r="C301" i="4"/>
  <c r="AK301" i="4"/>
  <c r="C302" i="4"/>
  <c r="AK302" i="4"/>
  <c r="C303" i="4"/>
  <c r="E303" i="4"/>
  <c r="F303" i="4"/>
  <c r="G303" i="4"/>
  <c r="H303" i="4"/>
  <c r="I303" i="4"/>
  <c r="J303" i="4"/>
  <c r="K303" i="4"/>
  <c r="L303" i="4"/>
  <c r="M303" i="4"/>
  <c r="N303" i="4"/>
  <c r="O303" i="4"/>
  <c r="P303" i="4"/>
  <c r="Q303" i="4"/>
  <c r="R303" i="4"/>
  <c r="S303" i="4"/>
  <c r="T303" i="4"/>
  <c r="U303" i="4"/>
  <c r="V303" i="4"/>
  <c r="W303" i="4"/>
  <c r="X303" i="4"/>
  <c r="Y303" i="4"/>
  <c r="Z303" i="4"/>
  <c r="AA303" i="4"/>
  <c r="AB303" i="4"/>
  <c r="AC303" i="4"/>
  <c r="AD303" i="4"/>
  <c r="AE303" i="4"/>
  <c r="AF303" i="4"/>
  <c r="AG303" i="4"/>
  <c r="AH303" i="4"/>
  <c r="AI303" i="4"/>
  <c r="AJ303" i="4"/>
  <c r="AK303" i="4"/>
  <c r="AL303" i="4"/>
  <c r="AM303" i="4"/>
  <c r="AN303" i="4"/>
  <c r="C304" i="4"/>
  <c r="E304" i="4"/>
  <c r="G304" i="4"/>
  <c r="H304" i="4"/>
  <c r="I304" i="4"/>
  <c r="K304" i="4"/>
  <c r="O304" i="4"/>
  <c r="P304" i="4"/>
  <c r="Q304" i="4"/>
  <c r="R304" i="4"/>
  <c r="U304" i="4"/>
  <c r="Y304" i="4"/>
  <c r="AB304" i="4"/>
  <c r="AF304" i="4"/>
  <c r="AK304" i="4"/>
  <c r="AM304" i="4"/>
  <c r="AN304" i="4"/>
  <c r="C305" i="4"/>
  <c r="E305" i="4"/>
  <c r="F305" i="4"/>
  <c r="G305" i="4"/>
  <c r="H305" i="4"/>
  <c r="I305" i="4"/>
  <c r="J305" i="4"/>
  <c r="K305" i="4"/>
  <c r="L305" i="4"/>
  <c r="M305" i="4"/>
  <c r="N305" i="4"/>
  <c r="O305" i="4"/>
  <c r="P305" i="4"/>
  <c r="Q305" i="4"/>
  <c r="R305" i="4"/>
  <c r="S305" i="4"/>
  <c r="T305" i="4"/>
  <c r="U305" i="4"/>
  <c r="V305" i="4"/>
  <c r="W305" i="4"/>
  <c r="X305" i="4"/>
  <c r="Y305" i="4"/>
  <c r="Z305" i="4"/>
  <c r="AA305" i="4"/>
  <c r="AB305" i="4"/>
  <c r="AC305" i="4"/>
  <c r="AD305" i="4"/>
  <c r="AE305" i="4"/>
  <c r="AF305" i="4"/>
  <c r="AG305" i="4"/>
  <c r="AH305" i="4"/>
  <c r="AI305" i="4"/>
  <c r="AJ305" i="4"/>
  <c r="AK305" i="4"/>
  <c r="AL305" i="4"/>
  <c r="AM305" i="4"/>
  <c r="AN305" i="4"/>
  <c r="C306" i="4"/>
  <c r="E306" i="4"/>
  <c r="F306" i="4"/>
  <c r="G306" i="4"/>
  <c r="H306" i="4"/>
  <c r="I306" i="4"/>
  <c r="J306" i="4"/>
  <c r="K306" i="4"/>
  <c r="L306" i="4"/>
  <c r="M306" i="4"/>
  <c r="N306" i="4"/>
  <c r="O306" i="4"/>
  <c r="P306" i="4"/>
  <c r="Q306" i="4"/>
  <c r="R306" i="4"/>
  <c r="S306" i="4"/>
  <c r="T306" i="4"/>
  <c r="U306" i="4"/>
  <c r="V306" i="4"/>
  <c r="W306" i="4"/>
  <c r="X306" i="4"/>
  <c r="Y306" i="4"/>
  <c r="Z306" i="4"/>
  <c r="AA306" i="4"/>
  <c r="AB306" i="4"/>
  <c r="AC306" i="4"/>
  <c r="AD306" i="4"/>
  <c r="AE306" i="4"/>
  <c r="AF306" i="4"/>
  <c r="AG306" i="4"/>
  <c r="AH306" i="4"/>
  <c r="AI306" i="4"/>
  <c r="AJ306" i="4"/>
  <c r="AK306" i="4"/>
  <c r="AL306" i="4"/>
  <c r="AM306" i="4"/>
  <c r="AN306" i="4"/>
  <c r="C309" i="4"/>
  <c r="E309" i="4"/>
  <c r="F309" i="4"/>
  <c r="G309" i="4"/>
  <c r="H309" i="4"/>
  <c r="I309" i="4"/>
  <c r="J309" i="4"/>
  <c r="K309" i="4"/>
  <c r="L309" i="4"/>
  <c r="M309" i="4"/>
  <c r="N309" i="4"/>
  <c r="O309" i="4"/>
  <c r="P309" i="4"/>
  <c r="Q309" i="4"/>
  <c r="R309" i="4"/>
  <c r="S309" i="4"/>
  <c r="T309" i="4"/>
  <c r="U309" i="4"/>
  <c r="V309" i="4"/>
  <c r="W309" i="4"/>
  <c r="X309" i="4"/>
  <c r="Y309" i="4"/>
  <c r="Z309" i="4"/>
  <c r="AA309" i="4"/>
  <c r="AB309" i="4"/>
  <c r="AC309" i="4"/>
  <c r="AD309" i="4"/>
  <c r="AE309" i="4"/>
  <c r="AF309" i="4"/>
  <c r="AG309" i="4"/>
  <c r="AH309" i="4"/>
  <c r="AI309" i="4"/>
  <c r="AJ309" i="4"/>
  <c r="AK309" i="4"/>
  <c r="AL309" i="4"/>
  <c r="AM309" i="4"/>
  <c r="AN309" i="4"/>
  <c r="G310" i="4"/>
  <c r="H310" i="4"/>
  <c r="I310" i="4"/>
  <c r="J310" i="4"/>
  <c r="K310" i="4"/>
  <c r="L310" i="4"/>
  <c r="M310" i="4"/>
  <c r="N310" i="4"/>
  <c r="O310" i="4"/>
  <c r="P310" i="4"/>
  <c r="Q310" i="4"/>
  <c r="R310" i="4"/>
  <c r="S310" i="4"/>
  <c r="T310" i="4"/>
  <c r="U310" i="4"/>
  <c r="V310" i="4"/>
  <c r="W310" i="4"/>
  <c r="X310" i="4"/>
  <c r="Y310" i="4"/>
  <c r="Z310" i="4"/>
  <c r="AA310" i="4"/>
  <c r="AB310" i="4"/>
  <c r="AC310" i="4"/>
  <c r="AD310" i="4"/>
  <c r="AE310" i="4"/>
  <c r="AF310" i="4"/>
  <c r="AG310" i="4"/>
  <c r="AH310" i="4"/>
  <c r="AI310" i="4"/>
  <c r="AJ310" i="4"/>
  <c r="AK310" i="4"/>
  <c r="AL310" i="4"/>
  <c r="AM310" i="4"/>
  <c r="AN310" i="4"/>
  <c r="G311" i="4"/>
  <c r="H311" i="4"/>
  <c r="I311" i="4"/>
  <c r="J311" i="4"/>
  <c r="K311" i="4"/>
  <c r="L311" i="4"/>
  <c r="M311" i="4"/>
  <c r="N311" i="4"/>
  <c r="O311" i="4"/>
  <c r="P311" i="4"/>
  <c r="Q311" i="4"/>
  <c r="R311" i="4"/>
  <c r="S311" i="4"/>
  <c r="T311" i="4"/>
  <c r="U311" i="4"/>
  <c r="V311" i="4"/>
  <c r="W311" i="4"/>
  <c r="X311" i="4"/>
  <c r="Y311" i="4"/>
  <c r="Z311" i="4"/>
  <c r="AA311" i="4"/>
  <c r="AB311" i="4"/>
  <c r="AC311" i="4"/>
  <c r="AD311" i="4"/>
  <c r="AE311" i="4"/>
  <c r="AF311" i="4"/>
  <c r="AG311" i="4"/>
  <c r="AH311" i="4"/>
  <c r="AI311" i="4"/>
  <c r="AJ311" i="4"/>
  <c r="AK311" i="4"/>
  <c r="AL311" i="4"/>
  <c r="AM311" i="4"/>
  <c r="AN311" i="4"/>
  <c r="G312" i="4"/>
  <c r="H312" i="4"/>
  <c r="I312" i="4"/>
  <c r="J312" i="4"/>
  <c r="K312" i="4"/>
  <c r="L312" i="4"/>
  <c r="M312" i="4"/>
  <c r="N312" i="4"/>
  <c r="O312" i="4"/>
  <c r="P312" i="4"/>
  <c r="Q312" i="4"/>
  <c r="R312" i="4"/>
  <c r="S312" i="4"/>
  <c r="T312" i="4"/>
  <c r="U312" i="4"/>
  <c r="V312" i="4"/>
  <c r="W312" i="4"/>
  <c r="X312" i="4"/>
  <c r="Y312" i="4"/>
  <c r="Z312" i="4"/>
  <c r="AA312" i="4"/>
  <c r="AB312" i="4"/>
  <c r="AC312" i="4"/>
  <c r="AD312" i="4"/>
  <c r="AE312" i="4"/>
  <c r="AF312" i="4"/>
  <c r="AG312" i="4"/>
  <c r="AH312" i="4"/>
  <c r="AI312" i="4"/>
  <c r="AJ312" i="4"/>
  <c r="AK312" i="4"/>
  <c r="AL312" i="4"/>
  <c r="AM312" i="4"/>
  <c r="AN312" i="4"/>
  <c r="C313" i="4"/>
  <c r="E313" i="4"/>
  <c r="F313" i="4"/>
  <c r="G313" i="4"/>
  <c r="H313" i="4"/>
  <c r="I313" i="4"/>
  <c r="J313" i="4"/>
  <c r="K313" i="4"/>
  <c r="L313" i="4"/>
  <c r="M313" i="4"/>
  <c r="N313" i="4"/>
  <c r="O313" i="4"/>
  <c r="P313" i="4"/>
  <c r="Q313" i="4"/>
  <c r="R313" i="4"/>
  <c r="S313" i="4"/>
  <c r="T313" i="4"/>
  <c r="U313" i="4"/>
  <c r="V313" i="4"/>
  <c r="W313" i="4"/>
  <c r="X313" i="4"/>
  <c r="Y313" i="4"/>
  <c r="Z313" i="4"/>
  <c r="AA313" i="4"/>
  <c r="AB313" i="4"/>
  <c r="AC313" i="4"/>
  <c r="AD313" i="4"/>
  <c r="AE313" i="4"/>
  <c r="AF313" i="4"/>
  <c r="AG313" i="4"/>
  <c r="AH313" i="4"/>
  <c r="AI313" i="4"/>
  <c r="AJ313" i="4"/>
  <c r="AK313" i="4"/>
  <c r="AL313" i="4"/>
  <c r="AM313" i="4"/>
  <c r="AN313" i="4"/>
  <c r="C314" i="4"/>
  <c r="E314" i="4"/>
  <c r="F314" i="4"/>
  <c r="G314" i="4"/>
  <c r="H314" i="4"/>
  <c r="I314" i="4"/>
  <c r="J314" i="4"/>
  <c r="K314" i="4"/>
  <c r="L314" i="4"/>
  <c r="M314" i="4"/>
  <c r="N314" i="4"/>
  <c r="O314" i="4"/>
  <c r="P314" i="4"/>
  <c r="Q314" i="4"/>
  <c r="R314" i="4"/>
  <c r="S314" i="4"/>
  <c r="T314" i="4"/>
  <c r="U314" i="4"/>
  <c r="V314" i="4"/>
  <c r="W314" i="4"/>
  <c r="X314" i="4"/>
  <c r="Y314" i="4"/>
  <c r="Z314" i="4"/>
  <c r="AA314" i="4"/>
  <c r="AB314" i="4"/>
  <c r="AC314" i="4"/>
  <c r="AD314" i="4"/>
  <c r="AE314" i="4"/>
  <c r="AF314" i="4"/>
  <c r="AG314" i="4"/>
  <c r="AH314" i="4"/>
  <c r="AI314" i="4"/>
  <c r="AJ314" i="4"/>
  <c r="AK314" i="4"/>
  <c r="AL314" i="4"/>
  <c r="AM314" i="4"/>
  <c r="AN314" i="4"/>
  <c r="C317" i="4"/>
  <c r="D317" i="4"/>
  <c r="E317" i="4"/>
  <c r="F317" i="4"/>
  <c r="G317" i="4"/>
  <c r="H317" i="4"/>
  <c r="I317" i="4"/>
  <c r="J317" i="4"/>
  <c r="K317" i="4"/>
  <c r="L317" i="4"/>
  <c r="M317" i="4"/>
  <c r="N317" i="4"/>
  <c r="O317" i="4"/>
  <c r="P317" i="4"/>
  <c r="Q317" i="4"/>
  <c r="R317" i="4"/>
  <c r="S317" i="4"/>
  <c r="T317" i="4"/>
  <c r="U317" i="4"/>
  <c r="V317" i="4"/>
  <c r="W317" i="4"/>
  <c r="X317" i="4"/>
  <c r="Y317" i="4"/>
  <c r="Z317" i="4"/>
  <c r="AA317" i="4"/>
  <c r="AB317" i="4"/>
  <c r="AC317" i="4"/>
  <c r="AD317" i="4"/>
  <c r="AE317" i="4"/>
  <c r="AF317" i="4"/>
  <c r="AG317" i="4"/>
  <c r="AH317" i="4"/>
  <c r="AI317" i="4"/>
  <c r="AJ317" i="4"/>
  <c r="AK317" i="4"/>
  <c r="AL317" i="4"/>
  <c r="AM317" i="4"/>
  <c r="AN317" i="4"/>
  <c r="AO317" i="4"/>
  <c r="AP317" i="4"/>
  <c r="AQ317" i="4"/>
  <c r="AR317" i="4"/>
  <c r="AS317" i="4"/>
  <c r="AT317" i="4"/>
  <c r="C318" i="4"/>
  <c r="D318" i="4"/>
  <c r="E318" i="4"/>
  <c r="F318" i="4"/>
  <c r="G318" i="4"/>
  <c r="H318" i="4"/>
  <c r="I318" i="4"/>
  <c r="J318" i="4"/>
  <c r="K318" i="4"/>
  <c r="L318" i="4"/>
  <c r="M318" i="4"/>
  <c r="N318" i="4"/>
  <c r="O318" i="4"/>
  <c r="P318" i="4"/>
  <c r="Q318" i="4"/>
  <c r="R318" i="4"/>
  <c r="S318" i="4"/>
  <c r="T318" i="4"/>
  <c r="U318" i="4"/>
  <c r="V318" i="4"/>
  <c r="W318" i="4"/>
  <c r="X318" i="4"/>
  <c r="Y318" i="4"/>
  <c r="Z318" i="4"/>
  <c r="AA318" i="4"/>
  <c r="AB318" i="4"/>
  <c r="AC318" i="4"/>
  <c r="AD318" i="4"/>
  <c r="AE318" i="4"/>
  <c r="AF318" i="4"/>
  <c r="AG318" i="4"/>
  <c r="AH318" i="4"/>
  <c r="AI318" i="4"/>
  <c r="AJ318" i="4"/>
  <c r="AK318" i="4"/>
  <c r="AL318" i="4"/>
  <c r="AM318" i="4"/>
  <c r="AN318" i="4"/>
  <c r="AO318" i="4"/>
  <c r="AP318" i="4"/>
  <c r="AQ318" i="4"/>
  <c r="AR318" i="4"/>
  <c r="AS318" i="4"/>
  <c r="AT318" i="4"/>
  <c r="C319" i="4"/>
  <c r="D319" i="4"/>
  <c r="E319" i="4"/>
  <c r="F319" i="4"/>
  <c r="G319" i="4"/>
  <c r="H319" i="4"/>
  <c r="I319" i="4"/>
  <c r="J319" i="4"/>
  <c r="K319" i="4"/>
  <c r="L319" i="4"/>
  <c r="M319" i="4"/>
  <c r="N319" i="4"/>
  <c r="O319" i="4"/>
  <c r="P319" i="4"/>
  <c r="Q319" i="4"/>
  <c r="R319" i="4"/>
  <c r="S319" i="4"/>
  <c r="T319" i="4"/>
  <c r="U319" i="4"/>
  <c r="V319" i="4"/>
  <c r="W319" i="4"/>
  <c r="X319" i="4"/>
  <c r="Y319" i="4"/>
  <c r="Z319" i="4"/>
  <c r="AA319" i="4"/>
  <c r="AB319" i="4"/>
  <c r="AC319" i="4"/>
  <c r="AD319" i="4"/>
  <c r="AE319" i="4"/>
  <c r="AF319" i="4"/>
  <c r="AG319" i="4"/>
  <c r="AH319" i="4"/>
  <c r="AI319" i="4"/>
  <c r="AJ319" i="4"/>
  <c r="AK319" i="4"/>
  <c r="AL319" i="4"/>
  <c r="AM319" i="4"/>
  <c r="AN319" i="4"/>
  <c r="AO319" i="4"/>
  <c r="AP319" i="4"/>
  <c r="AQ319" i="4"/>
  <c r="AR319" i="4"/>
  <c r="AS319" i="4"/>
  <c r="AT319" i="4"/>
  <c r="C320" i="4"/>
  <c r="D320" i="4"/>
  <c r="E320" i="4"/>
  <c r="F320" i="4"/>
  <c r="G320" i="4"/>
  <c r="H320" i="4"/>
  <c r="I320" i="4"/>
  <c r="J320" i="4"/>
  <c r="K320" i="4"/>
  <c r="L320" i="4"/>
  <c r="M320" i="4"/>
  <c r="N320" i="4"/>
  <c r="O320" i="4"/>
  <c r="P320" i="4"/>
  <c r="Q320" i="4"/>
  <c r="R320" i="4"/>
  <c r="S320" i="4"/>
  <c r="T320" i="4"/>
  <c r="U320" i="4"/>
  <c r="V320" i="4"/>
  <c r="W320" i="4"/>
  <c r="X320" i="4"/>
  <c r="Y320" i="4"/>
  <c r="Z320" i="4"/>
  <c r="AA320" i="4"/>
  <c r="AB320" i="4"/>
  <c r="AC320" i="4"/>
  <c r="AD320" i="4"/>
  <c r="AE320" i="4"/>
  <c r="AF320" i="4"/>
  <c r="AG320" i="4"/>
  <c r="AH320" i="4"/>
  <c r="AI320" i="4"/>
  <c r="AJ320" i="4"/>
  <c r="AK320" i="4"/>
  <c r="AL320" i="4"/>
  <c r="AM320" i="4"/>
  <c r="AN320" i="4"/>
  <c r="AO320" i="4"/>
  <c r="AP320" i="4"/>
  <c r="AQ320" i="4"/>
  <c r="AR320" i="4"/>
  <c r="AS320" i="4"/>
  <c r="AT320" i="4"/>
  <c r="C321" i="4"/>
  <c r="D321" i="4"/>
  <c r="E321" i="4"/>
  <c r="F321" i="4"/>
  <c r="G321" i="4"/>
  <c r="H321" i="4"/>
  <c r="I321" i="4"/>
  <c r="J321" i="4"/>
  <c r="K321" i="4"/>
  <c r="L321" i="4"/>
  <c r="M321" i="4"/>
  <c r="N321" i="4"/>
  <c r="O321" i="4"/>
  <c r="P321" i="4"/>
  <c r="Q321" i="4"/>
  <c r="R321" i="4"/>
  <c r="S321" i="4"/>
  <c r="T321" i="4"/>
  <c r="U321" i="4"/>
  <c r="V321" i="4"/>
  <c r="W321" i="4"/>
  <c r="X321" i="4"/>
  <c r="Y321" i="4"/>
  <c r="Z321" i="4"/>
  <c r="AA321" i="4"/>
  <c r="AB321" i="4"/>
  <c r="AC321" i="4"/>
  <c r="AD321" i="4"/>
  <c r="AE321" i="4"/>
  <c r="AF321" i="4"/>
  <c r="AG321" i="4"/>
  <c r="AH321" i="4"/>
  <c r="AI321" i="4"/>
  <c r="AJ321" i="4"/>
  <c r="AK321" i="4"/>
  <c r="AL321" i="4"/>
  <c r="AM321" i="4"/>
  <c r="AN321" i="4"/>
  <c r="AO321" i="4"/>
  <c r="AP321" i="4"/>
  <c r="AQ321" i="4"/>
  <c r="AR321" i="4"/>
  <c r="AS321" i="4"/>
  <c r="AT321" i="4"/>
  <c r="C322" i="4"/>
  <c r="D322" i="4"/>
  <c r="E322" i="4"/>
  <c r="F322" i="4"/>
  <c r="G322" i="4"/>
  <c r="H322" i="4"/>
  <c r="I322" i="4"/>
  <c r="J322" i="4"/>
  <c r="K322" i="4"/>
  <c r="L322" i="4"/>
  <c r="M322" i="4"/>
  <c r="N322" i="4"/>
  <c r="O322" i="4"/>
  <c r="P322" i="4"/>
  <c r="Q322" i="4"/>
  <c r="R322" i="4"/>
  <c r="S322" i="4"/>
  <c r="T322" i="4"/>
  <c r="U322" i="4"/>
  <c r="V322" i="4"/>
  <c r="W322" i="4"/>
  <c r="X322" i="4"/>
  <c r="Y322" i="4"/>
  <c r="Z322" i="4"/>
  <c r="AA322" i="4"/>
  <c r="AB322" i="4"/>
  <c r="AC322" i="4"/>
  <c r="AD322" i="4"/>
  <c r="AE322" i="4"/>
  <c r="AF322" i="4"/>
  <c r="AG322" i="4"/>
  <c r="AH322" i="4"/>
  <c r="AI322" i="4"/>
  <c r="AJ322" i="4"/>
  <c r="AK322" i="4"/>
  <c r="AL322" i="4"/>
  <c r="AM322" i="4"/>
  <c r="AN322" i="4"/>
  <c r="AO322" i="4"/>
  <c r="AP322" i="4"/>
  <c r="AQ322" i="4"/>
  <c r="AR322" i="4"/>
  <c r="AS322" i="4"/>
  <c r="AT322" i="4"/>
  <c r="I3" i="12"/>
  <c r="J3" i="12"/>
  <c r="K3" i="12"/>
  <c r="L3" i="12"/>
  <c r="M3" i="12"/>
  <c r="N3" i="12"/>
  <c r="P3" i="12"/>
  <c r="R3" i="12"/>
  <c r="I6" i="12"/>
  <c r="J6" i="12"/>
  <c r="K6" i="12"/>
  <c r="L6" i="12"/>
  <c r="M6" i="12"/>
  <c r="N6" i="12"/>
  <c r="O6" i="12"/>
  <c r="P6" i="12"/>
  <c r="I30" i="12"/>
  <c r="J30" i="12"/>
  <c r="K30" i="12"/>
  <c r="L30" i="12"/>
  <c r="M30" i="12"/>
  <c r="N30" i="12"/>
  <c r="D16" i="10"/>
  <c r="AI3" i="2"/>
  <c r="AI5" i="2"/>
  <c r="C6" i="2"/>
  <c r="D6" i="2"/>
  <c r="E6" i="2"/>
  <c r="F6" i="2"/>
  <c r="G6" i="2"/>
  <c r="H6" i="2"/>
  <c r="I6" i="2"/>
  <c r="J6" i="2"/>
  <c r="K6" i="2"/>
  <c r="L6" i="2"/>
  <c r="M6" i="2"/>
  <c r="N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H6" i="2"/>
  <c r="AI6" i="2"/>
  <c r="C7" i="2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Z7" i="2"/>
  <c r="AA7" i="2"/>
  <c r="AB7" i="2"/>
  <c r="AC7" i="2"/>
  <c r="AD7" i="2"/>
  <c r="AE7" i="2"/>
  <c r="AH7" i="2"/>
  <c r="AI7" i="2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H8" i="2"/>
  <c r="AI8" i="2"/>
  <c r="C9" i="2"/>
  <c r="D9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Z9" i="2"/>
  <c r="AA9" i="2"/>
  <c r="AB9" i="2"/>
  <c r="AC9" i="2"/>
  <c r="AD9" i="2"/>
  <c r="AE9" i="2"/>
  <c r="AH9" i="2"/>
  <c r="AI9" i="2"/>
  <c r="AI11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G12" i="2"/>
  <c r="AH12" i="2"/>
  <c r="AI12" i="2"/>
  <c r="C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C14" i="2"/>
  <c r="V14" i="2"/>
  <c r="W14" i="2"/>
  <c r="X14" i="2"/>
  <c r="Y14" i="2"/>
  <c r="Z14" i="2"/>
  <c r="AA14" i="2"/>
  <c r="AB14" i="2"/>
  <c r="AC14" i="2"/>
  <c r="AD14" i="2"/>
  <c r="AE14" i="2"/>
  <c r="AF14" i="2"/>
  <c r="AG14" i="2"/>
  <c r="AH14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AD15" i="2"/>
  <c r="AE15" i="2"/>
  <c r="AH15" i="2"/>
  <c r="AI15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AD16" i="2"/>
  <c r="AE16" i="2"/>
  <c r="AF16" i="2"/>
  <c r="AG16" i="2"/>
  <c r="AH16" i="2"/>
  <c r="AI16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AC17" i="2"/>
  <c r="AD17" i="2"/>
  <c r="AE17" i="2"/>
  <c r="AF17" i="2"/>
  <c r="AG17" i="2"/>
  <c r="AH17" i="2"/>
  <c r="AI17" i="2"/>
  <c r="AI19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AD20" i="2"/>
  <c r="AE20" i="2"/>
  <c r="AF20" i="2"/>
  <c r="AG20" i="2"/>
  <c r="AH20" i="2"/>
  <c r="AI20" i="2"/>
  <c r="C21" i="2"/>
  <c r="V21" i="2"/>
  <c r="W21" i="2"/>
  <c r="X21" i="2"/>
  <c r="Y21" i="2"/>
  <c r="Z21" i="2"/>
  <c r="AA21" i="2"/>
  <c r="AB21" i="2"/>
  <c r="AC21" i="2"/>
  <c r="AD21" i="2"/>
  <c r="AE21" i="2"/>
  <c r="AF21" i="2"/>
  <c r="AG21" i="2"/>
  <c r="AH21" i="2"/>
  <c r="C22" i="2"/>
  <c r="V22" i="2"/>
  <c r="W22" i="2"/>
  <c r="X22" i="2"/>
  <c r="Y22" i="2"/>
  <c r="Z22" i="2"/>
  <c r="AA22" i="2"/>
  <c r="AB22" i="2"/>
  <c r="AC22" i="2"/>
  <c r="AD22" i="2"/>
  <c r="AE22" i="2"/>
  <c r="AF22" i="2"/>
  <c r="AG22" i="2"/>
  <c r="AH22" i="2"/>
  <c r="C23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H23" i="2"/>
  <c r="AI23" i="2"/>
  <c r="C24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AB24" i="2"/>
  <c r="AC24" i="2"/>
  <c r="AD24" i="2"/>
  <c r="AE24" i="2"/>
  <c r="AF24" i="2"/>
  <c r="AG24" i="2"/>
  <c r="AH24" i="2"/>
  <c r="AI24" i="2"/>
  <c r="C25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AC25" i="2"/>
  <c r="AD25" i="2"/>
  <c r="AE25" i="2"/>
  <c r="AF25" i="2"/>
  <c r="AG25" i="2"/>
  <c r="AH25" i="2"/>
  <c r="AI25" i="2"/>
  <c r="AI26" i="2"/>
  <c r="A27" i="2"/>
  <c r="B27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AB27" i="2"/>
  <c r="AC27" i="2"/>
  <c r="AD27" i="2"/>
  <c r="AE27" i="2"/>
  <c r="AF27" i="2"/>
  <c r="AG27" i="2"/>
  <c r="AH27" i="2"/>
  <c r="AI27" i="2"/>
  <c r="A28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AD28" i="2"/>
  <c r="AE28" i="2"/>
  <c r="AF28" i="2"/>
  <c r="AG28" i="2"/>
  <c r="AH28" i="2"/>
  <c r="AI28" i="2"/>
  <c r="A29" i="2"/>
  <c r="B29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AG29" i="2"/>
  <c r="AH29" i="2"/>
  <c r="AI29" i="2"/>
  <c r="A30" i="2"/>
  <c r="B30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AC30" i="2"/>
  <c r="AD30" i="2"/>
  <c r="AE30" i="2"/>
  <c r="AF30" i="2"/>
  <c r="AG30" i="2"/>
  <c r="AH30" i="2"/>
  <c r="AI30" i="2"/>
  <c r="A31" i="2"/>
  <c r="B31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A31" i="2"/>
  <c r="AB31" i="2"/>
  <c r="AC31" i="2"/>
  <c r="AD31" i="2"/>
  <c r="AE31" i="2"/>
  <c r="AF31" i="2"/>
  <c r="AG31" i="2"/>
  <c r="AH31" i="2"/>
  <c r="AI31" i="2"/>
  <c r="A32" i="2"/>
  <c r="B32" i="2"/>
  <c r="C32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AD32" i="2"/>
  <c r="AE32" i="2"/>
  <c r="AF32" i="2"/>
  <c r="AG32" i="2"/>
  <c r="AH32" i="2"/>
  <c r="AI32" i="2"/>
  <c r="A33" i="2"/>
  <c r="B33" i="2"/>
  <c r="C33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AD33" i="2"/>
  <c r="AE33" i="2"/>
  <c r="AF33" i="2"/>
  <c r="AG33" i="2"/>
  <c r="AH33" i="2"/>
  <c r="AI33" i="2"/>
  <c r="A34" i="2"/>
  <c r="B34" i="2"/>
  <c r="C34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G34" i="2"/>
  <c r="AH34" i="2"/>
  <c r="AI34" i="2"/>
  <c r="A35" i="2"/>
  <c r="B35" i="2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AG35" i="2"/>
  <c r="AH35" i="2"/>
  <c r="AI35" i="2"/>
  <c r="A36" i="2"/>
  <c r="B36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AG36" i="2"/>
  <c r="AH36" i="2"/>
  <c r="AI36" i="2"/>
  <c r="A37" i="2"/>
  <c r="B37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A37" i="2"/>
  <c r="AB37" i="2"/>
  <c r="AC37" i="2"/>
  <c r="AD37" i="2"/>
  <c r="AE37" i="2"/>
  <c r="AF37" i="2"/>
  <c r="AG37" i="2"/>
  <c r="AH37" i="2"/>
  <c r="AI37" i="2"/>
  <c r="A38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AG38" i="2"/>
  <c r="AH38" i="2"/>
  <c r="AI38" i="2"/>
  <c r="A39" i="2"/>
  <c r="B39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AG39" i="2"/>
  <c r="AH39" i="2"/>
  <c r="AI39" i="2"/>
  <c r="A40" i="2"/>
  <c r="B40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G40" i="2"/>
  <c r="AH40" i="2"/>
  <c r="AI40" i="2"/>
  <c r="A41" i="2"/>
  <c r="B41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G41" i="2"/>
  <c r="AH41" i="2"/>
  <c r="AI41" i="2"/>
  <c r="A42" i="2"/>
  <c r="B42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AD42" i="2"/>
  <c r="AE42" i="2"/>
  <c r="AF42" i="2"/>
  <c r="AG42" i="2"/>
  <c r="AH42" i="2"/>
  <c r="AI42" i="2"/>
  <c r="A43" i="2"/>
  <c r="B43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AB43" i="2"/>
  <c r="AC43" i="2"/>
  <c r="AD43" i="2"/>
  <c r="AE43" i="2"/>
  <c r="AF43" i="2"/>
  <c r="AG43" i="2"/>
  <c r="AH43" i="2"/>
  <c r="AI43" i="2"/>
  <c r="A44" i="2"/>
  <c r="B44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AC44" i="2"/>
  <c r="AD44" i="2"/>
  <c r="AE44" i="2"/>
  <c r="AF44" i="2"/>
  <c r="AG44" i="2"/>
  <c r="AH44" i="2"/>
  <c r="AI44" i="2"/>
  <c r="A45" i="2"/>
  <c r="B45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AG45" i="2"/>
  <c r="AH45" i="2"/>
  <c r="AI45" i="2"/>
  <c r="A46" i="2"/>
  <c r="B46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AD46" i="2"/>
  <c r="AE46" i="2"/>
  <c r="AF46" i="2"/>
  <c r="AG46" i="2"/>
  <c r="AH46" i="2"/>
  <c r="AI46" i="2"/>
  <c r="A47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AD47" i="2"/>
  <c r="AE47" i="2"/>
  <c r="AF47" i="2"/>
  <c r="AG47" i="2"/>
  <c r="AH47" i="2"/>
  <c r="AI47" i="2"/>
  <c r="A48" i="2"/>
  <c r="B48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A48" i="2"/>
  <c r="AB48" i="2"/>
  <c r="AC48" i="2"/>
  <c r="AD48" i="2"/>
  <c r="AE48" i="2"/>
  <c r="AF48" i="2"/>
  <c r="AG48" i="2"/>
  <c r="AH48" i="2"/>
  <c r="AI48" i="2"/>
  <c r="A49" i="2"/>
  <c r="B49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G49" i="2"/>
  <c r="AH49" i="2"/>
  <c r="AI49" i="2"/>
  <c r="A50" i="2"/>
  <c r="B50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AC50" i="2"/>
  <c r="AD50" i="2"/>
  <c r="AE50" i="2"/>
  <c r="AF50" i="2"/>
  <c r="AG50" i="2"/>
  <c r="AH50" i="2"/>
  <c r="AI50" i="2"/>
  <c r="A51" i="2"/>
  <c r="B51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AB51" i="2"/>
  <c r="AC51" i="2"/>
  <c r="AD51" i="2"/>
  <c r="AE51" i="2"/>
  <c r="AF51" i="2"/>
  <c r="AG51" i="2"/>
  <c r="AH51" i="2"/>
  <c r="AI51" i="2"/>
  <c r="A52" i="2"/>
  <c r="B52" i="2"/>
  <c r="AI52" i="2"/>
  <c r="A53" i="2"/>
  <c r="B53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G53" i="2"/>
  <c r="AH53" i="2"/>
  <c r="AI53" i="2"/>
  <c r="A54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G54" i="2"/>
  <c r="AH54" i="2"/>
  <c r="AI54" i="2"/>
  <c r="A55" i="2"/>
  <c r="B55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AD55" i="2"/>
  <c r="AE55" i="2"/>
  <c r="AF55" i="2"/>
  <c r="AG55" i="2"/>
  <c r="AH55" i="2"/>
  <c r="AI55" i="2"/>
  <c r="A56" i="2"/>
  <c r="B56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AD56" i="2"/>
  <c r="AE56" i="2"/>
  <c r="AF56" i="2"/>
  <c r="AG56" i="2"/>
  <c r="AH56" i="2"/>
  <c r="AI56" i="2"/>
  <c r="A57" i="2"/>
  <c r="B57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G57" i="2"/>
  <c r="AH57" i="2"/>
  <c r="AI57" i="2"/>
  <c r="A58" i="2"/>
  <c r="B58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A58" i="2"/>
  <c r="AB58" i="2"/>
  <c r="AC58" i="2"/>
  <c r="AD58" i="2"/>
  <c r="AE58" i="2"/>
  <c r="AF58" i="2"/>
  <c r="AG58" i="2"/>
  <c r="AH58" i="2"/>
  <c r="AI58" i="2"/>
  <c r="A59" i="2"/>
  <c r="B59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AD59" i="2"/>
  <c r="AE59" i="2"/>
  <c r="AF59" i="2"/>
  <c r="AG59" i="2"/>
  <c r="AH59" i="2"/>
  <c r="AI59" i="2"/>
  <c r="A60" i="2"/>
  <c r="B60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AD60" i="2"/>
  <c r="AE60" i="2"/>
  <c r="AF60" i="2"/>
  <c r="AG60" i="2"/>
  <c r="AH60" i="2"/>
  <c r="AI60" i="2"/>
  <c r="A61" i="2"/>
  <c r="B61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AC61" i="2"/>
  <c r="AD61" i="2"/>
  <c r="AE61" i="2"/>
  <c r="AF61" i="2"/>
  <c r="AG61" i="2"/>
  <c r="AH61" i="2"/>
  <c r="AI61" i="2"/>
  <c r="A62" i="2"/>
  <c r="B62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AD62" i="2"/>
  <c r="AE62" i="2"/>
  <c r="AF62" i="2"/>
  <c r="AG62" i="2"/>
  <c r="AH62" i="2"/>
  <c r="AI62" i="2"/>
  <c r="A63" i="2"/>
  <c r="B63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G63" i="2"/>
  <c r="AH63" i="2"/>
  <c r="AI63" i="2"/>
  <c r="A64" i="2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AA64" i="2"/>
  <c r="AB64" i="2"/>
  <c r="AC64" i="2"/>
  <c r="AD64" i="2"/>
  <c r="AE64" i="2"/>
  <c r="AF64" i="2"/>
  <c r="AG64" i="2"/>
  <c r="AH64" i="2"/>
  <c r="AI64" i="2"/>
  <c r="A65" i="2"/>
  <c r="B65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D65" i="2"/>
  <c r="AE65" i="2"/>
  <c r="AF65" i="2"/>
  <c r="AG65" i="2"/>
  <c r="AH65" i="2"/>
  <c r="AI65" i="2"/>
  <c r="A66" i="2"/>
  <c r="B66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AC66" i="2"/>
  <c r="AD66" i="2"/>
  <c r="AE66" i="2"/>
  <c r="AF66" i="2"/>
  <c r="AG66" i="2"/>
  <c r="AH66" i="2"/>
  <c r="AI66" i="2"/>
  <c r="A67" i="2"/>
  <c r="B67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Z67" i="2"/>
  <c r="AA67" i="2"/>
  <c r="AB67" i="2"/>
  <c r="AC67" i="2"/>
  <c r="AD67" i="2"/>
  <c r="AE67" i="2"/>
  <c r="AF67" i="2"/>
  <c r="AG67" i="2"/>
  <c r="AH67" i="2"/>
  <c r="AI67" i="2"/>
  <c r="A68" i="2"/>
  <c r="B68" i="2"/>
  <c r="C68" i="2"/>
  <c r="D68" i="2"/>
  <c r="E68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Z68" i="2"/>
  <c r="AA68" i="2"/>
  <c r="AB68" i="2"/>
  <c r="AC68" i="2"/>
  <c r="AD68" i="2"/>
  <c r="AE68" i="2"/>
  <c r="AF68" i="2"/>
  <c r="AG68" i="2"/>
  <c r="AH68" i="2"/>
  <c r="AI68" i="2"/>
  <c r="A69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Y69" i="2"/>
  <c r="Z69" i="2"/>
  <c r="AA69" i="2"/>
  <c r="AB69" i="2"/>
  <c r="AC69" i="2"/>
  <c r="AD69" i="2"/>
  <c r="AE69" i="2"/>
  <c r="AF69" i="2"/>
  <c r="AG69" i="2"/>
  <c r="AH69" i="2"/>
  <c r="AI69" i="2"/>
  <c r="A70" i="2"/>
  <c r="B70" i="2"/>
  <c r="C70" i="2"/>
  <c r="D70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Z70" i="2"/>
  <c r="AA70" i="2"/>
  <c r="AB70" i="2"/>
  <c r="AC70" i="2"/>
  <c r="AD70" i="2"/>
  <c r="AE70" i="2"/>
  <c r="AF70" i="2"/>
  <c r="AG70" i="2"/>
  <c r="AH70" i="2"/>
  <c r="AI70" i="2"/>
  <c r="A71" i="2"/>
  <c r="B71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Y71" i="2"/>
  <c r="Z71" i="2"/>
  <c r="AA71" i="2"/>
  <c r="AB71" i="2"/>
  <c r="AC71" i="2"/>
  <c r="AD71" i="2"/>
  <c r="AE71" i="2"/>
  <c r="AF71" i="2"/>
  <c r="AG71" i="2"/>
  <c r="AH71" i="2"/>
  <c r="AI71" i="2"/>
  <c r="A72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Y72" i="2"/>
  <c r="Z72" i="2"/>
  <c r="AA72" i="2"/>
  <c r="AB72" i="2"/>
  <c r="AC72" i="2"/>
  <c r="AD72" i="2"/>
  <c r="AE72" i="2"/>
  <c r="AF72" i="2"/>
  <c r="AG72" i="2"/>
  <c r="AH72" i="2"/>
  <c r="AI72" i="2"/>
  <c r="A73" i="2"/>
  <c r="B73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W73" i="2"/>
  <c r="X73" i="2"/>
  <c r="Y73" i="2"/>
  <c r="Z73" i="2"/>
  <c r="AA73" i="2"/>
  <c r="AB73" i="2"/>
  <c r="AC73" i="2"/>
  <c r="AD73" i="2"/>
  <c r="AE73" i="2"/>
  <c r="AF73" i="2"/>
  <c r="AG73" i="2"/>
  <c r="AH73" i="2"/>
  <c r="AI73" i="2"/>
  <c r="A74" i="2"/>
  <c r="B74" i="2"/>
  <c r="C74" i="2"/>
  <c r="D74" i="2"/>
  <c r="E74" i="2"/>
  <c r="F74" i="2"/>
  <c r="G74" i="2"/>
  <c r="H74" i="2"/>
  <c r="I74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Z74" i="2"/>
  <c r="AA74" i="2"/>
  <c r="AB74" i="2"/>
  <c r="AC74" i="2"/>
  <c r="AD74" i="2"/>
  <c r="AE74" i="2"/>
  <c r="AF74" i="2"/>
  <c r="AG74" i="2"/>
  <c r="AH74" i="2"/>
  <c r="AI74" i="2"/>
  <c r="A75" i="2"/>
  <c r="B75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Z75" i="2"/>
  <c r="AA75" i="2"/>
  <c r="AB75" i="2"/>
  <c r="AC75" i="2"/>
  <c r="AD75" i="2"/>
  <c r="AE75" i="2"/>
  <c r="AF75" i="2"/>
  <c r="AG75" i="2"/>
  <c r="AH75" i="2"/>
  <c r="AI75" i="2"/>
  <c r="A76" i="2"/>
  <c r="B76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U76" i="2"/>
  <c r="V76" i="2"/>
  <c r="W76" i="2"/>
  <c r="X76" i="2"/>
  <c r="Y76" i="2"/>
  <c r="Z76" i="2"/>
  <c r="AA76" i="2"/>
  <c r="AB76" i="2"/>
  <c r="AC76" i="2"/>
  <c r="AD76" i="2"/>
  <c r="AE76" i="2"/>
  <c r="AF76" i="2"/>
  <c r="AG76" i="2"/>
  <c r="AH76" i="2"/>
  <c r="AI76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W77" i="2"/>
  <c r="X77" i="2"/>
  <c r="Y77" i="2"/>
  <c r="Z77" i="2"/>
  <c r="AA77" i="2"/>
  <c r="AB77" i="2"/>
  <c r="AC77" i="2"/>
  <c r="AD77" i="2"/>
  <c r="AE77" i="2"/>
  <c r="AH77" i="2"/>
  <c r="A78" i="2"/>
  <c r="B78" i="2"/>
  <c r="C78" i="2"/>
  <c r="D78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Y78" i="2"/>
  <c r="Z78" i="2"/>
  <c r="AA78" i="2"/>
  <c r="AB78" i="2"/>
  <c r="AC78" i="2"/>
  <c r="AD78" i="2"/>
  <c r="AE78" i="2"/>
  <c r="AF78" i="2"/>
  <c r="AG78" i="2"/>
  <c r="AH78" i="2"/>
  <c r="AI78" i="2"/>
  <c r="A79" i="2"/>
  <c r="B79" i="2"/>
  <c r="C79" i="2"/>
  <c r="D79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W79" i="2"/>
  <c r="X79" i="2"/>
  <c r="Y79" i="2"/>
  <c r="Z79" i="2"/>
  <c r="AA79" i="2"/>
  <c r="AB79" i="2"/>
  <c r="AC79" i="2"/>
  <c r="AD79" i="2"/>
  <c r="AE79" i="2"/>
  <c r="AF79" i="2"/>
  <c r="AG79" i="2"/>
  <c r="AH79" i="2"/>
  <c r="AI79" i="2"/>
  <c r="A80" i="2"/>
  <c r="B80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W80" i="2"/>
  <c r="X80" i="2"/>
  <c r="Y80" i="2"/>
  <c r="Z80" i="2"/>
  <c r="AA80" i="2"/>
  <c r="AB80" i="2"/>
  <c r="AC80" i="2"/>
  <c r="AD80" i="2"/>
  <c r="AE80" i="2"/>
  <c r="AF80" i="2"/>
  <c r="AG80" i="2"/>
  <c r="AH80" i="2"/>
  <c r="AI80" i="2"/>
  <c r="A81" i="2"/>
  <c r="B81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W81" i="2"/>
  <c r="X81" i="2"/>
  <c r="Y81" i="2"/>
  <c r="Z81" i="2"/>
  <c r="AA81" i="2"/>
  <c r="AB81" i="2"/>
  <c r="AC81" i="2"/>
  <c r="AD81" i="2"/>
  <c r="AE81" i="2"/>
  <c r="AF81" i="2"/>
  <c r="AG81" i="2"/>
  <c r="AH81" i="2"/>
  <c r="AI81" i="2"/>
  <c r="A82" i="2"/>
  <c r="B82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W82" i="2"/>
  <c r="X82" i="2"/>
  <c r="Y82" i="2"/>
  <c r="Z82" i="2"/>
  <c r="AA82" i="2"/>
  <c r="AB82" i="2"/>
  <c r="AC82" i="2"/>
  <c r="AD82" i="2"/>
  <c r="AE82" i="2"/>
  <c r="AF82" i="2"/>
  <c r="AG82" i="2"/>
  <c r="AH82" i="2"/>
  <c r="AI82" i="2"/>
  <c r="A83" i="2"/>
  <c r="B83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W83" i="2"/>
  <c r="X83" i="2"/>
  <c r="Y83" i="2"/>
  <c r="Z83" i="2"/>
  <c r="AA83" i="2"/>
  <c r="AB83" i="2"/>
  <c r="AC83" i="2"/>
  <c r="AD83" i="2"/>
  <c r="AE83" i="2"/>
  <c r="AF83" i="2"/>
  <c r="AG83" i="2"/>
  <c r="AH83" i="2"/>
  <c r="AI83" i="2"/>
  <c r="A84" i="2"/>
  <c r="B84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W84" i="2"/>
  <c r="X84" i="2"/>
  <c r="Y84" i="2"/>
  <c r="Z84" i="2"/>
  <c r="AA84" i="2"/>
  <c r="AB84" i="2"/>
  <c r="AC84" i="2"/>
  <c r="AD84" i="2"/>
  <c r="AE84" i="2"/>
  <c r="AF84" i="2"/>
  <c r="AG84" i="2"/>
  <c r="AH84" i="2"/>
  <c r="AI84" i="2"/>
  <c r="A85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W85" i="2"/>
  <c r="X85" i="2"/>
  <c r="Y85" i="2"/>
  <c r="Z85" i="2"/>
  <c r="AA85" i="2"/>
  <c r="AB85" i="2"/>
  <c r="AC85" i="2"/>
  <c r="AD85" i="2"/>
  <c r="AE85" i="2"/>
  <c r="AF85" i="2"/>
  <c r="AG85" i="2"/>
  <c r="AH85" i="2"/>
  <c r="AI85" i="2"/>
  <c r="A86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X86" i="2"/>
  <c r="Y86" i="2"/>
  <c r="Z86" i="2"/>
  <c r="AA86" i="2"/>
  <c r="AB86" i="2"/>
  <c r="AC86" i="2"/>
  <c r="AD86" i="2"/>
  <c r="AE86" i="2"/>
  <c r="AF86" i="2"/>
  <c r="AG86" i="2"/>
  <c r="AH86" i="2"/>
  <c r="AI86" i="2"/>
  <c r="A87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W87" i="2"/>
  <c r="X87" i="2"/>
  <c r="Y87" i="2"/>
  <c r="Z87" i="2"/>
  <c r="AA87" i="2"/>
  <c r="AB87" i="2"/>
  <c r="AC87" i="2"/>
  <c r="AD87" i="2"/>
  <c r="AE87" i="2"/>
  <c r="AF87" i="2"/>
  <c r="AG87" i="2"/>
  <c r="AH87" i="2"/>
  <c r="AI87" i="2"/>
  <c r="A88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W88" i="2"/>
  <c r="X88" i="2"/>
  <c r="Y88" i="2"/>
  <c r="Z88" i="2"/>
  <c r="AA88" i="2"/>
  <c r="AB88" i="2"/>
  <c r="AC88" i="2"/>
  <c r="AD88" i="2"/>
  <c r="AE88" i="2"/>
  <c r="AF88" i="2"/>
  <c r="AG88" i="2"/>
  <c r="AH88" i="2"/>
  <c r="AI88" i="2"/>
  <c r="A89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W89" i="2"/>
  <c r="X89" i="2"/>
  <c r="Y89" i="2"/>
  <c r="Z89" i="2"/>
  <c r="AA89" i="2"/>
  <c r="AB89" i="2"/>
  <c r="AC89" i="2"/>
  <c r="AD89" i="2"/>
  <c r="AE89" i="2"/>
  <c r="AF89" i="2"/>
  <c r="AG89" i="2"/>
  <c r="AH89" i="2"/>
  <c r="AI89" i="2"/>
  <c r="A90" i="2"/>
  <c r="B90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Y90" i="2"/>
  <c r="Z90" i="2"/>
  <c r="AA90" i="2"/>
  <c r="AB90" i="2"/>
  <c r="AC90" i="2"/>
  <c r="AD90" i="2"/>
  <c r="AE90" i="2"/>
  <c r="AF90" i="2"/>
  <c r="AG90" i="2"/>
  <c r="AH90" i="2"/>
  <c r="AI90" i="2"/>
  <c r="A91" i="2"/>
  <c r="B91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W91" i="2"/>
  <c r="X91" i="2"/>
  <c r="Y91" i="2"/>
  <c r="Z91" i="2"/>
  <c r="AA91" i="2"/>
  <c r="AB91" i="2"/>
  <c r="AC91" i="2"/>
  <c r="AD91" i="2"/>
  <c r="AE91" i="2"/>
  <c r="AF91" i="2"/>
  <c r="AG91" i="2"/>
  <c r="AH91" i="2"/>
  <c r="AI91" i="2"/>
  <c r="A92" i="2"/>
  <c r="B92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Z92" i="2"/>
  <c r="AA92" i="2"/>
  <c r="AB92" i="2"/>
  <c r="AC92" i="2"/>
  <c r="AD92" i="2"/>
  <c r="AE92" i="2"/>
  <c r="AF92" i="2"/>
  <c r="AG92" i="2"/>
  <c r="AH92" i="2"/>
  <c r="AI92" i="2"/>
  <c r="A93" i="2"/>
  <c r="B93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W93" i="2"/>
  <c r="X93" i="2"/>
  <c r="Y93" i="2"/>
  <c r="Z93" i="2"/>
  <c r="AA93" i="2"/>
  <c r="AB93" i="2"/>
  <c r="AC93" i="2"/>
  <c r="AD93" i="2"/>
  <c r="AE93" i="2"/>
  <c r="AF93" i="2"/>
  <c r="AG93" i="2"/>
  <c r="AH93" i="2"/>
  <c r="AI93" i="2"/>
  <c r="A94" i="2"/>
  <c r="B94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W94" i="2"/>
  <c r="X94" i="2"/>
  <c r="Y94" i="2"/>
  <c r="Z94" i="2"/>
  <c r="AA94" i="2"/>
  <c r="AB94" i="2"/>
  <c r="AC94" i="2"/>
  <c r="AD94" i="2"/>
  <c r="AE94" i="2"/>
  <c r="AF94" i="2"/>
  <c r="AG94" i="2"/>
  <c r="AH94" i="2"/>
  <c r="AI94" i="2"/>
  <c r="A95" i="2"/>
  <c r="B95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Z95" i="2"/>
  <c r="AA95" i="2"/>
  <c r="AB95" i="2"/>
  <c r="AC95" i="2"/>
  <c r="AD95" i="2"/>
  <c r="AE95" i="2"/>
  <c r="AF95" i="2"/>
  <c r="AG95" i="2"/>
  <c r="AH95" i="2"/>
  <c r="AI95" i="2"/>
  <c r="A96" i="2"/>
  <c r="B96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Y96" i="2"/>
  <c r="Z96" i="2"/>
  <c r="AA96" i="2"/>
  <c r="AB96" i="2"/>
  <c r="AC96" i="2"/>
  <c r="AD96" i="2"/>
  <c r="AE96" i="2"/>
  <c r="AF96" i="2"/>
  <c r="AG96" i="2"/>
  <c r="AH96" i="2"/>
  <c r="AI96" i="2"/>
  <c r="A97" i="2"/>
  <c r="B97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W97" i="2"/>
  <c r="X97" i="2"/>
  <c r="Y97" i="2"/>
  <c r="Z97" i="2"/>
  <c r="AA97" i="2"/>
  <c r="AB97" i="2"/>
  <c r="AC97" i="2"/>
  <c r="AD97" i="2"/>
  <c r="AE97" i="2"/>
  <c r="AF97" i="2"/>
  <c r="AG97" i="2"/>
  <c r="AH97" i="2"/>
  <c r="AI97" i="2"/>
  <c r="A98" i="2"/>
  <c r="B98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Y98" i="2"/>
  <c r="Z98" i="2"/>
  <c r="AA98" i="2"/>
  <c r="AB98" i="2"/>
  <c r="AC98" i="2"/>
  <c r="AD98" i="2"/>
  <c r="AE98" i="2"/>
  <c r="AF98" i="2"/>
  <c r="AG98" i="2"/>
  <c r="AH98" i="2"/>
  <c r="AI98" i="2"/>
  <c r="A99" i="2"/>
  <c r="B99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Y99" i="2"/>
  <c r="Z99" i="2"/>
  <c r="AA99" i="2"/>
  <c r="AB99" i="2"/>
  <c r="AC99" i="2"/>
  <c r="AD99" i="2"/>
  <c r="AE99" i="2"/>
  <c r="AF99" i="2"/>
  <c r="AG99" i="2"/>
  <c r="AH99" i="2"/>
  <c r="AI99" i="2"/>
  <c r="A100" i="2"/>
  <c r="B100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W100" i="2"/>
  <c r="X100" i="2"/>
  <c r="Y100" i="2"/>
  <c r="Z100" i="2"/>
  <c r="AA100" i="2"/>
  <c r="AB100" i="2"/>
  <c r="AC100" i="2"/>
  <c r="AD100" i="2"/>
  <c r="AE100" i="2"/>
  <c r="AF100" i="2"/>
  <c r="AG100" i="2"/>
  <c r="AH100" i="2"/>
  <c r="AI100" i="2"/>
  <c r="A101" i="2"/>
  <c r="B101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W101" i="2"/>
  <c r="X101" i="2"/>
  <c r="Y101" i="2"/>
  <c r="Z101" i="2"/>
  <c r="AA101" i="2"/>
  <c r="AB101" i="2"/>
  <c r="AC101" i="2"/>
  <c r="AD101" i="2"/>
  <c r="AE101" i="2"/>
  <c r="AF101" i="2"/>
  <c r="AG101" i="2"/>
  <c r="AH101" i="2"/>
  <c r="AI101" i="2"/>
  <c r="A102" i="2"/>
  <c r="B102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W102" i="2"/>
  <c r="X102" i="2"/>
  <c r="Y102" i="2"/>
  <c r="Z102" i="2"/>
  <c r="AA102" i="2"/>
  <c r="AB102" i="2"/>
  <c r="AC102" i="2"/>
  <c r="AD102" i="2"/>
  <c r="AE102" i="2"/>
  <c r="AF102" i="2"/>
  <c r="AG102" i="2"/>
  <c r="AH102" i="2"/>
  <c r="AI102" i="2"/>
  <c r="A103" i="2"/>
  <c r="B103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W103" i="2"/>
  <c r="X103" i="2"/>
  <c r="Y103" i="2"/>
  <c r="Z103" i="2"/>
  <c r="AA103" i="2"/>
  <c r="AB103" i="2"/>
  <c r="AC103" i="2"/>
  <c r="AD103" i="2"/>
  <c r="AE103" i="2"/>
  <c r="AF103" i="2"/>
  <c r="AG103" i="2"/>
  <c r="AH103" i="2"/>
  <c r="AI103" i="2"/>
  <c r="A104" i="2"/>
  <c r="B104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Z104" i="2"/>
  <c r="AA104" i="2"/>
  <c r="AB104" i="2"/>
  <c r="AC104" i="2"/>
  <c r="AD104" i="2"/>
  <c r="AE104" i="2"/>
  <c r="AF104" i="2"/>
  <c r="AG104" i="2"/>
  <c r="AH104" i="2"/>
  <c r="AI104" i="2"/>
  <c r="A105" i="2"/>
  <c r="B105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Z105" i="2"/>
  <c r="AA105" i="2"/>
  <c r="AB105" i="2"/>
  <c r="AC105" i="2"/>
  <c r="AD105" i="2"/>
  <c r="AE105" i="2"/>
  <c r="AF105" i="2"/>
  <c r="AG105" i="2"/>
  <c r="AH105" i="2"/>
  <c r="AI105" i="2"/>
  <c r="A106" i="2"/>
  <c r="B106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AA106" i="2"/>
  <c r="AB106" i="2"/>
  <c r="AC106" i="2"/>
  <c r="AD106" i="2"/>
  <c r="AE106" i="2"/>
  <c r="AF106" i="2"/>
  <c r="AG106" i="2"/>
  <c r="AH106" i="2"/>
  <c r="AI106" i="2"/>
  <c r="A107" i="2"/>
  <c r="B107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A107" i="2"/>
  <c r="AB107" i="2"/>
  <c r="AC107" i="2"/>
  <c r="AD107" i="2"/>
  <c r="AE107" i="2"/>
  <c r="AF107" i="2"/>
  <c r="AG107" i="2"/>
  <c r="AH107" i="2"/>
  <c r="AI107" i="2"/>
  <c r="A108" i="2"/>
  <c r="B108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Z108" i="2"/>
  <c r="AA108" i="2"/>
  <c r="AB108" i="2"/>
  <c r="AC108" i="2"/>
  <c r="AD108" i="2"/>
  <c r="AE108" i="2"/>
  <c r="AF108" i="2"/>
  <c r="AG108" i="2"/>
  <c r="AH108" i="2"/>
  <c r="AI108" i="2"/>
  <c r="A109" i="2"/>
  <c r="B109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Z109" i="2"/>
  <c r="AA109" i="2"/>
  <c r="AB109" i="2"/>
  <c r="AC109" i="2"/>
  <c r="AD109" i="2"/>
  <c r="AE109" i="2"/>
  <c r="AF109" i="2"/>
  <c r="AG109" i="2"/>
  <c r="AH109" i="2"/>
  <c r="AI109" i="2"/>
  <c r="A110" i="2"/>
  <c r="B110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Z110" i="2"/>
  <c r="AA110" i="2"/>
  <c r="AB110" i="2"/>
  <c r="AC110" i="2"/>
  <c r="AD110" i="2"/>
  <c r="AE110" i="2"/>
  <c r="AF110" i="2"/>
  <c r="AG110" i="2"/>
  <c r="AH110" i="2"/>
  <c r="AI110" i="2"/>
  <c r="A111" i="2"/>
  <c r="B111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X111" i="2"/>
  <c r="Y111" i="2"/>
  <c r="Z111" i="2"/>
  <c r="AA111" i="2"/>
  <c r="AB111" i="2"/>
  <c r="AC111" i="2"/>
  <c r="AD111" i="2"/>
  <c r="AE111" i="2"/>
  <c r="AF111" i="2"/>
  <c r="AG111" i="2"/>
  <c r="AH111" i="2"/>
  <c r="AI111" i="2"/>
  <c r="A112" i="2"/>
  <c r="B112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113" i="2"/>
  <c r="B113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114" i="2"/>
  <c r="B114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Y114" i="2"/>
  <c r="Z114" i="2"/>
  <c r="AA114" i="2"/>
  <c r="AB114" i="2"/>
  <c r="AC114" i="2"/>
  <c r="AD114" i="2"/>
  <c r="AE114" i="2"/>
  <c r="AF114" i="2"/>
  <c r="AG114" i="2"/>
  <c r="AH114" i="2"/>
  <c r="AI114" i="2"/>
  <c r="A115" i="2"/>
  <c r="B115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Y115" i="2"/>
  <c r="Z115" i="2"/>
  <c r="AA115" i="2"/>
  <c r="AB115" i="2"/>
  <c r="AC115" i="2"/>
  <c r="AD115" i="2"/>
  <c r="AE115" i="2"/>
  <c r="AF115" i="2"/>
  <c r="AG115" i="2"/>
  <c r="AH115" i="2"/>
  <c r="AI115" i="2"/>
  <c r="A116" i="2"/>
  <c r="B116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Y116" i="2"/>
  <c r="Z116" i="2"/>
  <c r="AA116" i="2"/>
  <c r="AB116" i="2"/>
  <c r="AC116" i="2"/>
  <c r="AD116" i="2"/>
  <c r="AE116" i="2"/>
  <c r="AF116" i="2"/>
  <c r="AG116" i="2"/>
  <c r="AH116" i="2"/>
  <c r="AI116" i="2"/>
  <c r="A117" i="2"/>
  <c r="B117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Y117" i="2"/>
  <c r="Z117" i="2"/>
  <c r="AA117" i="2"/>
  <c r="AB117" i="2"/>
  <c r="AC117" i="2"/>
  <c r="AD117" i="2"/>
  <c r="AE117" i="2"/>
  <c r="AF117" i="2"/>
  <c r="AG117" i="2"/>
  <c r="AH117" i="2"/>
  <c r="AI117" i="2"/>
  <c r="A118" i="2"/>
  <c r="B118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A118" i="2"/>
  <c r="AB118" i="2"/>
  <c r="AC118" i="2"/>
  <c r="AD118" i="2"/>
  <c r="AE118" i="2"/>
  <c r="AF118" i="2"/>
  <c r="AG118" i="2"/>
  <c r="AH118" i="2"/>
  <c r="AI118" i="2"/>
  <c r="A119" i="2"/>
  <c r="B119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A119" i="2"/>
  <c r="AB119" i="2"/>
  <c r="AC119" i="2"/>
  <c r="AD119" i="2"/>
  <c r="AE119" i="2"/>
  <c r="AF119" i="2"/>
  <c r="AG119" i="2"/>
  <c r="AH119" i="2"/>
  <c r="AI119" i="2"/>
  <c r="A120" i="2"/>
  <c r="B120" i="2"/>
  <c r="C120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U120" i="2"/>
  <c r="V120" i="2"/>
  <c r="W120" i="2"/>
  <c r="X120" i="2"/>
  <c r="Y120" i="2"/>
  <c r="Z120" i="2"/>
  <c r="AA120" i="2"/>
  <c r="AB120" i="2"/>
  <c r="AC120" i="2"/>
  <c r="AD120" i="2"/>
  <c r="AE120" i="2"/>
  <c r="AF120" i="2"/>
  <c r="AG120" i="2"/>
  <c r="AH120" i="2"/>
  <c r="AI120" i="2"/>
  <c r="A121" i="2"/>
  <c r="B121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V121" i="2"/>
  <c r="W121" i="2"/>
  <c r="X121" i="2"/>
  <c r="Y121" i="2"/>
  <c r="Z121" i="2"/>
  <c r="AA121" i="2"/>
  <c r="AB121" i="2"/>
  <c r="AC121" i="2"/>
  <c r="AD121" i="2"/>
  <c r="AE121" i="2"/>
  <c r="AF121" i="2"/>
  <c r="AG121" i="2"/>
  <c r="AH121" i="2"/>
  <c r="AI121" i="2"/>
  <c r="A122" i="2"/>
  <c r="B122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W122" i="2"/>
  <c r="X122" i="2"/>
  <c r="Y122" i="2"/>
  <c r="Z122" i="2"/>
  <c r="AA122" i="2"/>
  <c r="AB122" i="2"/>
  <c r="AC122" i="2"/>
  <c r="AD122" i="2"/>
  <c r="AE122" i="2"/>
  <c r="AF122" i="2"/>
  <c r="AG122" i="2"/>
  <c r="AH122" i="2"/>
  <c r="AI122" i="2"/>
  <c r="A123" i="2"/>
  <c r="B123" i="2"/>
  <c r="C123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Y123" i="2"/>
  <c r="Z123" i="2"/>
  <c r="AA123" i="2"/>
  <c r="AB123" i="2"/>
  <c r="AC123" i="2"/>
  <c r="AD123" i="2"/>
  <c r="AE123" i="2"/>
  <c r="AF123" i="2"/>
  <c r="AG123" i="2"/>
  <c r="AH123" i="2"/>
  <c r="AI123" i="2"/>
  <c r="A124" i="2"/>
  <c r="B124" i="2"/>
  <c r="C124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Y124" i="2"/>
  <c r="Z124" i="2"/>
  <c r="AA124" i="2"/>
  <c r="AB124" i="2"/>
  <c r="AC124" i="2"/>
  <c r="AD124" i="2"/>
  <c r="AE124" i="2"/>
  <c r="AF124" i="2"/>
  <c r="AG124" i="2"/>
  <c r="AH124" i="2"/>
  <c r="AI124" i="2"/>
  <c r="A125" i="2"/>
  <c r="B125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X125" i="2"/>
  <c r="Y125" i="2"/>
  <c r="Z125" i="2"/>
  <c r="AA125" i="2"/>
  <c r="AB125" i="2"/>
  <c r="AC125" i="2"/>
  <c r="AD125" i="2"/>
  <c r="AE125" i="2"/>
  <c r="AF125" i="2"/>
  <c r="AG125" i="2"/>
  <c r="AH125" i="2"/>
  <c r="AI125" i="2"/>
  <c r="A126" i="2"/>
  <c r="B126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Y126" i="2"/>
  <c r="Z126" i="2"/>
  <c r="AA126" i="2"/>
  <c r="AB126" i="2"/>
  <c r="AC126" i="2"/>
  <c r="AD126" i="2"/>
  <c r="AE126" i="2"/>
  <c r="AF126" i="2"/>
  <c r="AG126" i="2"/>
  <c r="AH126" i="2"/>
  <c r="AI126" i="2"/>
  <c r="A127" i="2"/>
  <c r="B127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U127" i="2"/>
  <c r="V127" i="2"/>
  <c r="W127" i="2"/>
  <c r="X127" i="2"/>
  <c r="Y127" i="2"/>
  <c r="Z127" i="2"/>
  <c r="AA127" i="2"/>
  <c r="AB127" i="2"/>
  <c r="AC127" i="2"/>
  <c r="AD127" i="2"/>
  <c r="AE127" i="2"/>
  <c r="AF127" i="2"/>
  <c r="AG127" i="2"/>
  <c r="AH127" i="2"/>
  <c r="AI127" i="2"/>
  <c r="A128" i="2"/>
  <c r="B128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V128" i="2"/>
  <c r="W128" i="2"/>
  <c r="X128" i="2"/>
  <c r="Y128" i="2"/>
  <c r="Z128" i="2"/>
  <c r="AA128" i="2"/>
  <c r="AB128" i="2"/>
  <c r="AC128" i="2"/>
  <c r="AD128" i="2"/>
  <c r="AE128" i="2"/>
  <c r="AF128" i="2"/>
  <c r="AG128" i="2"/>
  <c r="AH128" i="2"/>
  <c r="AI128" i="2"/>
  <c r="A129" i="2"/>
  <c r="B129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T129" i="2"/>
  <c r="U129" i="2"/>
  <c r="V129" i="2"/>
  <c r="W129" i="2"/>
  <c r="X129" i="2"/>
  <c r="Y129" i="2"/>
  <c r="Z129" i="2"/>
  <c r="AA129" i="2"/>
  <c r="AB129" i="2"/>
  <c r="AC129" i="2"/>
  <c r="AD129" i="2"/>
  <c r="AE129" i="2"/>
  <c r="AF129" i="2"/>
  <c r="AG129" i="2"/>
  <c r="AH129" i="2"/>
  <c r="AI129" i="2"/>
  <c r="A130" i="2"/>
  <c r="B130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T130" i="2"/>
  <c r="U130" i="2"/>
  <c r="V130" i="2"/>
  <c r="W130" i="2"/>
  <c r="X130" i="2"/>
  <c r="Y130" i="2"/>
  <c r="Z130" i="2"/>
  <c r="AA130" i="2"/>
  <c r="AB130" i="2"/>
  <c r="AC130" i="2"/>
  <c r="AD130" i="2"/>
  <c r="AE130" i="2"/>
  <c r="AF130" i="2"/>
  <c r="AG130" i="2"/>
  <c r="AH130" i="2"/>
  <c r="AI130" i="2"/>
  <c r="A131" i="2"/>
  <c r="B131" i="2"/>
  <c r="C131" i="2"/>
  <c r="D131" i="2"/>
  <c r="E131" i="2"/>
  <c r="F131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Z131" i="2"/>
  <c r="AA131" i="2"/>
  <c r="AB131" i="2"/>
  <c r="AC131" i="2"/>
  <c r="AD131" i="2"/>
  <c r="AE131" i="2"/>
  <c r="AF131" i="2"/>
  <c r="AG131" i="2"/>
  <c r="AH131" i="2"/>
  <c r="AI131" i="2"/>
  <c r="A132" i="2"/>
  <c r="B132" i="2"/>
  <c r="C132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Z132" i="2"/>
  <c r="AA132" i="2"/>
  <c r="AB132" i="2"/>
  <c r="AC132" i="2"/>
  <c r="AD132" i="2"/>
  <c r="AE132" i="2"/>
  <c r="AF132" i="2"/>
  <c r="AG132" i="2"/>
  <c r="AH132" i="2"/>
  <c r="AI132" i="2"/>
  <c r="A133" i="2"/>
  <c r="B133" i="2"/>
  <c r="C133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Y133" i="2"/>
  <c r="Z133" i="2"/>
  <c r="AA133" i="2"/>
  <c r="AB133" i="2"/>
  <c r="AC133" i="2"/>
  <c r="AD133" i="2"/>
  <c r="AE133" i="2"/>
  <c r="AF133" i="2"/>
  <c r="AG133" i="2"/>
  <c r="AH133" i="2"/>
  <c r="AI133" i="2"/>
  <c r="A134" i="2"/>
  <c r="B134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Y134" i="2"/>
  <c r="Z134" i="2"/>
  <c r="AA134" i="2"/>
  <c r="AB134" i="2"/>
  <c r="AC134" i="2"/>
  <c r="AD134" i="2"/>
  <c r="AE134" i="2"/>
  <c r="AF134" i="2"/>
  <c r="AG134" i="2"/>
  <c r="AH134" i="2"/>
  <c r="AI134" i="2"/>
  <c r="A135" i="2"/>
  <c r="B135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W135" i="2"/>
  <c r="X135" i="2"/>
  <c r="Y135" i="2"/>
  <c r="Z135" i="2"/>
  <c r="AA135" i="2"/>
  <c r="AB135" i="2"/>
  <c r="AC135" i="2"/>
  <c r="AD135" i="2"/>
  <c r="AE135" i="2"/>
  <c r="AF135" i="2"/>
  <c r="AG135" i="2"/>
  <c r="AH135" i="2"/>
  <c r="AI135" i="2"/>
  <c r="A136" i="2"/>
  <c r="B136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V136" i="2"/>
  <c r="W136" i="2"/>
  <c r="X136" i="2"/>
  <c r="Y136" i="2"/>
  <c r="Z136" i="2"/>
  <c r="AA136" i="2"/>
  <c r="AB136" i="2"/>
  <c r="AC136" i="2"/>
  <c r="AD136" i="2"/>
  <c r="AE136" i="2"/>
  <c r="AF136" i="2"/>
  <c r="AG136" i="2"/>
  <c r="AH136" i="2"/>
  <c r="AI136" i="2"/>
  <c r="A137" i="2"/>
  <c r="B137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V137" i="2"/>
  <c r="W137" i="2"/>
  <c r="X137" i="2"/>
  <c r="Y137" i="2"/>
  <c r="Z137" i="2"/>
  <c r="AA137" i="2"/>
  <c r="AB137" i="2"/>
  <c r="AC137" i="2"/>
  <c r="AD137" i="2"/>
  <c r="AE137" i="2"/>
  <c r="AF137" i="2"/>
  <c r="AG137" i="2"/>
  <c r="AH137" i="2"/>
  <c r="AI137" i="2"/>
  <c r="A138" i="2"/>
  <c r="B138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V138" i="2"/>
  <c r="W138" i="2"/>
  <c r="X138" i="2"/>
  <c r="Y138" i="2"/>
  <c r="Z138" i="2"/>
  <c r="AA138" i="2"/>
  <c r="AB138" i="2"/>
  <c r="AC138" i="2"/>
  <c r="AD138" i="2"/>
  <c r="AE138" i="2"/>
  <c r="AF138" i="2"/>
  <c r="AG138" i="2"/>
  <c r="AH138" i="2"/>
  <c r="AI138" i="2"/>
  <c r="A139" i="2"/>
  <c r="B139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U139" i="2"/>
  <c r="V139" i="2"/>
  <c r="W139" i="2"/>
  <c r="X139" i="2"/>
  <c r="Y139" i="2"/>
  <c r="Z139" i="2"/>
  <c r="AA139" i="2"/>
  <c r="AB139" i="2"/>
  <c r="AC139" i="2"/>
  <c r="AD139" i="2"/>
  <c r="AE139" i="2"/>
  <c r="AF139" i="2"/>
  <c r="AG139" i="2"/>
  <c r="AH139" i="2"/>
  <c r="AI139" i="2"/>
  <c r="A140" i="2"/>
  <c r="B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A141" i="2"/>
  <c r="B141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A142" i="2"/>
  <c r="B142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A143" i="2"/>
  <c r="B143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A144" i="2"/>
  <c r="B144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A145" i="2"/>
  <c r="B145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X145" i="2"/>
  <c r="Y145" i="2"/>
  <c r="Z145" i="2"/>
  <c r="AA145" i="2"/>
  <c r="AB145" i="2"/>
  <c r="AC145" i="2"/>
  <c r="AD145" i="2"/>
  <c r="AE145" i="2"/>
  <c r="AF145" i="2"/>
  <c r="AG145" i="2"/>
  <c r="AH145" i="2"/>
  <c r="AI145" i="2"/>
  <c r="A146" i="2"/>
  <c r="B146" i="2"/>
  <c r="C146" i="2"/>
  <c r="D146" i="2"/>
  <c r="E146" i="2"/>
  <c r="F146" i="2"/>
  <c r="G146" i="2"/>
  <c r="H146" i="2"/>
  <c r="I146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X146" i="2"/>
  <c r="Y146" i="2"/>
  <c r="Z146" i="2"/>
  <c r="AA146" i="2"/>
  <c r="AB146" i="2"/>
  <c r="AC146" i="2"/>
  <c r="AD146" i="2"/>
  <c r="AE146" i="2"/>
  <c r="AF146" i="2"/>
  <c r="AG146" i="2"/>
  <c r="AH146" i="2"/>
  <c r="AI146" i="2"/>
  <c r="A147" i="2"/>
  <c r="B147" i="2"/>
  <c r="C147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U147" i="2"/>
  <c r="V147" i="2"/>
  <c r="W147" i="2"/>
  <c r="X147" i="2"/>
  <c r="Y147" i="2"/>
  <c r="Z147" i="2"/>
  <c r="AA147" i="2"/>
  <c r="AB147" i="2"/>
  <c r="AC147" i="2"/>
  <c r="AD147" i="2"/>
  <c r="AE147" i="2"/>
  <c r="AF147" i="2"/>
  <c r="AG147" i="2"/>
  <c r="AH147" i="2"/>
  <c r="AI147" i="2"/>
  <c r="A148" i="2"/>
  <c r="B148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W148" i="2"/>
  <c r="X148" i="2"/>
  <c r="Y148" i="2"/>
  <c r="Z148" i="2"/>
  <c r="AA148" i="2"/>
  <c r="AB148" i="2"/>
  <c r="AC148" i="2"/>
  <c r="AD148" i="2"/>
  <c r="AE148" i="2"/>
  <c r="AF148" i="2"/>
  <c r="AG148" i="2"/>
  <c r="AH148" i="2"/>
  <c r="AI148" i="2"/>
  <c r="A149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W149" i="2"/>
  <c r="X149" i="2"/>
  <c r="Y149" i="2"/>
  <c r="Z149" i="2"/>
  <c r="AA149" i="2"/>
  <c r="AB149" i="2"/>
  <c r="AC149" i="2"/>
  <c r="AD149" i="2"/>
  <c r="AE149" i="2"/>
  <c r="AF149" i="2"/>
  <c r="AG149" i="2"/>
  <c r="AH149" i="2"/>
  <c r="AI149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V150" i="2"/>
  <c r="W150" i="2"/>
  <c r="X150" i="2"/>
  <c r="Y150" i="2"/>
  <c r="Z150" i="2"/>
  <c r="AA150" i="2"/>
  <c r="AB150" i="2"/>
  <c r="AC150" i="2"/>
  <c r="AD150" i="2"/>
  <c r="AE150" i="2"/>
  <c r="AH150" i="2"/>
  <c r="A151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W151" i="2"/>
  <c r="X151" i="2"/>
  <c r="Y151" i="2"/>
  <c r="Z151" i="2"/>
  <c r="AA151" i="2"/>
  <c r="AB151" i="2"/>
  <c r="AC151" i="2"/>
  <c r="AD151" i="2"/>
  <c r="AE151" i="2"/>
  <c r="AH151" i="2"/>
  <c r="AI151" i="2"/>
  <c r="A152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V152" i="2"/>
  <c r="W152" i="2"/>
  <c r="X152" i="2"/>
  <c r="Y152" i="2"/>
  <c r="Z152" i="2"/>
  <c r="AA152" i="2"/>
  <c r="AB152" i="2"/>
  <c r="AC152" i="2"/>
  <c r="AD152" i="2"/>
  <c r="AE152" i="2"/>
  <c r="AH152" i="2"/>
  <c r="AI152" i="2"/>
  <c r="A153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Y153" i="2"/>
  <c r="Z153" i="2"/>
  <c r="AA153" i="2"/>
  <c r="AB153" i="2"/>
  <c r="AC153" i="2"/>
  <c r="AD153" i="2"/>
  <c r="AE153" i="2"/>
  <c r="AH153" i="2"/>
  <c r="AI153" i="2"/>
  <c r="A154" i="2"/>
  <c r="B154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V154" i="2"/>
  <c r="W154" i="2"/>
  <c r="X154" i="2"/>
  <c r="Y154" i="2"/>
  <c r="Z154" i="2"/>
  <c r="AA154" i="2"/>
  <c r="AB154" i="2"/>
  <c r="AC154" i="2"/>
  <c r="AD154" i="2"/>
  <c r="AE154" i="2"/>
  <c r="AH154" i="2"/>
  <c r="AI154" i="2"/>
  <c r="A155" i="2"/>
  <c r="B155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V155" i="2"/>
  <c r="W155" i="2"/>
  <c r="X155" i="2"/>
  <c r="Y155" i="2"/>
  <c r="Z155" i="2"/>
  <c r="AA155" i="2"/>
  <c r="AB155" i="2"/>
  <c r="AC155" i="2"/>
  <c r="AD155" i="2"/>
  <c r="AE155" i="2"/>
  <c r="AH155" i="2"/>
  <c r="AI155" i="2"/>
  <c r="A156" i="2"/>
  <c r="B156" i="2"/>
  <c r="C156" i="2"/>
  <c r="D156" i="2"/>
  <c r="E156" i="2"/>
  <c r="F156" i="2"/>
  <c r="G156" i="2"/>
  <c r="H156" i="2"/>
  <c r="I156" i="2"/>
  <c r="J156" i="2"/>
  <c r="K156" i="2"/>
  <c r="L156" i="2"/>
  <c r="M156" i="2"/>
  <c r="N156" i="2"/>
  <c r="O156" i="2"/>
  <c r="P156" i="2"/>
  <c r="Q156" i="2"/>
  <c r="R156" i="2"/>
  <c r="S156" i="2"/>
  <c r="T156" i="2"/>
  <c r="U156" i="2"/>
  <c r="V156" i="2"/>
  <c r="W156" i="2"/>
  <c r="X156" i="2"/>
  <c r="Y156" i="2"/>
  <c r="Z156" i="2"/>
  <c r="AA156" i="2"/>
  <c r="AB156" i="2"/>
  <c r="AC156" i="2"/>
  <c r="AD156" i="2"/>
  <c r="AE156" i="2"/>
  <c r="AH156" i="2"/>
  <c r="AI156" i="2"/>
  <c r="A157" i="2"/>
  <c r="B157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V157" i="2"/>
  <c r="W157" i="2"/>
  <c r="X157" i="2"/>
  <c r="Y157" i="2"/>
  <c r="Z157" i="2"/>
  <c r="AA157" i="2"/>
  <c r="AB157" i="2"/>
  <c r="AC157" i="2"/>
  <c r="AD157" i="2"/>
  <c r="AE157" i="2"/>
  <c r="AH157" i="2"/>
  <c r="AI157" i="2"/>
  <c r="A158" i="2"/>
  <c r="B158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V158" i="2"/>
  <c r="W158" i="2"/>
  <c r="X158" i="2"/>
  <c r="Y158" i="2"/>
  <c r="Z158" i="2"/>
  <c r="AA158" i="2"/>
  <c r="AB158" i="2"/>
  <c r="AC158" i="2"/>
  <c r="AD158" i="2"/>
  <c r="AE158" i="2"/>
  <c r="AH158" i="2"/>
  <c r="AI158" i="2"/>
  <c r="A159" i="2"/>
  <c r="B159" i="2"/>
  <c r="C159" i="2"/>
  <c r="D159" i="2"/>
  <c r="E159" i="2"/>
  <c r="F159" i="2"/>
  <c r="G159" i="2"/>
  <c r="H159" i="2"/>
  <c r="I159" i="2"/>
  <c r="J159" i="2"/>
  <c r="K159" i="2"/>
  <c r="L159" i="2"/>
  <c r="M159" i="2"/>
  <c r="N159" i="2"/>
  <c r="O159" i="2"/>
  <c r="P159" i="2"/>
  <c r="Q159" i="2"/>
  <c r="R159" i="2"/>
  <c r="S159" i="2"/>
  <c r="T159" i="2"/>
  <c r="U159" i="2"/>
  <c r="V159" i="2"/>
  <c r="W159" i="2"/>
  <c r="X159" i="2"/>
  <c r="Y159" i="2"/>
  <c r="Z159" i="2"/>
  <c r="AA159" i="2"/>
  <c r="AB159" i="2"/>
  <c r="AC159" i="2"/>
  <c r="AD159" i="2"/>
  <c r="AE159" i="2"/>
  <c r="AH159" i="2"/>
  <c r="AI159" i="2"/>
  <c r="A160" i="2"/>
  <c r="B160" i="2"/>
  <c r="C160" i="2"/>
  <c r="D160" i="2"/>
  <c r="E160" i="2"/>
  <c r="F160" i="2"/>
  <c r="G160" i="2"/>
  <c r="H160" i="2"/>
  <c r="I160" i="2"/>
  <c r="J160" i="2"/>
  <c r="K160" i="2"/>
  <c r="L160" i="2"/>
  <c r="M160" i="2"/>
  <c r="N160" i="2"/>
  <c r="O160" i="2"/>
  <c r="P160" i="2"/>
  <c r="Q160" i="2"/>
  <c r="R160" i="2"/>
  <c r="S160" i="2"/>
  <c r="T160" i="2"/>
  <c r="U160" i="2"/>
  <c r="V160" i="2"/>
  <c r="W160" i="2"/>
  <c r="X160" i="2"/>
  <c r="Y160" i="2"/>
  <c r="Z160" i="2"/>
  <c r="AA160" i="2"/>
  <c r="AB160" i="2"/>
  <c r="AC160" i="2"/>
  <c r="AD160" i="2"/>
  <c r="AE160" i="2"/>
  <c r="AH160" i="2"/>
  <c r="AI160" i="2"/>
  <c r="A161" i="2"/>
  <c r="B161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U161" i="2"/>
  <c r="V161" i="2"/>
  <c r="W161" i="2"/>
  <c r="X161" i="2"/>
  <c r="Y161" i="2"/>
  <c r="Z161" i="2"/>
  <c r="AA161" i="2"/>
  <c r="AB161" i="2"/>
  <c r="AC161" i="2"/>
  <c r="AD161" i="2"/>
  <c r="AE161" i="2"/>
  <c r="AH161" i="2"/>
  <c r="AI161" i="2"/>
  <c r="A162" i="2"/>
  <c r="B162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V162" i="2"/>
  <c r="W162" i="2"/>
  <c r="X162" i="2"/>
  <c r="Y162" i="2"/>
  <c r="Z162" i="2"/>
  <c r="AA162" i="2"/>
  <c r="AB162" i="2"/>
  <c r="AC162" i="2"/>
  <c r="AD162" i="2"/>
  <c r="AE162" i="2"/>
  <c r="AH162" i="2"/>
  <c r="AI162" i="2"/>
  <c r="A163" i="2"/>
  <c r="B163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T163" i="2"/>
  <c r="U163" i="2"/>
  <c r="V163" i="2"/>
  <c r="W163" i="2"/>
  <c r="X163" i="2"/>
  <c r="Y163" i="2"/>
  <c r="Z163" i="2"/>
  <c r="AA163" i="2"/>
  <c r="AB163" i="2"/>
  <c r="AC163" i="2"/>
  <c r="AD163" i="2"/>
  <c r="AE163" i="2"/>
  <c r="AH163" i="2"/>
  <c r="AI163" i="2"/>
  <c r="A164" i="2"/>
  <c r="B164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P164" i="2"/>
  <c r="Q164" i="2"/>
  <c r="R164" i="2"/>
  <c r="S164" i="2"/>
  <c r="T164" i="2"/>
  <c r="U164" i="2"/>
  <c r="V164" i="2"/>
  <c r="W164" i="2"/>
  <c r="X164" i="2"/>
  <c r="Y164" i="2"/>
  <c r="Z164" i="2"/>
  <c r="AA164" i="2"/>
  <c r="AB164" i="2"/>
  <c r="AC164" i="2"/>
  <c r="AD164" i="2"/>
  <c r="AE164" i="2"/>
  <c r="AH164" i="2"/>
  <c r="AI164" i="2"/>
  <c r="A165" i="2"/>
  <c r="B165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P165" i="2"/>
  <c r="Q165" i="2"/>
  <c r="R165" i="2"/>
  <c r="S165" i="2"/>
  <c r="T165" i="2"/>
  <c r="U165" i="2"/>
  <c r="V165" i="2"/>
  <c r="W165" i="2"/>
  <c r="X165" i="2"/>
  <c r="Y165" i="2"/>
  <c r="Z165" i="2"/>
  <c r="AA165" i="2"/>
  <c r="AB165" i="2"/>
  <c r="AC165" i="2"/>
  <c r="AD165" i="2"/>
  <c r="AE165" i="2"/>
  <c r="AH165" i="2"/>
  <c r="AI165" i="2"/>
  <c r="A166" i="2"/>
  <c r="B166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P166" i="2"/>
  <c r="Q166" i="2"/>
  <c r="R166" i="2"/>
  <c r="S166" i="2"/>
  <c r="T166" i="2"/>
  <c r="U166" i="2"/>
  <c r="V166" i="2"/>
  <c r="W166" i="2"/>
  <c r="X166" i="2"/>
  <c r="Y166" i="2"/>
  <c r="Z166" i="2"/>
  <c r="AA166" i="2"/>
  <c r="AB166" i="2"/>
  <c r="AC166" i="2"/>
  <c r="AD166" i="2"/>
  <c r="AE166" i="2"/>
  <c r="AH166" i="2"/>
  <c r="AI166" i="2"/>
  <c r="A167" i="2"/>
  <c r="B167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Z167" i="2"/>
  <c r="AA167" i="2"/>
  <c r="AB167" i="2"/>
  <c r="AC167" i="2"/>
  <c r="AD167" i="2"/>
  <c r="AE167" i="2"/>
  <c r="AH167" i="2"/>
  <c r="AI167" i="2"/>
  <c r="A168" i="2"/>
  <c r="B168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T168" i="2"/>
  <c r="U168" i="2"/>
  <c r="V168" i="2"/>
  <c r="W168" i="2"/>
  <c r="X168" i="2"/>
  <c r="Y168" i="2"/>
  <c r="Z168" i="2"/>
  <c r="AA168" i="2"/>
  <c r="AB168" i="2"/>
  <c r="AC168" i="2"/>
  <c r="AD168" i="2"/>
  <c r="AE168" i="2"/>
  <c r="AH168" i="2"/>
  <c r="AI168" i="2"/>
  <c r="A169" i="2"/>
  <c r="B169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U169" i="2"/>
  <c r="V169" i="2"/>
  <c r="W169" i="2"/>
  <c r="X169" i="2"/>
  <c r="Y169" i="2"/>
  <c r="Z169" i="2"/>
  <c r="AA169" i="2"/>
  <c r="AB169" i="2"/>
  <c r="AC169" i="2"/>
  <c r="AD169" i="2"/>
  <c r="AE169" i="2"/>
  <c r="AH169" i="2"/>
  <c r="AI169" i="2"/>
  <c r="A170" i="2"/>
  <c r="B170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U170" i="2"/>
  <c r="V170" i="2"/>
  <c r="W170" i="2"/>
  <c r="X170" i="2"/>
  <c r="Y170" i="2"/>
  <c r="Z170" i="2"/>
  <c r="AA170" i="2"/>
  <c r="AB170" i="2"/>
  <c r="AC170" i="2"/>
  <c r="AD170" i="2"/>
  <c r="AE170" i="2"/>
  <c r="AH170" i="2"/>
  <c r="AI170" i="2"/>
  <c r="A171" i="2"/>
  <c r="B171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V171" i="2"/>
  <c r="W171" i="2"/>
  <c r="X171" i="2"/>
  <c r="Y171" i="2"/>
  <c r="Z171" i="2"/>
  <c r="AA171" i="2"/>
  <c r="AB171" i="2"/>
  <c r="AC171" i="2"/>
  <c r="AD171" i="2"/>
  <c r="AE171" i="2"/>
  <c r="AH171" i="2"/>
  <c r="AI171" i="2"/>
  <c r="A172" i="2"/>
  <c r="B172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T172" i="2"/>
  <c r="U172" i="2"/>
  <c r="V172" i="2"/>
  <c r="W172" i="2"/>
  <c r="X172" i="2"/>
  <c r="Y172" i="2"/>
  <c r="Z172" i="2"/>
  <c r="AA172" i="2"/>
  <c r="AB172" i="2"/>
  <c r="AC172" i="2"/>
  <c r="AD172" i="2"/>
  <c r="AE172" i="2"/>
  <c r="AH172" i="2"/>
  <c r="AI172" i="2"/>
  <c r="A173" i="2"/>
  <c r="B173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P173" i="2"/>
  <c r="Q173" i="2"/>
  <c r="R173" i="2"/>
  <c r="S173" i="2"/>
  <c r="T173" i="2"/>
  <c r="U173" i="2"/>
  <c r="V173" i="2"/>
  <c r="W173" i="2"/>
  <c r="X173" i="2"/>
  <c r="Y173" i="2"/>
  <c r="Z173" i="2"/>
  <c r="AA173" i="2"/>
  <c r="AB173" i="2"/>
  <c r="AC173" i="2"/>
  <c r="AD173" i="2"/>
  <c r="AE173" i="2"/>
  <c r="AH173" i="2"/>
  <c r="AI173" i="2"/>
  <c r="A174" i="2"/>
  <c r="B174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P174" i="2"/>
  <c r="Q174" i="2"/>
  <c r="R174" i="2"/>
  <c r="S174" i="2"/>
  <c r="T174" i="2"/>
  <c r="U174" i="2"/>
  <c r="V174" i="2"/>
  <c r="W174" i="2"/>
  <c r="X174" i="2"/>
  <c r="Y174" i="2"/>
  <c r="Z174" i="2"/>
  <c r="AA174" i="2"/>
  <c r="AB174" i="2"/>
  <c r="AC174" i="2"/>
  <c r="AD174" i="2"/>
  <c r="AE174" i="2"/>
  <c r="AH174" i="2"/>
  <c r="AI174" i="2"/>
  <c r="A175" i="2"/>
  <c r="B175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U175" i="2"/>
  <c r="V175" i="2"/>
  <c r="W175" i="2"/>
  <c r="X175" i="2"/>
  <c r="Y175" i="2"/>
  <c r="Z175" i="2"/>
  <c r="AA175" i="2"/>
  <c r="AB175" i="2"/>
  <c r="AC175" i="2"/>
  <c r="AD175" i="2"/>
  <c r="AE175" i="2"/>
  <c r="AH175" i="2"/>
  <c r="AI175" i="2"/>
  <c r="A176" i="2"/>
  <c r="B176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U176" i="2"/>
  <c r="V176" i="2"/>
  <c r="W176" i="2"/>
  <c r="X176" i="2"/>
  <c r="Y176" i="2"/>
  <c r="Z176" i="2"/>
  <c r="AA176" i="2"/>
  <c r="AB176" i="2"/>
  <c r="AC176" i="2"/>
  <c r="AD176" i="2"/>
  <c r="AE176" i="2"/>
  <c r="AH176" i="2"/>
  <c r="AI176" i="2"/>
  <c r="A177" i="2"/>
  <c r="B177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U177" i="2"/>
  <c r="V177" i="2"/>
  <c r="W177" i="2"/>
  <c r="X177" i="2"/>
  <c r="Y177" i="2"/>
  <c r="Z177" i="2"/>
  <c r="AA177" i="2"/>
  <c r="AB177" i="2"/>
  <c r="AC177" i="2"/>
  <c r="AD177" i="2"/>
  <c r="AE177" i="2"/>
  <c r="AH177" i="2"/>
  <c r="AI177" i="2"/>
  <c r="A178" i="2"/>
  <c r="B178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Z178" i="2"/>
  <c r="AA178" i="2"/>
  <c r="AB178" i="2"/>
  <c r="AC178" i="2"/>
  <c r="AD178" i="2"/>
  <c r="AE178" i="2"/>
  <c r="AH178" i="2"/>
  <c r="AI178" i="2"/>
  <c r="A179" i="2"/>
  <c r="B179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U179" i="2"/>
  <c r="V179" i="2"/>
  <c r="W179" i="2"/>
  <c r="X179" i="2"/>
  <c r="Y179" i="2"/>
  <c r="Z179" i="2"/>
  <c r="AA179" i="2"/>
  <c r="AB179" i="2"/>
  <c r="AC179" i="2"/>
  <c r="AD179" i="2"/>
  <c r="AE179" i="2"/>
  <c r="AH179" i="2"/>
  <c r="AI179" i="2"/>
  <c r="A180" i="2"/>
  <c r="B180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U180" i="2"/>
  <c r="V180" i="2"/>
  <c r="W180" i="2"/>
  <c r="X180" i="2"/>
  <c r="Y180" i="2"/>
  <c r="Z180" i="2"/>
  <c r="AA180" i="2"/>
  <c r="AB180" i="2"/>
  <c r="AC180" i="2"/>
  <c r="AD180" i="2"/>
  <c r="AE180" i="2"/>
  <c r="AH180" i="2"/>
  <c r="AI180" i="2"/>
  <c r="A181" i="2"/>
  <c r="B181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U181" i="2"/>
  <c r="V181" i="2"/>
  <c r="W181" i="2"/>
  <c r="X181" i="2"/>
  <c r="Y181" i="2"/>
  <c r="Z181" i="2"/>
  <c r="AA181" i="2"/>
  <c r="AB181" i="2"/>
  <c r="AC181" i="2"/>
  <c r="AD181" i="2"/>
  <c r="AE181" i="2"/>
  <c r="AH181" i="2"/>
  <c r="AI181" i="2"/>
  <c r="A182" i="2"/>
  <c r="B182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U182" i="2"/>
  <c r="V182" i="2"/>
  <c r="W182" i="2"/>
  <c r="X182" i="2"/>
  <c r="Y182" i="2"/>
  <c r="Z182" i="2"/>
  <c r="AA182" i="2"/>
  <c r="AB182" i="2"/>
  <c r="AC182" i="2"/>
  <c r="AD182" i="2"/>
  <c r="AE182" i="2"/>
  <c r="AH182" i="2"/>
  <c r="AI182" i="2"/>
  <c r="A183" i="2"/>
  <c r="B183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U183" i="2"/>
  <c r="V183" i="2"/>
  <c r="W183" i="2"/>
  <c r="X183" i="2"/>
  <c r="Y183" i="2"/>
  <c r="Z183" i="2"/>
  <c r="AA183" i="2"/>
  <c r="AB183" i="2"/>
  <c r="AC183" i="2"/>
  <c r="AD183" i="2"/>
  <c r="AE183" i="2"/>
  <c r="AH183" i="2"/>
  <c r="AI183" i="2"/>
  <c r="A184" i="2"/>
  <c r="B184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P184" i="2"/>
  <c r="Q184" i="2"/>
  <c r="R184" i="2"/>
  <c r="S184" i="2"/>
  <c r="T184" i="2"/>
  <c r="U184" i="2"/>
  <c r="V184" i="2"/>
  <c r="W184" i="2"/>
  <c r="X184" i="2"/>
  <c r="Y184" i="2"/>
  <c r="Z184" i="2"/>
  <c r="AA184" i="2"/>
  <c r="AB184" i="2"/>
  <c r="AC184" i="2"/>
  <c r="AD184" i="2"/>
  <c r="AE184" i="2"/>
  <c r="AH184" i="2"/>
  <c r="AI184" i="2"/>
  <c r="A185" i="2"/>
  <c r="B185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P185" i="2"/>
  <c r="Q185" i="2"/>
  <c r="R185" i="2"/>
  <c r="S185" i="2"/>
  <c r="T185" i="2"/>
  <c r="U185" i="2"/>
  <c r="V185" i="2"/>
  <c r="W185" i="2"/>
  <c r="X185" i="2"/>
  <c r="Y185" i="2"/>
  <c r="Z185" i="2"/>
  <c r="AA185" i="2"/>
  <c r="AB185" i="2"/>
  <c r="AC185" i="2"/>
  <c r="AD185" i="2"/>
  <c r="AE185" i="2"/>
  <c r="AH185" i="2"/>
  <c r="AI185" i="2"/>
  <c r="A186" i="2"/>
  <c r="B186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P186" i="2"/>
  <c r="Q186" i="2"/>
  <c r="R186" i="2"/>
  <c r="S186" i="2"/>
  <c r="T186" i="2"/>
  <c r="U186" i="2"/>
  <c r="V186" i="2"/>
  <c r="W186" i="2"/>
  <c r="X186" i="2"/>
  <c r="Y186" i="2"/>
  <c r="Z186" i="2"/>
  <c r="AA186" i="2"/>
  <c r="AB186" i="2"/>
  <c r="AC186" i="2"/>
  <c r="AD186" i="2"/>
  <c r="AE186" i="2"/>
  <c r="AH186" i="2"/>
  <c r="AI186" i="2"/>
  <c r="A187" i="2"/>
  <c r="B187" i="2"/>
  <c r="C187" i="2"/>
  <c r="D187" i="2"/>
  <c r="E187" i="2"/>
  <c r="F187" i="2"/>
  <c r="G187" i="2"/>
  <c r="H187" i="2"/>
  <c r="I187" i="2"/>
  <c r="J187" i="2"/>
  <c r="K187" i="2"/>
  <c r="L187" i="2"/>
  <c r="M187" i="2"/>
  <c r="N187" i="2"/>
  <c r="O187" i="2"/>
  <c r="P187" i="2"/>
  <c r="Q187" i="2"/>
  <c r="R187" i="2"/>
  <c r="S187" i="2"/>
  <c r="T187" i="2"/>
  <c r="U187" i="2"/>
  <c r="V187" i="2"/>
  <c r="W187" i="2"/>
  <c r="X187" i="2"/>
  <c r="Y187" i="2"/>
  <c r="Z187" i="2"/>
  <c r="AA187" i="2"/>
  <c r="AB187" i="2"/>
  <c r="AC187" i="2"/>
  <c r="AD187" i="2"/>
  <c r="AE187" i="2"/>
  <c r="AH187" i="2"/>
  <c r="AI187" i="2"/>
  <c r="A188" i="2"/>
  <c r="B188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U188" i="2"/>
  <c r="V188" i="2"/>
  <c r="W188" i="2"/>
  <c r="X188" i="2"/>
  <c r="Y188" i="2"/>
  <c r="Z188" i="2"/>
  <c r="AA188" i="2"/>
  <c r="AB188" i="2"/>
  <c r="AC188" i="2"/>
  <c r="AD188" i="2"/>
  <c r="AE188" i="2"/>
  <c r="AH188" i="2"/>
  <c r="AI188" i="2"/>
  <c r="A189" i="2"/>
  <c r="B189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U189" i="2"/>
  <c r="V189" i="2"/>
  <c r="W189" i="2"/>
  <c r="X189" i="2"/>
  <c r="Y189" i="2"/>
  <c r="Z189" i="2"/>
  <c r="AA189" i="2"/>
  <c r="AB189" i="2"/>
  <c r="AC189" i="2"/>
  <c r="AD189" i="2"/>
  <c r="AE189" i="2"/>
  <c r="AH189" i="2"/>
  <c r="AI189" i="2"/>
  <c r="A190" i="2"/>
  <c r="B190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U190" i="2"/>
  <c r="V190" i="2"/>
  <c r="W190" i="2"/>
  <c r="X190" i="2"/>
  <c r="Y190" i="2"/>
  <c r="Z190" i="2"/>
  <c r="AA190" i="2"/>
  <c r="AB190" i="2"/>
  <c r="AC190" i="2"/>
  <c r="AD190" i="2"/>
  <c r="AE190" i="2"/>
  <c r="AH190" i="2"/>
  <c r="AI190" i="2"/>
  <c r="A191" i="2"/>
  <c r="B191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U191" i="2"/>
  <c r="V191" i="2"/>
  <c r="W191" i="2"/>
  <c r="X191" i="2"/>
  <c r="Y191" i="2"/>
  <c r="Z191" i="2"/>
  <c r="AA191" i="2"/>
  <c r="AB191" i="2"/>
  <c r="AC191" i="2"/>
  <c r="AD191" i="2"/>
  <c r="AE191" i="2"/>
  <c r="AH191" i="2"/>
  <c r="AI191" i="2"/>
  <c r="A192" i="2"/>
  <c r="B192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U192" i="2"/>
  <c r="V192" i="2"/>
  <c r="W192" i="2"/>
  <c r="X192" i="2"/>
  <c r="Y192" i="2"/>
  <c r="Z192" i="2"/>
  <c r="AA192" i="2"/>
  <c r="AB192" i="2"/>
  <c r="AC192" i="2"/>
  <c r="AD192" i="2"/>
  <c r="AE192" i="2"/>
  <c r="AH192" i="2"/>
  <c r="AI192" i="2"/>
  <c r="A193" i="2"/>
  <c r="B193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U193" i="2"/>
  <c r="V193" i="2"/>
  <c r="W193" i="2"/>
  <c r="X193" i="2"/>
  <c r="Y193" i="2"/>
  <c r="Z193" i="2"/>
  <c r="AA193" i="2"/>
  <c r="AB193" i="2"/>
  <c r="AC193" i="2"/>
  <c r="AD193" i="2"/>
  <c r="AE193" i="2"/>
  <c r="AH193" i="2"/>
  <c r="AI193" i="2"/>
  <c r="A194" i="2"/>
  <c r="B194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U194" i="2"/>
  <c r="V194" i="2"/>
  <c r="W194" i="2"/>
  <c r="X194" i="2"/>
  <c r="Y194" i="2"/>
  <c r="Z194" i="2"/>
  <c r="AA194" i="2"/>
  <c r="AB194" i="2"/>
  <c r="AC194" i="2"/>
  <c r="AD194" i="2"/>
  <c r="AE194" i="2"/>
  <c r="AH194" i="2"/>
  <c r="AI194" i="2"/>
  <c r="A195" i="2"/>
  <c r="B195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U195" i="2"/>
  <c r="V195" i="2"/>
  <c r="W195" i="2"/>
  <c r="X195" i="2"/>
  <c r="Y195" i="2"/>
  <c r="Z195" i="2"/>
  <c r="AA195" i="2"/>
  <c r="AB195" i="2"/>
  <c r="AC195" i="2"/>
  <c r="AD195" i="2"/>
  <c r="AE195" i="2"/>
  <c r="AH195" i="2"/>
  <c r="AI195" i="2"/>
  <c r="A196" i="2"/>
  <c r="B196" i="2"/>
  <c r="C196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V196" i="2"/>
  <c r="W196" i="2"/>
  <c r="X196" i="2"/>
  <c r="Y196" i="2"/>
  <c r="Z196" i="2"/>
  <c r="AA196" i="2"/>
  <c r="AB196" i="2"/>
  <c r="AC196" i="2"/>
  <c r="AD196" i="2"/>
  <c r="AE196" i="2"/>
  <c r="AH196" i="2"/>
  <c r="AI196" i="2"/>
  <c r="A197" i="2"/>
  <c r="B197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V197" i="2"/>
  <c r="W197" i="2"/>
  <c r="X197" i="2"/>
  <c r="Y197" i="2"/>
  <c r="Z197" i="2"/>
  <c r="AA197" i="2"/>
  <c r="AB197" i="2"/>
  <c r="AC197" i="2"/>
  <c r="AD197" i="2"/>
  <c r="AE197" i="2"/>
  <c r="AH197" i="2"/>
  <c r="AI197" i="2"/>
  <c r="A198" i="2"/>
  <c r="B198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V198" i="2"/>
  <c r="W198" i="2"/>
  <c r="X198" i="2"/>
  <c r="Y198" i="2"/>
  <c r="Z198" i="2"/>
  <c r="AA198" i="2"/>
  <c r="AB198" i="2"/>
  <c r="AC198" i="2"/>
  <c r="AD198" i="2"/>
  <c r="AE198" i="2"/>
  <c r="AH198" i="2"/>
  <c r="AI198" i="2"/>
  <c r="A199" i="2"/>
  <c r="B199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V199" i="2"/>
  <c r="W199" i="2"/>
  <c r="X199" i="2"/>
  <c r="Y199" i="2"/>
  <c r="Z199" i="2"/>
  <c r="AA199" i="2"/>
  <c r="AB199" i="2"/>
  <c r="AC199" i="2"/>
  <c r="AD199" i="2"/>
  <c r="AE199" i="2"/>
  <c r="AH199" i="2"/>
  <c r="AI199" i="2"/>
  <c r="A200" i="2"/>
  <c r="B200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V200" i="2"/>
  <c r="W200" i="2"/>
  <c r="X200" i="2"/>
  <c r="Y200" i="2"/>
  <c r="Z200" i="2"/>
  <c r="AA200" i="2"/>
  <c r="AB200" i="2"/>
  <c r="AC200" i="2"/>
  <c r="AD200" i="2"/>
  <c r="AE200" i="2"/>
  <c r="AH200" i="2"/>
  <c r="AI200" i="2"/>
  <c r="A201" i="2"/>
  <c r="B201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V201" i="2"/>
  <c r="W201" i="2"/>
  <c r="X201" i="2"/>
  <c r="Y201" i="2"/>
  <c r="Z201" i="2"/>
  <c r="AA201" i="2"/>
  <c r="AB201" i="2"/>
  <c r="AC201" i="2"/>
  <c r="AD201" i="2"/>
  <c r="AE201" i="2"/>
  <c r="AH201" i="2"/>
  <c r="AI201" i="2"/>
  <c r="A202" i="2"/>
  <c r="B202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V202" i="2"/>
  <c r="W202" i="2"/>
  <c r="X202" i="2"/>
  <c r="Y202" i="2"/>
  <c r="Z202" i="2"/>
  <c r="AA202" i="2"/>
  <c r="AB202" i="2"/>
  <c r="AC202" i="2"/>
  <c r="AD202" i="2"/>
  <c r="AE202" i="2"/>
  <c r="AH202" i="2"/>
  <c r="AI202" i="2"/>
  <c r="A203" i="2"/>
  <c r="B203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W203" i="2"/>
  <c r="X203" i="2"/>
  <c r="Y203" i="2"/>
  <c r="Z203" i="2"/>
  <c r="AA203" i="2"/>
  <c r="AB203" i="2"/>
  <c r="AC203" i="2"/>
  <c r="AD203" i="2"/>
  <c r="AE203" i="2"/>
  <c r="AH203" i="2"/>
  <c r="AI203" i="2"/>
  <c r="A204" i="2"/>
  <c r="B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W204" i="2"/>
  <c r="X204" i="2"/>
  <c r="Y204" i="2"/>
  <c r="Z204" i="2"/>
  <c r="AA204" i="2"/>
  <c r="AB204" i="2"/>
  <c r="AC204" i="2"/>
  <c r="AD204" i="2"/>
  <c r="AE204" i="2"/>
  <c r="AH204" i="2"/>
  <c r="AI204" i="2"/>
  <c r="A205" i="2"/>
  <c r="B205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W205" i="2"/>
  <c r="X205" i="2"/>
  <c r="Y205" i="2"/>
  <c r="Z205" i="2"/>
  <c r="AA205" i="2"/>
  <c r="AB205" i="2"/>
  <c r="AC205" i="2"/>
  <c r="AD205" i="2"/>
  <c r="AE205" i="2"/>
  <c r="AH205" i="2"/>
  <c r="AI205" i="2"/>
  <c r="A206" i="2"/>
  <c r="B206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W206" i="2"/>
  <c r="X206" i="2"/>
  <c r="Y206" i="2"/>
  <c r="Z206" i="2"/>
  <c r="AA206" i="2"/>
  <c r="AB206" i="2"/>
  <c r="AC206" i="2"/>
  <c r="AD206" i="2"/>
  <c r="AE206" i="2"/>
  <c r="AH206" i="2"/>
  <c r="AI206" i="2"/>
  <c r="A207" i="2"/>
  <c r="B207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V207" i="2"/>
  <c r="W207" i="2"/>
  <c r="X207" i="2"/>
  <c r="Y207" i="2"/>
  <c r="Z207" i="2"/>
  <c r="AA207" i="2"/>
  <c r="AB207" i="2"/>
  <c r="AC207" i="2"/>
  <c r="AD207" i="2"/>
  <c r="AE207" i="2"/>
  <c r="AH207" i="2"/>
  <c r="AI207" i="2"/>
  <c r="A208" i="2"/>
  <c r="B208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W208" i="2"/>
  <c r="X208" i="2"/>
  <c r="Y208" i="2"/>
  <c r="Z208" i="2"/>
  <c r="AA208" i="2"/>
  <c r="AB208" i="2"/>
  <c r="AC208" i="2"/>
  <c r="AD208" i="2"/>
  <c r="AE208" i="2"/>
  <c r="AH208" i="2"/>
  <c r="AI208" i="2"/>
  <c r="A209" i="2"/>
  <c r="B209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V209" i="2"/>
  <c r="W209" i="2"/>
  <c r="X209" i="2"/>
  <c r="Y209" i="2"/>
  <c r="Z209" i="2"/>
  <c r="AA209" i="2"/>
  <c r="AB209" i="2"/>
  <c r="AC209" i="2"/>
  <c r="AD209" i="2"/>
  <c r="AE209" i="2"/>
  <c r="AH209" i="2"/>
  <c r="AI209" i="2"/>
  <c r="A210" i="2"/>
  <c r="B210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W210" i="2"/>
  <c r="X210" i="2"/>
  <c r="Y210" i="2"/>
  <c r="Z210" i="2"/>
  <c r="AA210" i="2"/>
  <c r="AB210" i="2"/>
  <c r="AC210" i="2"/>
  <c r="AD210" i="2"/>
  <c r="AE210" i="2"/>
  <c r="AH210" i="2"/>
  <c r="AI210" i="2"/>
  <c r="A211" i="2"/>
  <c r="B211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W211" i="2"/>
  <c r="X211" i="2"/>
  <c r="Y211" i="2"/>
  <c r="Z211" i="2"/>
  <c r="AA211" i="2"/>
  <c r="AB211" i="2"/>
  <c r="AC211" i="2"/>
  <c r="AD211" i="2"/>
  <c r="AE211" i="2"/>
  <c r="AH211" i="2"/>
  <c r="AI211" i="2"/>
  <c r="A212" i="2"/>
  <c r="B212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W212" i="2"/>
  <c r="X212" i="2"/>
  <c r="Y212" i="2"/>
  <c r="Z212" i="2"/>
  <c r="AA212" i="2"/>
  <c r="AB212" i="2"/>
  <c r="AC212" i="2"/>
  <c r="AD212" i="2"/>
  <c r="AE212" i="2"/>
  <c r="AH212" i="2"/>
  <c r="AI212" i="2"/>
  <c r="A213" i="2"/>
  <c r="B213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V213" i="2"/>
  <c r="W213" i="2"/>
  <c r="X213" i="2"/>
  <c r="Y213" i="2"/>
  <c r="Z213" i="2"/>
  <c r="AA213" i="2"/>
  <c r="AB213" i="2"/>
  <c r="AC213" i="2"/>
  <c r="AD213" i="2"/>
  <c r="AE213" i="2"/>
  <c r="AH213" i="2"/>
  <c r="AI213" i="2"/>
  <c r="A214" i="2"/>
  <c r="B214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O214" i="2"/>
  <c r="P214" i="2"/>
  <c r="Q214" i="2"/>
  <c r="R214" i="2"/>
  <c r="S214" i="2"/>
  <c r="T214" i="2"/>
  <c r="U214" i="2"/>
  <c r="V214" i="2"/>
  <c r="W214" i="2"/>
  <c r="X214" i="2"/>
  <c r="Y214" i="2"/>
  <c r="Z214" i="2"/>
  <c r="AA214" i="2"/>
  <c r="AB214" i="2"/>
  <c r="AC214" i="2"/>
  <c r="AD214" i="2"/>
  <c r="AE214" i="2"/>
  <c r="AH214" i="2"/>
  <c r="AI214" i="2"/>
  <c r="A215" i="2"/>
  <c r="B215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U215" i="2"/>
  <c r="V215" i="2"/>
  <c r="W215" i="2"/>
  <c r="X215" i="2"/>
  <c r="Y215" i="2"/>
  <c r="Z215" i="2"/>
  <c r="AA215" i="2"/>
  <c r="AB215" i="2"/>
  <c r="AC215" i="2"/>
  <c r="AD215" i="2"/>
  <c r="AE215" i="2"/>
  <c r="AH215" i="2"/>
  <c r="AI215" i="2"/>
  <c r="A216" i="2"/>
  <c r="B216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V216" i="2"/>
  <c r="W216" i="2"/>
  <c r="X216" i="2"/>
  <c r="Y216" i="2"/>
  <c r="Z216" i="2"/>
  <c r="AA216" i="2"/>
  <c r="AB216" i="2"/>
  <c r="AC216" i="2"/>
  <c r="AD216" i="2"/>
  <c r="AE216" i="2"/>
  <c r="AH216" i="2"/>
  <c r="AI216" i="2"/>
  <c r="A217" i="2"/>
  <c r="B217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V217" i="2"/>
  <c r="W217" i="2"/>
  <c r="X217" i="2"/>
  <c r="Y217" i="2"/>
  <c r="Z217" i="2"/>
  <c r="AA217" i="2"/>
  <c r="AB217" i="2"/>
  <c r="AC217" i="2"/>
  <c r="AD217" i="2"/>
  <c r="AE217" i="2"/>
  <c r="AH217" i="2"/>
  <c r="AI217" i="2"/>
  <c r="A218" i="2"/>
  <c r="B218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V218" i="2"/>
  <c r="W218" i="2"/>
  <c r="X218" i="2"/>
  <c r="Y218" i="2"/>
  <c r="Z218" i="2"/>
  <c r="AA218" i="2"/>
  <c r="AB218" i="2"/>
  <c r="AC218" i="2"/>
  <c r="AD218" i="2"/>
  <c r="AE218" i="2"/>
  <c r="AH218" i="2"/>
  <c r="AI218" i="2"/>
  <c r="A219" i="2"/>
  <c r="B219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V219" i="2"/>
  <c r="W219" i="2"/>
  <c r="X219" i="2"/>
  <c r="Y219" i="2"/>
  <c r="Z219" i="2"/>
  <c r="AA219" i="2"/>
  <c r="AB219" i="2"/>
  <c r="AC219" i="2"/>
  <c r="AD219" i="2"/>
  <c r="AE219" i="2"/>
  <c r="AH219" i="2"/>
  <c r="AI219" i="2"/>
  <c r="A220" i="2"/>
  <c r="B220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W220" i="2"/>
  <c r="X220" i="2"/>
  <c r="Y220" i="2"/>
  <c r="Z220" i="2"/>
  <c r="AA220" i="2"/>
  <c r="AB220" i="2"/>
  <c r="AC220" i="2"/>
  <c r="AD220" i="2"/>
  <c r="AE220" i="2"/>
  <c r="AH220" i="2"/>
  <c r="AI220" i="2"/>
  <c r="A221" i="2"/>
  <c r="B221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V221" i="2"/>
  <c r="W221" i="2"/>
  <c r="X221" i="2"/>
  <c r="Y221" i="2"/>
  <c r="Z221" i="2"/>
  <c r="AA221" i="2"/>
  <c r="AB221" i="2"/>
  <c r="AC221" i="2"/>
  <c r="AD221" i="2"/>
  <c r="AE221" i="2"/>
  <c r="AH221" i="2"/>
  <c r="AI221" i="2"/>
  <c r="A222" i="2"/>
  <c r="B222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V222" i="2"/>
  <c r="W222" i="2"/>
  <c r="X222" i="2"/>
  <c r="Y222" i="2"/>
  <c r="Z222" i="2"/>
  <c r="AA222" i="2"/>
  <c r="AB222" i="2"/>
  <c r="AC222" i="2"/>
  <c r="AD222" i="2"/>
  <c r="AE222" i="2"/>
  <c r="AH222" i="2"/>
  <c r="AI222" i="2"/>
  <c r="A223" i="2"/>
  <c r="B223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U223" i="2"/>
  <c r="V223" i="2"/>
  <c r="W223" i="2"/>
  <c r="X223" i="2"/>
  <c r="Y223" i="2"/>
  <c r="Z223" i="2"/>
  <c r="AA223" i="2"/>
  <c r="AB223" i="2"/>
  <c r="AC223" i="2"/>
  <c r="AD223" i="2"/>
  <c r="AE223" i="2"/>
  <c r="AH223" i="2"/>
  <c r="AI223" i="2"/>
  <c r="A224" i="2"/>
  <c r="B224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V224" i="2"/>
  <c r="W224" i="2"/>
  <c r="X224" i="2"/>
  <c r="Y224" i="2"/>
  <c r="Z224" i="2"/>
  <c r="AA224" i="2"/>
  <c r="AB224" i="2"/>
  <c r="AC224" i="2"/>
  <c r="AD224" i="2"/>
  <c r="AE224" i="2"/>
  <c r="AH224" i="2"/>
  <c r="AI224" i="2"/>
  <c r="A225" i="2"/>
  <c r="B225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W225" i="2"/>
  <c r="X225" i="2"/>
  <c r="Y225" i="2"/>
  <c r="Z225" i="2"/>
  <c r="AA225" i="2"/>
  <c r="AB225" i="2"/>
  <c r="AC225" i="2"/>
  <c r="AD225" i="2"/>
  <c r="AE225" i="2"/>
  <c r="AH225" i="2"/>
  <c r="AI225" i="2"/>
  <c r="A226" i="2"/>
  <c r="B226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X226" i="2"/>
  <c r="Y226" i="2"/>
  <c r="Z226" i="2"/>
  <c r="AA226" i="2"/>
  <c r="AB226" i="2"/>
  <c r="AC226" i="2"/>
  <c r="AD226" i="2"/>
  <c r="AE226" i="2"/>
  <c r="AH226" i="2"/>
  <c r="AI226" i="2"/>
  <c r="A227" i="2"/>
  <c r="B227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X227" i="2"/>
  <c r="Y227" i="2"/>
  <c r="Z227" i="2"/>
  <c r="AA227" i="2"/>
  <c r="AB227" i="2"/>
  <c r="AC227" i="2"/>
  <c r="AD227" i="2"/>
  <c r="AE227" i="2"/>
  <c r="AH227" i="2"/>
  <c r="AI227" i="2"/>
  <c r="A228" i="2"/>
  <c r="B228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X228" i="2"/>
  <c r="Y228" i="2"/>
  <c r="Z228" i="2"/>
  <c r="AA228" i="2"/>
  <c r="AB228" i="2"/>
  <c r="AC228" i="2"/>
  <c r="AD228" i="2"/>
  <c r="AE228" i="2"/>
  <c r="AH228" i="2"/>
  <c r="AI228" i="2"/>
  <c r="A229" i="2"/>
  <c r="B229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X229" i="2"/>
  <c r="Y229" i="2"/>
  <c r="Z229" i="2"/>
  <c r="AA229" i="2"/>
  <c r="AB229" i="2"/>
  <c r="AC229" i="2"/>
  <c r="AD229" i="2"/>
  <c r="AE229" i="2"/>
  <c r="AH229" i="2"/>
  <c r="AI229" i="2"/>
  <c r="A230" i="2"/>
  <c r="B230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X230" i="2"/>
  <c r="Y230" i="2"/>
  <c r="Z230" i="2"/>
  <c r="AA230" i="2"/>
  <c r="AB230" i="2"/>
  <c r="AC230" i="2"/>
  <c r="AD230" i="2"/>
  <c r="AE230" i="2"/>
  <c r="AH230" i="2"/>
  <c r="AI230" i="2"/>
  <c r="A231" i="2"/>
  <c r="B231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W231" i="2"/>
  <c r="X231" i="2"/>
  <c r="Y231" i="2"/>
  <c r="Z231" i="2"/>
  <c r="AA231" i="2"/>
  <c r="AB231" i="2"/>
  <c r="AC231" i="2"/>
  <c r="AD231" i="2"/>
  <c r="AE231" i="2"/>
  <c r="AH231" i="2"/>
  <c r="AI231" i="2"/>
  <c r="A232" i="2"/>
  <c r="B232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W232" i="2"/>
  <c r="X232" i="2"/>
  <c r="Y232" i="2"/>
  <c r="Z232" i="2"/>
  <c r="AA232" i="2"/>
  <c r="AB232" i="2"/>
  <c r="AC232" i="2"/>
  <c r="AD232" i="2"/>
  <c r="AE232" i="2"/>
  <c r="AH232" i="2"/>
  <c r="AI232" i="2"/>
  <c r="A233" i="2"/>
  <c r="B233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W233" i="2"/>
  <c r="X233" i="2"/>
  <c r="Y233" i="2"/>
  <c r="Z233" i="2"/>
  <c r="AA233" i="2"/>
  <c r="AB233" i="2"/>
  <c r="AC233" i="2"/>
  <c r="AD233" i="2"/>
  <c r="AE233" i="2"/>
  <c r="AH233" i="2"/>
  <c r="AI233" i="2"/>
  <c r="A234" i="2"/>
  <c r="B234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Z234" i="2"/>
  <c r="AA234" i="2"/>
  <c r="AB234" i="2"/>
  <c r="AC234" i="2"/>
  <c r="AD234" i="2"/>
  <c r="AE234" i="2"/>
  <c r="AH234" i="2"/>
  <c r="AI234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Z235" i="2"/>
  <c r="AA235" i="2"/>
  <c r="AB235" i="2"/>
  <c r="AC235" i="2"/>
  <c r="AD235" i="2"/>
  <c r="AE235" i="2"/>
  <c r="AH235" i="2"/>
  <c r="A236" i="2"/>
  <c r="B236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Z236" i="2"/>
  <c r="AA236" i="2"/>
  <c r="AB236" i="2"/>
  <c r="AC236" i="2"/>
  <c r="AD236" i="2"/>
  <c r="AE236" i="2"/>
  <c r="AH236" i="2"/>
  <c r="AI236" i="2"/>
  <c r="A237" i="2"/>
  <c r="B237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Z237" i="2"/>
  <c r="AA237" i="2"/>
  <c r="AB237" i="2"/>
  <c r="AC237" i="2"/>
  <c r="AD237" i="2"/>
  <c r="AE237" i="2"/>
  <c r="AH237" i="2"/>
  <c r="AI237" i="2"/>
  <c r="A238" i="2"/>
  <c r="B238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Z238" i="2"/>
  <c r="AA238" i="2"/>
  <c r="AB238" i="2"/>
  <c r="AC238" i="2"/>
  <c r="AD238" i="2"/>
  <c r="AE238" i="2"/>
  <c r="AH238" i="2"/>
  <c r="AI238" i="2"/>
  <c r="A239" i="2"/>
  <c r="B239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Z239" i="2"/>
  <c r="AA239" i="2"/>
  <c r="AB239" i="2"/>
  <c r="AC239" i="2"/>
  <c r="AD239" i="2"/>
  <c r="AE239" i="2"/>
  <c r="AH239" i="2"/>
  <c r="AI239" i="2"/>
  <c r="A240" i="2"/>
  <c r="B240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Z240" i="2"/>
  <c r="AA240" i="2"/>
  <c r="AB240" i="2"/>
  <c r="AC240" i="2"/>
  <c r="AD240" i="2"/>
  <c r="AE240" i="2"/>
  <c r="AH240" i="2"/>
  <c r="AI240" i="2"/>
  <c r="A241" i="2"/>
  <c r="B241" i="2"/>
  <c r="C241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W241" i="2"/>
  <c r="X241" i="2"/>
  <c r="Y241" i="2"/>
  <c r="Z241" i="2"/>
  <c r="AA241" i="2"/>
  <c r="AB241" i="2"/>
  <c r="AC241" i="2"/>
  <c r="AD241" i="2"/>
  <c r="AE241" i="2"/>
  <c r="AH241" i="2"/>
  <c r="AI241" i="2"/>
  <c r="A242" i="2"/>
  <c r="B242" i="2"/>
  <c r="C242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U242" i="2"/>
  <c r="V242" i="2"/>
  <c r="W242" i="2"/>
  <c r="X242" i="2"/>
  <c r="Y242" i="2"/>
  <c r="Z242" i="2"/>
  <c r="AA242" i="2"/>
  <c r="AB242" i="2"/>
  <c r="AC242" i="2"/>
  <c r="AD242" i="2"/>
  <c r="AE242" i="2"/>
  <c r="AH242" i="2"/>
  <c r="AI242" i="2"/>
  <c r="A243" i="2"/>
  <c r="B243" i="2"/>
  <c r="C243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U243" i="2"/>
  <c r="V243" i="2"/>
  <c r="W243" i="2"/>
  <c r="X243" i="2"/>
  <c r="Y243" i="2"/>
  <c r="Z243" i="2"/>
  <c r="AA243" i="2"/>
  <c r="AB243" i="2"/>
  <c r="AC243" i="2"/>
  <c r="AD243" i="2"/>
  <c r="AE243" i="2"/>
  <c r="AH243" i="2"/>
  <c r="AI243" i="2"/>
  <c r="A244" i="2"/>
  <c r="B244" i="2"/>
  <c r="C244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U244" i="2"/>
  <c r="V244" i="2"/>
  <c r="W244" i="2"/>
  <c r="X244" i="2"/>
  <c r="Y244" i="2"/>
  <c r="Z244" i="2"/>
  <c r="AA244" i="2"/>
  <c r="AB244" i="2"/>
  <c r="AC244" i="2"/>
  <c r="AD244" i="2"/>
  <c r="AE244" i="2"/>
  <c r="AH244" i="2"/>
  <c r="AI244" i="2"/>
  <c r="A245" i="2"/>
  <c r="B245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U245" i="2"/>
  <c r="V245" i="2"/>
  <c r="W245" i="2"/>
  <c r="X245" i="2"/>
  <c r="Y245" i="2"/>
  <c r="Z245" i="2"/>
  <c r="AA245" i="2"/>
  <c r="AB245" i="2"/>
  <c r="AC245" i="2"/>
  <c r="AD245" i="2"/>
  <c r="AE245" i="2"/>
  <c r="AH245" i="2"/>
  <c r="AI245" i="2"/>
  <c r="A246" i="2"/>
  <c r="B246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U246" i="2"/>
  <c r="V246" i="2"/>
  <c r="W246" i="2"/>
  <c r="X246" i="2"/>
  <c r="Y246" i="2"/>
  <c r="Z246" i="2"/>
  <c r="AA246" i="2"/>
  <c r="AB246" i="2"/>
  <c r="AC246" i="2"/>
  <c r="AD246" i="2"/>
  <c r="AE246" i="2"/>
  <c r="AH246" i="2"/>
  <c r="AI246" i="2"/>
  <c r="A247" i="2"/>
  <c r="B247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U247" i="2"/>
  <c r="V247" i="2"/>
  <c r="W247" i="2"/>
  <c r="X247" i="2"/>
  <c r="Y247" i="2"/>
  <c r="Z247" i="2"/>
  <c r="AA247" i="2"/>
  <c r="AB247" i="2"/>
  <c r="AC247" i="2"/>
  <c r="AD247" i="2"/>
  <c r="AE247" i="2"/>
  <c r="AH247" i="2"/>
  <c r="AI247" i="2"/>
  <c r="A248" i="2"/>
  <c r="B248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U248" i="2"/>
  <c r="V248" i="2"/>
  <c r="W248" i="2"/>
  <c r="X248" i="2"/>
  <c r="Y248" i="2"/>
  <c r="Z248" i="2"/>
  <c r="AA248" i="2"/>
  <c r="AB248" i="2"/>
  <c r="AC248" i="2"/>
  <c r="AD248" i="2"/>
  <c r="AE248" i="2"/>
  <c r="AH248" i="2"/>
  <c r="AI248" i="2"/>
  <c r="A249" i="2"/>
  <c r="B249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U249" i="2"/>
  <c r="V249" i="2"/>
  <c r="W249" i="2"/>
  <c r="X249" i="2"/>
  <c r="Y249" i="2"/>
  <c r="Z249" i="2"/>
  <c r="AA249" i="2"/>
  <c r="AB249" i="2"/>
  <c r="AC249" i="2"/>
  <c r="AD249" i="2"/>
  <c r="AE249" i="2"/>
  <c r="AH249" i="2"/>
  <c r="AI249" i="2"/>
  <c r="A250" i="2"/>
  <c r="B250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U250" i="2"/>
  <c r="V250" i="2"/>
  <c r="W250" i="2"/>
  <c r="X250" i="2"/>
  <c r="Y250" i="2"/>
  <c r="Z250" i="2"/>
  <c r="AA250" i="2"/>
  <c r="AB250" i="2"/>
  <c r="AC250" i="2"/>
  <c r="AD250" i="2"/>
  <c r="AE250" i="2"/>
  <c r="AH250" i="2"/>
  <c r="AI250" i="2"/>
  <c r="A251" i="2"/>
  <c r="B251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U251" i="2"/>
  <c r="V251" i="2"/>
  <c r="W251" i="2"/>
  <c r="X251" i="2"/>
  <c r="Y251" i="2"/>
  <c r="Z251" i="2"/>
  <c r="AA251" i="2"/>
  <c r="AB251" i="2"/>
  <c r="AC251" i="2"/>
  <c r="AD251" i="2"/>
  <c r="AE251" i="2"/>
  <c r="AH251" i="2"/>
  <c r="AI251" i="2"/>
  <c r="A252" i="2"/>
  <c r="B252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U252" i="2"/>
  <c r="V252" i="2"/>
  <c r="W252" i="2"/>
  <c r="X252" i="2"/>
  <c r="Y252" i="2"/>
  <c r="Z252" i="2"/>
  <c r="AA252" i="2"/>
  <c r="AB252" i="2"/>
  <c r="AC252" i="2"/>
  <c r="AD252" i="2"/>
  <c r="AE252" i="2"/>
  <c r="AH252" i="2"/>
  <c r="AI252" i="2"/>
  <c r="A253" i="2"/>
  <c r="B253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U253" i="2"/>
  <c r="V253" i="2"/>
  <c r="W253" i="2"/>
  <c r="X253" i="2"/>
  <c r="Y253" i="2"/>
  <c r="Z253" i="2"/>
  <c r="AA253" i="2"/>
  <c r="AB253" i="2"/>
  <c r="AC253" i="2"/>
  <c r="AD253" i="2"/>
  <c r="AE253" i="2"/>
  <c r="AH253" i="2"/>
  <c r="AI253" i="2"/>
  <c r="A254" i="2"/>
  <c r="B254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U254" i="2"/>
  <c r="V254" i="2"/>
  <c r="W254" i="2"/>
  <c r="X254" i="2"/>
  <c r="Y254" i="2"/>
  <c r="Z254" i="2"/>
  <c r="AA254" i="2"/>
  <c r="AB254" i="2"/>
  <c r="AC254" i="2"/>
  <c r="AD254" i="2"/>
  <c r="AE254" i="2"/>
  <c r="AH254" i="2"/>
  <c r="AI254" i="2"/>
  <c r="A255" i="2"/>
  <c r="B255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U255" i="2"/>
  <c r="V255" i="2"/>
  <c r="W255" i="2"/>
  <c r="X255" i="2"/>
  <c r="Y255" i="2"/>
  <c r="Z255" i="2"/>
  <c r="AA255" i="2"/>
  <c r="AB255" i="2"/>
  <c r="AC255" i="2"/>
  <c r="AD255" i="2"/>
  <c r="AE255" i="2"/>
  <c r="AH255" i="2"/>
  <c r="AI255" i="2"/>
  <c r="A256" i="2"/>
  <c r="B256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U256" i="2"/>
  <c r="V256" i="2"/>
  <c r="W256" i="2"/>
  <c r="X256" i="2"/>
  <c r="Y256" i="2"/>
  <c r="Z256" i="2"/>
  <c r="AA256" i="2"/>
  <c r="AB256" i="2"/>
  <c r="AC256" i="2"/>
  <c r="AD256" i="2"/>
  <c r="AE256" i="2"/>
  <c r="AH256" i="2"/>
  <c r="AI256" i="2"/>
  <c r="A257" i="2"/>
  <c r="B257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U257" i="2"/>
  <c r="V257" i="2"/>
  <c r="W257" i="2"/>
  <c r="X257" i="2"/>
  <c r="Y257" i="2"/>
  <c r="Z257" i="2"/>
  <c r="AA257" i="2"/>
  <c r="AB257" i="2"/>
  <c r="AC257" i="2"/>
  <c r="AD257" i="2"/>
  <c r="AE257" i="2"/>
  <c r="AH257" i="2"/>
  <c r="AI257" i="2"/>
  <c r="A258" i="2"/>
  <c r="B258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U258" i="2"/>
  <c r="V258" i="2"/>
  <c r="W258" i="2"/>
  <c r="X258" i="2"/>
  <c r="Y258" i="2"/>
  <c r="Z258" i="2"/>
  <c r="AA258" i="2"/>
  <c r="AB258" i="2"/>
  <c r="AC258" i="2"/>
  <c r="AD258" i="2"/>
  <c r="AE258" i="2"/>
  <c r="AH258" i="2"/>
  <c r="AI258" i="2"/>
  <c r="A259" i="2"/>
  <c r="B259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U259" i="2"/>
  <c r="V259" i="2"/>
  <c r="W259" i="2"/>
  <c r="X259" i="2"/>
  <c r="Y259" i="2"/>
  <c r="Z259" i="2"/>
  <c r="AA259" i="2"/>
  <c r="AB259" i="2"/>
  <c r="AC259" i="2"/>
  <c r="AD259" i="2"/>
  <c r="AE259" i="2"/>
  <c r="AH259" i="2"/>
  <c r="AI259" i="2"/>
  <c r="A260" i="2"/>
  <c r="B260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U260" i="2"/>
  <c r="V260" i="2"/>
  <c r="W260" i="2"/>
  <c r="X260" i="2"/>
  <c r="Y260" i="2"/>
  <c r="Z260" i="2"/>
  <c r="AA260" i="2"/>
  <c r="AB260" i="2"/>
  <c r="AC260" i="2"/>
  <c r="AD260" i="2"/>
  <c r="AE260" i="2"/>
  <c r="AH260" i="2"/>
  <c r="AI260" i="2"/>
  <c r="A261" i="2"/>
  <c r="B261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U261" i="2"/>
  <c r="V261" i="2"/>
  <c r="W261" i="2"/>
  <c r="X261" i="2"/>
  <c r="Y261" i="2"/>
  <c r="Z261" i="2"/>
  <c r="AA261" i="2"/>
  <c r="AB261" i="2"/>
  <c r="AC261" i="2"/>
  <c r="AD261" i="2"/>
  <c r="AE261" i="2"/>
  <c r="AH261" i="2"/>
  <c r="AI261" i="2"/>
  <c r="A262" i="2"/>
  <c r="B262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U262" i="2"/>
  <c r="V262" i="2"/>
  <c r="W262" i="2"/>
  <c r="X262" i="2"/>
  <c r="Y262" i="2"/>
  <c r="Z262" i="2"/>
  <c r="AA262" i="2"/>
  <c r="AB262" i="2"/>
  <c r="AC262" i="2"/>
  <c r="AD262" i="2"/>
  <c r="AE262" i="2"/>
  <c r="AH262" i="2"/>
  <c r="AI262" i="2"/>
  <c r="A263" i="2"/>
  <c r="B263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U263" i="2"/>
  <c r="V263" i="2"/>
  <c r="W263" i="2"/>
  <c r="X263" i="2"/>
  <c r="Y263" i="2"/>
  <c r="Z263" i="2"/>
  <c r="AA263" i="2"/>
  <c r="AB263" i="2"/>
  <c r="AC263" i="2"/>
  <c r="AD263" i="2"/>
  <c r="AE263" i="2"/>
  <c r="AH263" i="2"/>
  <c r="AI263" i="2"/>
  <c r="A264" i="2"/>
  <c r="B264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U264" i="2"/>
  <c r="V264" i="2"/>
  <c r="W264" i="2"/>
  <c r="X264" i="2"/>
  <c r="Y264" i="2"/>
  <c r="Z264" i="2"/>
  <c r="AA264" i="2"/>
  <c r="AB264" i="2"/>
  <c r="AC264" i="2"/>
  <c r="AD264" i="2"/>
  <c r="AE264" i="2"/>
  <c r="AH264" i="2"/>
  <c r="AI264" i="2"/>
  <c r="A265" i="2"/>
  <c r="B265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U265" i="2"/>
  <c r="V265" i="2"/>
  <c r="W265" i="2"/>
  <c r="X265" i="2"/>
  <c r="Y265" i="2"/>
  <c r="Z265" i="2"/>
  <c r="AA265" i="2"/>
  <c r="AB265" i="2"/>
  <c r="AC265" i="2"/>
  <c r="AD265" i="2"/>
  <c r="AE265" i="2"/>
  <c r="AH265" i="2"/>
  <c r="AI265" i="2"/>
  <c r="A266" i="2"/>
  <c r="B266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U266" i="2"/>
  <c r="V266" i="2"/>
  <c r="W266" i="2"/>
  <c r="X266" i="2"/>
  <c r="Y266" i="2"/>
  <c r="Z266" i="2"/>
  <c r="AA266" i="2"/>
  <c r="AB266" i="2"/>
  <c r="AC266" i="2"/>
  <c r="AD266" i="2"/>
  <c r="AE266" i="2"/>
  <c r="AH266" i="2"/>
  <c r="AI266" i="2"/>
  <c r="A267" i="2"/>
  <c r="B267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U267" i="2"/>
  <c r="V267" i="2"/>
  <c r="W267" i="2"/>
  <c r="X267" i="2"/>
  <c r="Y267" i="2"/>
  <c r="Z267" i="2"/>
  <c r="AA267" i="2"/>
  <c r="AB267" i="2"/>
  <c r="AC267" i="2"/>
  <c r="AD267" i="2"/>
  <c r="AE267" i="2"/>
  <c r="AH267" i="2"/>
  <c r="AI267" i="2"/>
  <c r="A268" i="2"/>
  <c r="B268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U268" i="2"/>
  <c r="V268" i="2"/>
  <c r="W268" i="2"/>
  <c r="X268" i="2"/>
  <c r="Y268" i="2"/>
  <c r="Z268" i="2"/>
  <c r="AA268" i="2"/>
  <c r="AB268" i="2"/>
  <c r="AC268" i="2"/>
  <c r="AD268" i="2"/>
  <c r="AE268" i="2"/>
  <c r="AH268" i="2"/>
  <c r="AI268" i="2"/>
  <c r="A269" i="2"/>
  <c r="B269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U269" i="2"/>
  <c r="V269" i="2"/>
  <c r="W269" i="2"/>
  <c r="X269" i="2"/>
  <c r="Y269" i="2"/>
  <c r="Z269" i="2"/>
  <c r="AA269" i="2"/>
  <c r="AB269" i="2"/>
  <c r="AC269" i="2"/>
  <c r="AD269" i="2"/>
  <c r="AE269" i="2"/>
  <c r="AH269" i="2"/>
  <c r="AI269" i="2"/>
  <c r="A270" i="2"/>
  <c r="B270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U270" i="2"/>
  <c r="V270" i="2"/>
  <c r="W270" i="2"/>
  <c r="X270" i="2"/>
  <c r="Y270" i="2"/>
  <c r="Z270" i="2"/>
  <c r="AA270" i="2"/>
  <c r="AB270" i="2"/>
  <c r="AC270" i="2"/>
  <c r="AD270" i="2"/>
  <c r="AE270" i="2"/>
  <c r="AH270" i="2"/>
  <c r="AI270" i="2"/>
  <c r="A271" i="2"/>
  <c r="B271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U271" i="2"/>
  <c r="V271" i="2"/>
  <c r="W271" i="2"/>
  <c r="X271" i="2"/>
  <c r="Y271" i="2"/>
  <c r="Z271" i="2"/>
  <c r="AA271" i="2"/>
  <c r="AB271" i="2"/>
  <c r="AC271" i="2"/>
  <c r="AD271" i="2"/>
  <c r="AE271" i="2"/>
  <c r="AH271" i="2"/>
  <c r="AI271" i="2"/>
  <c r="A272" i="2"/>
  <c r="B272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U272" i="2"/>
  <c r="V272" i="2"/>
  <c r="W272" i="2"/>
  <c r="X272" i="2"/>
  <c r="Y272" i="2"/>
  <c r="Z272" i="2"/>
  <c r="AA272" i="2"/>
  <c r="AB272" i="2"/>
  <c r="AC272" i="2"/>
  <c r="AD272" i="2"/>
  <c r="AE272" i="2"/>
  <c r="AH272" i="2"/>
  <c r="AI272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U273" i="2"/>
  <c r="V273" i="2"/>
  <c r="W273" i="2"/>
  <c r="X273" i="2"/>
  <c r="Y273" i="2"/>
  <c r="Z273" i="2"/>
  <c r="AA273" i="2"/>
  <c r="AB273" i="2"/>
  <c r="AC273" i="2"/>
  <c r="AD273" i="2"/>
  <c r="AE273" i="2"/>
  <c r="AI273" i="2"/>
  <c r="A275" i="2"/>
  <c r="B275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U275" i="2"/>
  <c r="V275" i="2"/>
  <c r="W275" i="2"/>
  <c r="X275" i="2"/>
  <c r="Y275" i="2"/>
  <c r="Z275" i="2"/>
  <c r="AA275" i="2"/>
  <c r="AB275" i="2"/>
  <c r="AC275" i="2"/>
  <c r="AD275" i="2"/>
  <c r="AE275" i="2"/>
  <c r="AF275" i="2"/>
  <c r="AG275" i="2"/>
  <c r="AH275" i="2"/>
  <c r="AI275" i="2"/>
  <c r="A276" i="2"/>
  <c r="B276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U276" i="2"/>
  <c r="V276" i="2"/>
  <c r="W276" i="2"/>
  <c r="X276" i="2"/>
  <c r="Y276" i="2"/>
  <c r="Z276" i="2"/>
  <c r="AA276" i="2"/>
  <c r="AB276" i="2"/>
  <c r="AC276" i="2"/>
  <c r="AD276" i="2"/>
  <c r="AE276" i="2"/>
  <c r="AF276" i="2"/>
  <c r="AG276" i="2"/>
  <c r="AH276" i="2"/>
  <c r="AI276" i="2"/>
  <c r="A277" i="2"/>
  <c r="B277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U277" i="2"/>
  <c r="V277" i="2"/>
  <c r="W277" i="2"/>
  <c r="X277" i="2"/>
  <c r="Y277" i="2"/>
  <c r="Z277" i="2"/>
  <c r="AA277" i="2"/>
  <c r="AB277" i="2"/>
  <c r="AC277" i="2"/>
  <c r="AD277" i="2"/>
  <c r="AE277" i="2"/>
  <c r="AF277" i="2"/>
  <c r="AG277" i="2"/>
  <c r="AH277" i="2"/>
  <c r="AI277" i="2"/>
  <c r="A278" i="2"/>
  <c r="B278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U278" i="2"/>
  <c r="V278" i="2"/>
  <c r="W278" i="2"/>
  <c r="X278" i="2"/>
  <c r="Y278" i="2"/>
  <c r="Z278" i="2"/>
  <c r="AA278" i="2"/>
  <c r="AB278" i="2"/>
  <c r="AC278" i="2"/>
  <c r="AD278" i="2"/>
  <c r="AE278" i="2"/>
  <c r="AF278" i="2"/>
  <c r="AG278" i="2"/>
  <c r="AH278" i="2"/>
  <c r="AI278" i="2"/>
  <c r="A279" i="2"/>
  <c r="B279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U279" i="2"/>
  <c r="V279" i="2"/>
  <c r="W279" i="2"/>
  <c r="X279" i="2"/>
  <c r="Y279" i="2"/>
  <c r="Z279" i="2"/>
  <c r="AA279" i="2"/>
  <c r="AB279" i="2"/>
  <c r="AC279" i="2"/>
  <c r="AD279" i="2"/>
  <c r="AE279" i="2"/>
  <c r="AF279" i="2"/>
  <c r="AG279" i="2"/>
  <c r="AH279" i="2"/>
  <c r="AI279" i="2"/>
  <c r="A280" i="2"/>
  <c r="B280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U280" i="2"/>
  <c r="V280" i="2"/>
  <c r="W280" i="2"/>
  <c r="X280" i="2"/>
  <c r="Y280" i="2"/>
  <c r="Z280" i="2"/>
  <c r="AA280" i="2"/>
  <c r="AB280" i="2"/>
  <c r="AC280" i="2"/>
  <c r="AD280" i="2"/>
  <c r="AE280" i="2"/>
  <c r="AF280" i="2"/>
  <c r="AG280" i="2"/>
  <c r="AH280" i="2"/>
  <c r="AI280" i="2"/>
  <c r="A281" i="2"/>
  <c r="B281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U281" i="2"/>
  <c r="V281" i="2"/>
  <c r="W281" i="2"/>
  <c r="X281" i="2"/>
  <c r="Y281" i="2"/>
  <c r="Z281" i="2"/>
  <c r="AA281" i="2"/>
  <c r="AB281" i="2"/>
  <c r="AC281" i="2"/>
  <c r="AD281" i="2"/>
  <c r="AE281" i="2"/>
  <c r="AF281" i="2"/>
  <c r="AG281" i="2"/>
  <c r="AH281" i="2"/>
  <c r="AI281" i="2"/>
  <c r="A282" i="2"/>
  <c r="B282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U282" i="2"/>
  <c r="V282" i="2"/>
  <c r="W282" i="2"/>
  <c r="X282" i="2"/>
  <c r="Y282" i="2"/>
  <c r="Z282" i="2"/>
  <c r="AA282" i="2"/>
  <c r="AB282" i="2"/>
  <c r="AC282" i="2"/>
  <c r="AD282" i="2"/>
  <c r="AE282" i="2"/>
  <c r="AF282" i="2"/>
  <c r="AG282" i="2"/>
  <c r="AH282" i="2"/>
  <c r="AI282" i="2"/>
  <c r="A283" i="2"/>
  <c r="B283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U283" i="2"/>
  <c r="V283" i="2"/>
  <c r="W283" i="2"/>
  <c r="X283" i="2"/>
  <c r="Y283" i="2"/>
  <c r="Z283" i="2"/>
  <c r="AA283" i="2"/>
  <c r="AB283" i="2"/>
  <c r="AC283" i="2"/>
  <c r="AD283" i="2"/>
  <c r="AE283" i="2"/>
  <c r="AF283" i="2"/>
  <c r="AG283" i="2"/>
  <c r="AH283" i="2"/>
  <c r="AI283" i="2"/>
  <c r="A284" i="2"/>
  <c r="B284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U284" i="2"/>
  <c r="V284" i="2"/>
  <c r="W284" i="2"/>
  <c r="X284" i="2"/>
  <c r="Y284" i="2"/>
  <c r="Z284" i="2"/>
  <c r="AA284" i="2"/>
  <c r="AB284" i="2"/>
  <c r="AC284" i="2"/>
  <c r="AD284" i="2"/>
  <c r="AE284" i="2"/>
  <c r="AF284" i="2"/>
  <c r="AG284" i="2"/>
  <c r="AH284" i="2"/>
  <c r="AI284" i="2"/>
  <c r="A285" i="2"/>
  <c r="B285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U285" i="2"/>
  <c r="V285" i="2"/>
  <c r="W285" i="2"/>
  <c r="X285" i="2"/>
  <c r="Y285" i="2"/>
  <c r="Z285" i="2"/>
  <c r="AA285" i="2"/>
  <c r="AB285" i="2"/>
  <c r="AC285" i="2"/>
  <c r="AD285" i="2"/>
  <c r="AE285" i="2"/>
  <c r="AF285" i="2"/>
  <c r="AG285" i="2"/>
  <c r="AH285" i="2"/>
  <c r="AI285" i="2"/>
  <c r="A286" i="2"/>
  <c r="B286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U286" i="2"/>
  <c r="V286" i="2"/>
  <c r="W286" i="2"/>
  <c r="X286" i="2"/>
  <c r="Y286" i="2"/>
  <c r="Z286" i="2"/>
  <c r="AA286" i="2"/>
  <c r="AB286" i="2"/>
  <c r="AC286" i="2"/>
  <c r="AD286" i="2"/>
  <c r="AE286" i="2"/>
  <c r="AF286" i="2"/>
  <c r="AG286" i="2"/>
  <c r="AH286" i="2"/>
  <c r="AI286" i="2"/>
  <c r="A287" i="2"/>
  <c r="B287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U287" i="2"/>
  <c r="V287" i="2"/>
  <c r="W287" i="2"/>
  <c r="X287" i="2"/>
  <c r="Y287" i="2"/>
  <c r="Z287" i="2"/>
  <c r="AA287" i="2"/>
  <c r="AB287" i="2"/>
  <c r="AC287" i="2"/>
  <c r="AD287" i="2"/>
  <c r="AE287" i="2"/>
  <c r="AF287" i="2"/>
  <c r="AG287" i="2"/>
  <c r="AH287" i="2"/>
  <c r="AI287" i="2"/>
  <c r="A288" i="2"/>
  <c r="B288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U288" i="2"/>
  <c r="V288" i="2"/>
  <c r="W288" i="2"/>
  <c r="X288" i="2"/>
  <c r="Y288" i="2"/>
  <c r="Z288" i="2"/>
  <c r="AA288" i="2"/>
  <c r="AB288" i="2"/>
  <c r="AC288" i="2"/>
  <c r="AD288" i="2"/>
  <c r="AE288" i="2"/>
  <c r="AH288" i="2"/>
  <c r="AI288" i="2"/>
  <c r="A289" i="2"/>
  <c r="B289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U289" i="2"/>
  <c r="V289" i="2"/>
  <c r="W289" i="2"/>
  <c r="X289" i="2"/>
  <c r="Y289" i="2"/>
  <c r="Z289" i="2"/>
  <c r="AA289" i="2"/>
  <c r="AB289" i="2"/>
  <c r="AC289" i="2"/>
  <c r="AD289" i="2"/>
  <c r="AE289" i="2"/>
  <c r="AH289" i="2"/>
  <c r="AI289" i="2"/>
  <c r="A290" i="2"/>
  <c r="B290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U290" i="2"/>
  <c r="V290" i="2"/>
  <c r="W290" i="2"/>
  <c r="X290" i="2"/>
  <c r="Y290" i="2"/>
  <c r="Z290" i="2"/>
  <c r="AA290" i="2"/>
  <c r="AB290" i="2"/>
  <c r="AC290" i="2"/>
  <c r="AD290" i="2"/>
  <c r="AE290" i="2"/>
  <c r="AH290" i="2"/>
  <c r="AI290" i="2"/>
  <c r="A291" i="2"/>
  <c r="B291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U291" i="2"/>
  <c r="V291" i="2"/>
  <c r="W291" i="2"/>
  <c r="X291" i="2"/>
  <c r="Y291" i="2"/>
  <c r="Z291" i="2"/>
  <c r="AA291" i="2"/>
  <c r="AB291" i="2"/>
  <c r="AC291" i="2"/>
  <c r="AD291" i="2"/>
  <c r="AE291" i="2"/>
  <c r="AH291" i="2"/>
  <c r="AI291" i="2"/>
  <c r="A292" i="2"/>
  <c r="B292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U292" i="2"/>
  <c r="V292" i="2"/>
  <c r="W292" i="2"/>
  <c r="X292" i="2"/>
  <c r="Y292" i="2"/>
  <c r="Z292" i="2"/>
  <c r="AA292" i="2"/>
  <c r="AB292" i="2"/>
  <c r="AC292" i="2"/>
  <c r="AD292" i="2"/>
  <c r="AE292" i="2"/>
  <c r="AH292" i="2"/>
  <c r="AI292" i="2"/>
  <c r="A293" i="2"/>
  <c r="B293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U293" i="2"/>
  <c r="V293" i="2"/>
  <c r="W293" i="2"/>
  <c r="X293" i="2"/>
  <c r="Y293" i="2"/>
  <c r="Z293" i="2"/>
  <c r="AA293" i="2"/>
  <c r="AB293" i="2"/>
  <c r="AC293" i="2"/>
  <c r="AD293" i="2"/>
  <c r="AE293" i="2"/>
  <c r="AH293" i="2"/>
  <c r="AI293" i="2"/>
  <c r="A294" i="2"/>
  <c r="B294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U294" i="2"/>
  <c r="V294" i="2"/>
  <c r="W294" i="2"/>
  <c r="X294" i="2"/>
  <c r="Y294" i="2"/>
  <c r="Z294" i="2"/>
  <c r="AA294" i="2"/>
  <c r="AB294" i="2"/>
  <c r="AC294" i="2"/>
  <c r="AD294" i="2"/>
  <c r="AE294" i="2"/>
  <c r="AH294" i="2"/>
  <c r="AI294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U295" i="2"/>
  <c r="V295" i="2"/>
  <c r="W295" i="2"/>
  <c r="X295" i="2"/>
  <c r="Y295" i="2"/>
  <c r="Z295" i="2"/>
  <c r="AA295" i="2"/>
  <c r="AB295" i="2"/>
  <c r="AC295" i="2"/>
  <c r="AD295" i="2"/>
  <c r="AE295" i="2"/>
  <c r="AH295" i="2"/>
  <c r="A296" i="2"/>
  <c r="B296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U296" i="2"/>
  <c r="V296" i="2"/>
  <c r="W296" i="2"/>
  <c r="X296" i="2"/>
  <c r="Y296" i="2"/>
  <c r="Z296" i="2"/>
  <c r="AA296" i="2"/>
  <c r="AB296" i="2"/>
  <c r="AC296" i="2"/>
  <c r="AD296" i="2"/>
  <c r="AE296" i="2"/>
  <c r="AF296" i="2"/>
  <c r="AG296" i="2"/>
  <c r="AH296" i="2"/>
  <c r="AI296" i="2"/>
  <c r="A297" i="2"/>
  <c r="B297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U297" i="2"/>
  <c r="V297" i="2"/>
  <c r="W297" i="2"/>
  <c r="X297" i="2"/>
  <c r="Y297" i="2"/>
  <c r="Z297" i="2"/>
  <c r="AA297" i="2"/>
  <c r="AB297" i="2"/>
  <c r="AC297" i="2"/>
  <c r="AD297" i="2"/>
  <c r="AE297" i="2"/>
  <c r="AF297" i="2"/>
  <c r="AG297" i="2"/>
  <c r="AH297" i="2"/>
  <c r="AI297" i="2"/>
  <c r="A298" i="2"/>
  <c r="B298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U298" i="2"/>
  <c r="V298" i="2"/>
  <c r="W298" i="2"/>
  <c r="X298" i="2"/>
  <c r="Y298" i="2"/>
  <c r="Z298" i="2"/>
  <c r="AA298" i="2"/>
  <c r="AB298" i="2"/>
  <c r="AC298" i="2"/>
  <c r="AD298" i="2"/>
  <c r="AE298" i="2"/>
  <c r="AF298" i="2"/>
  <c r="AG298" i="2"/>
  <c r="AH298" i="2"/>
  <c r="AI298" i="2"/>
  <c r="A299" i="2"/>
  <c r="B299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U299" i="2"/>
  <c r="V299" i="2"/>
  <c r="W299" i="2"/>
  <c r="X299" i="2"/>
  <c r="Y299" i="2"/>
  <c r="Z299" i="2"/>
  <c r="AA299" i="2"/>
  <c r="AB299" i="2"/>
  <c r="AC299" i="2"/>
  <c r="AD299" i="2"/>
  <c r="AE299" i="2"/>
  <c r="AF299" i="2"/>
  <c r="AG299" i="2"/>
  <c r="AH299" i="2"/>
  <c r="AI299" i="2"/>
  <c r="A300" i="2"/>
  <c r="B300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U300" i="2"/>
  <c r="V300" i="2"/>
  <c r="W300" i="2"/>
  <c r="X300" i="2"/>
  <c r="Y300" i="2"/>
  <c r="Z300" i="2"/>
  <c r="AA300" i="2"/>
  <c r="AB300" i="2"/>
  <c r="AC300" i="2"/>
  <c r="AD300" i="2"/>
  <c r="AE300" i="2"/>
  <c r="AF300" i="2"/>
  <c r="AG300" i="2"/>
  <c r="AH300" i="2"/>
  <c r="AI300" i="2"/>
  <c r="A301" i="2"/>
  <c r="B301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U301" i="2"/>
  <c r="V301" i="2"/>
  <c r="W301" i="2"/>
  <c r="X301" i="2"/>
  <c r="Y301" i="2"/>
  <c r="Z301" i="2"/>
  <c r="AA301" i="2"/>
  <c r="AB301" i="2"/>
  <c r="AC301" i="2"/>
  <c r="AD301" i="2"/>
  <c r="AE301" i="2"/>
  <c r="AF301" i="2"/>
  <c r="AG301" i="2"/>
  <c r="AH301" i="2"/>
  <c r="AI301" i="2"/>
  <c r="A302" i="2"/>
  <c r="B302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U302" i="2"/>
  <c r="V302" i="2"/>
  <c r="W302" i="2"/>
  <c r="X302" i="2"/>
  <c r="Y302" i="2"/>
  <c r="Z302" i="2"/>
  <c r="AA302" i="2"/>
  <c r="AB302" i="2"/>
  <c r="AC302" i="2"/>
  <c r="AD302" i="2"/>
  <c r="AE302" i="2"/>
  <c r="AF302" i="2"/>
  <c r="AG302" i="2"/>
  <c r="AH302" i="2"/>
  <c r="AI302" i="2"/>
  <c r="A303" i="2"/>
  <c r="B303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U303" i="2"/>
  <c r="V303" i="2"/>
  <c r="W303" i="2"/>
  <c r="X303" i="2"/>
  <c r="Y303" i="2"/>
  <c r="Z303" i="2"/>
  <c r="AA303" i="2"/>
  <c r="AB303" i="2"/>
  <c r="AC303" i="2"/>
  <c r="AD303" i="2"/>
  <c r="AE303" i="2"/>
  <c r="AF303" i="2"/>
  <c r="AG303" i="2"/>
  <c r="AH303" i="2"/>
  <c r="AI303" i="2"/>
  <c r="A304" i="2"/>
  <c r="B304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U304" i="2"/>
  <c r="V304" i="2"/>
  <c r="W304" i="2"/>
  <c r="X304" i="2"/>
  <c r="Y304" i="2"/>
  <c r="Z304" i="2"/>
  <c r="AA304" i="2"/>
  <c r="AB304" i="2"/>
  <c r="AC304" i="2"/>
  <c r="AD304" i="2"/>
  <c r="AE304" i="2"/>
  <c r="AF304" i="2"/>
  <c r="AG304" i="2"/>
  <c r="AH304" i="2"/>
  <c r="AI304" i="2"/>
  <c r="A305" i="2"/>
  <c r="B305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U305" i="2"/>
  <c r="V305" i="2"/>
  <c r="W305" i="2"/>
  <c r="X305" i="2"/>
  <c r="Y305" i="2"/>
  <c r="Z305" i="2"/>
  <c r="AA305" i="2"/>
  <c r="AB305" i="2"/>
  <c r="AC305" i="2"/>
  <c r="AD305" i="2"/>
  <c r="AE305" i="2"/>
  <c r="AF305" i="2"/>
  <c r="AG305" i="2"/>
  <c r="AH305" i="2"/>
  <c r="AI305" i="2"/>
  <c r="A306" i="2"/>
  <c r="B306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U306" i="2"/>
  <c r="V306" i="2"/>
  <c r="W306" i="2"/>
  <c r="X306" i="2"/>
  <c r="Y306" i="2"/>
  <c r="Z306" i="2"/>
  <c r="AA306" i="2"/>
  <c r="AB306" i="2"/>
  <c r="AC306" i="2"/>
  <c r="AD306" i="2"/>
  <c r="AE306" i="2"/>
  <c r="AF306" i="2"/>
  <c r="AG306" i="2"/>
  <c r="AH306" i="2"/>
  <c r="AI306" i="2"/>
  <c r="A307" i="2"/>
  <c r="B307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U307" i="2"/>
  <c r="V307" i="2"/>
  <c r="W307" i="2"/>
  <c r="X307" i="2"/>
  <c r="Y307" i="2"/>
  <c r="Z307" i="2"/>
  <c r="AA307" i="2"/>
  <c r="AB307" i="2"/>
  <c r="AC307" i="2"/>
  <c r="AD307" i="2"/>
  <c r="AE307" i="2"/>
  <c r="AF307" i="2"/>
  <c r="AG307" i="2"/>
  <c r="AH307" i="2"/>
  <c r="AI307" i="2"/>
  <c r="A308" i="2"/>
  <c r="B308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U308" i="2"/>
  <c r="V308" i="2"/>
  <c r="W308" i="2"/>
  <c r="X308" i="2"/>
  <c r="Y308" i="2"/>
  <c r="Z308" i="2"/>
  <c r="AA308" i="2"/>
  <c r="AB308" i="2"/>
  <c r="AC308" i="2"/>
  <c r="AD308" i="2"/>
  <c r="AE308" i="2"/>
  <c r="AF308" i="2"/>
  <c r="AG308" i="2"/>
  <c r="AH308" i="2"/>
  <c r="AI308" i="2"/>
  <c r="A309" i="2"/>
  <c r="B309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U309" i="2"/>
  <c r="V309" i="2"/>
  <c r="W309" i="2"/>
  <c r="X309" i="2"/>
  <c r="Y309" i="2"/>
  <c r="Z309" i="2"/>
  <c r="AA309" i="2"/>
  <c r="AB309" i="2"/>
  <c r="AC309" i="2"/>
  <c r="AD309" i="2"/>
  <c r="AE309" i="2"/>
  <c r="AF309" i="2"/>
  <c r="AG309" i="2"/>
  <c r="AH309" i="2"/>
  <c r="AI309" i="2"/>
  <c r="A310" i="2"/>
  <c r="B310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U310" i="2"/>
  <c r="V310" i="2"/>
  <c r="W310" i="2"/>
  <c r="X310" i="2"/>
  <c r="Y310" i="2"/>
  <c r="Z310" i="2"/>
  <c r="AA310" i="2"/>
  <c r="AB310" i="2"/>
  <c r="AC310" i="2"/>
  <c r="AD310" i="2"/>
  <c r="AE310" i="2"/>
  <c r="AF310" i="2"/>
  <c r="AG310" i="2"/>
  <c r="AH310" i="2"/>
  <c r="AI310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U311" i="2"/>
  <c r="V311" i="2"/>
  <c r="W311" i="2"/>
  <c r="X311" i="2"/>
  <c r="Y311" i="2"/>
  <c r="Z311" i="2"/>
  <c r="AA311" i="2"/>
  <c r="AB311" i="2"/>
  <c r="AC311" i="2"/>
  <c r="AD311" i="2"/>
  <c r="AE311" i="2"/>
  <c r="AH311" i="2"/>
  <c r="A312" i="2"/>
  <c r="B312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U312" i="2"/>
  <c r="V312" i="2"/>
  <c r="W312" i="2"/>
  <c r="X312" i="2"/>
  <c r="Y312" i="2"/>
  <c r="Z312" i="2"/>
  <c r="AA312" i="2"/>
  <c r="AB312" i="2"/>
  <c r="AC312" i="2"/>
  <c r="AD312" i="2"/>
  <c r="AE312" i="2"/>
  <c r="AF312" i="2"/>
  <c r="AG312" i="2"/>
  <c r="AH312" i="2"/>
  <c r="AI312" i="2"/>
  <c r="A313" i="2"/>
  <c r="B313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U313" i="2"/>
  <c r="V313" i="2"/>
  <c r="W313" i="2"/>
  <c r="X313" i="2"/>
  <c r="Y313" i="2"/>
  <c r="Z313" i="2"/>
  <c r="AA313" i="2"/>
  <c r="AB313" i="2"/>
  <c r="AC313" i="2"/>
  <c r="AD313" i="2"/>
  <c r="AE313" i="2"/>
  <c r="AF313" i="2"/>
  <c r="AG313" i="2"/>
  <c r="AH313" i="2"/>
  <c r="AI313" i="2"/>
  <c r="A314" i="2"/>
  <c r="B314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U314" i="2"/>
  <c r="V314" i="2"/>
  <c r="W314" i="2"/>
  <c r="X314" i="2"/>
  <c r="Y314" i="2"/>
  <c r="Z314" i="2"/>
  <c r="AA314" i="2"/>
  <c r="AB314" i="2"/>
  <c r="AC314" i="2"/>
  <c r="AD314" i="2"/>
  <c r="AE314" i="2"/>
  <c r="AF314" i="2"/>
  <c r="AG314" i="2"/>
  <c r="AH314" i="2"/>
  <c r="AI314" i="2"/>
  <c r="A315" i="2"/>
  <c r="B315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U315" i="2"/>
  <c r="V315" i="2"/>
  <c r="W315" i="2"/>
  <c r="X315" i="2"/>
  <c r="Y315" i="2"/>
  <c r="Z315" i="2"/>
  <c r="AA315" i="2"/>
  <c r="AB315" i="2"/>
  <c r="AC315" i="2"/>
  <c r="AD315" i="2"/>
  <c r="AE315" i="2"/>
  <c r="AF315" i="2"/>
  <c r="AG315" i="2"/>
  <c r="AH315" i="2"/>
  <c r="AI315" i="2"/>
  <c r="A316" i="2"/>
  <c r="B316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U316" i="2"/>
  <c r="V316" i="2"/>
  <c r="W316" i="2"/>
  <c r="X316" i="2"/>
  <c r="Y316" i="2"/>
  <c r="Z316" i="2"/>
  <c r="AA316" i="2"/>
  <c r="AB316" i="2"/>
  <c r="AC316" i="2"/>
  <c r="AD316" i="2"/>
  <c r="AE316" i="2"/>
  <c r="AF316" i="2"/>
  <c r="AG316" i="2"/>
  <c r="AH316" i="2"/>
  <c r="AI316" i="2"/>
  <c r="A317" i="2"/>
  <c r="B317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U317" i="2"/>
  <c r="V317" i="2"/>
  <c r="W317" i="2"/>
  <c r="X317" i="2"/>
  <c r="Y317" i="2"/>
  <c r="Z317" i="2"/>
  <c r="AA317" i="2"/>
  <c r="AB317" i="2"/>
  <c r="AC317" i="2"/>
  <c r="AD317" i="2"/>
  <c r="AE317" i="2"/>
  <c r="AF317" i="2"/>
  <c r="AG317" i="2"/>
  <c r="AH317" i="2"/>
  <c r="AI317" i="2"/>
  <c r="A318" i="2"/>
  <c r="B318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U318" i="2"/>
  <c r="V318" i="2"/>
  <c r="W318" i="2"/>
  <c r="X318" i="2"/>
  <c r="Y318" i="2"/>
  <c r="Z318" i="2"/>
  <c r="AA318" i="2"/>
  <c r="AB318" i="2"/>
  <c r="AC318" i="2"/>
  <c r="AD318" i="2"/>
  <c r="AE318" i="2"/>
  <c r="AF318" i="2"/>
  <c r="AG318" i="2"/>
  <c r="AH318" i="2"/>
  <c r="AI318" i="2"/>
  <c r="A319" i="2"/>
  <c r="B319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U319" i="2"/>
  <c r="V319" i="2"/>
  <c r="W319" i="2"/>
  <c r="X319" i="2"/>
  <c r="Y319" i="2"/>
  <c r="Z319" i="2"/>
  <c r="AA319" i="2"/>
  <c r="AB319" i="2"/>
  <c r="AC319" i="2"/>
  <c r="AD319" i="2"/>
  <c r="AE319" i="2"/>
  <c r="AF319" i="2"/>
  <c r="AG319" i="2"/>
  <c r="AH319" i="2"/>
  <c r="AI319" i="2"/>
  <c r="A320" i="2"/>
  <c r="B320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U320" i="2"/>
  <c r="V320" i="2"/>
  <c r="W320" i="2"/>
  <c r="X320" i="2"/>
  <c r="Y320" i="2"/>
  <c r="Z320" i="2"/>
  <c r="AA320" i="2"/>
  <c r="AB320" i="2"/>
  <c r="AC320" i="2"/>
  <c r="AD320" i="2"/>
  <c r="AE320" i="2"/>
  <c r="AF320" i="2"/>
  <c r="AG320" i="2"/>
  <c r="AH320" i="2"/>
  <c r="AI320" i="2"/>
  <c r="A321" i="2"/>
  <c r="B321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U321" i="2"/>
  <c r="V321" i="2"/>
  <c r="W321" i="2"/>
  <c r="X321" i="2"/>
  <c r="Y321" i="2"/>
  <c r="Z321" i="2"/>
  <c r="AA321" i="2"/>
  <c r="AB321" i="2"/>
  <c r="AC321" i="2"/>
  <c r="AD321" i="2"/>
  <c r="AE321" i="2"/>
  <c r="AF321" i="2"/>
  <c r="AG321" i="2"/>
  <c r="AH321" i="2"/>
  <c r="AI321" i="2"/>
  <c r="A322" i="2"/>
  <c r="B322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U322" i="2"/>
  <c r="V322" i="2"/>
  <c r="W322" i="2"/>
  <c r="X322" i="2"/>
  <c r="Y322" i="2"/>
  <c r="Z322" i="2"/>
  <c r="AA322" i="2"/>
  <c r="AB322" i="2"/>
  <c r="AC322" i="2"/>
  <c r="AD322" i="2"/>
  <c r="AE322" i="2"/>
  <c r="AF322" i="2"/>
  <c r="AG322" i="2"/>
  <c r="AH322" i="2"/>
  <c r="AI322" i="2"/>
  <c r="A323" i="2"/>
  <c r="B323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U323" i="2"/>
  <c r="V323" i="2"/>
  <c r="W323" i="2"/>
  <c r="X323" i="2"/>
  <c r="Y323" i="2"/>
  <c r="Z323" i="2"/>
  <c r="AA323" i="2"/>
  <c r="AB323" i="2"/>
  <c r="AC323" i="2"/>
  <c r="AD323" i="2"/>
  <c r="AE323" i="2"/>
  <c r="AF323" i="2"/>
  <c r="AG323" i="2"/>
  <c r="AH323" i="2"/>
  <c r="AI323" i="2"/>
  <c r="A324" i="2"/>
  <c r="B324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U324" i="2"/>
  <c r="V324" i="2"/>
  <c r="W324" i="2"/>
  <c r="X324" i="2"/>
  <c r="Y324" i="2"/>
  <c r="Z324" i="2"/>
  <c r="AA324" i="2"/>
  <c r="AB324" i="2"/>
  <c r="AC324" i="2"/>
  <c r="AD324" i="2"/>
  <c r="AE324" i="2"/>
  <c r="AF324" i="2"/>
  <c r="AG324" i="2"/>
  <c r="AH324" i="2"/>
  <c r="AI324" i="2"/>
  <c r="A325" i="2"/>
  <c r="B325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U325" i="2"/>
  <c r="V325" i="2"/>
  <c r="W325" i="2"/>
  <c r="X325" i="2"/>
  <c r="Y325" i="2"/>
  <c r="Z325" i="2"/>
  <c r="AA325" i="2"/>
  <c r="AB325" i="2"/>
  <c r="AC325" i="2"/>
  <c r="AD325" i="2"/>
  <c r="AE325" i="2"/>
  <c r="AF325" i="2"/>
  <c r="AG325" i="2"/>
  <c r="AH325" i="2"/>
  <c r="AI325" i="2"/>
  <c r="AI327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U328" i="2"/>
  <c r="V328" i="2"/>
  <c r="W328" i="2"/>
  <c r="X328" i="2"/>
  <c r="Y328" i="2"/>
  <c r="Z328" i="2"/>
  <c r="AA328" i="2"/>
  <c r="AB328" i="2"/>
  <c r="AC328" i="2"/>
  <c r="AD328" i="2"/>
  <c r="AE328" i="2"/>
  <c r="AH328" i="2"/>
  <c r="AI328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U329" i="2"/>
  <c r="V329" i="2"/>
  <c r="W329" i="2"/>
  <c r="X329" i="2"/>
  <c r="Y329" i="2"/>
  <c r="Z329" i="2"/>
  <c r="AA329" i="2"/>
  <c r="AB329" i="2"/>
  <c r="AC329" i="2"/>
  <c r="AD329" i="2"/>
  <c r="AE329" i="2"/>
  <c r="AH329" i="2"/>
  <c r="AI329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U330" i="2"/>
  <c r="V330" i="2"/>
  <c r="W330" i="2"/>
  <c r="X330" i="2"/>
  <c r="Y330" i="2"/>
  <c r="Z330" i="2"/>
  <c r="AA330" i="2"/>
  <c r="AB330" i="2"/>
  <c r="AC330" i="2"/>
  <c r="AD330" i="2"/>
  <c r="AE330" i="2"/>
  <c r="AH330" i="2"/>
  <c r="AI330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U331" i="2"/>
  <c r="V331" i="2"/>
  <c r="W331" i="2"/>
  <c r="X331" i="2"/>
  <c r="Y331" i="2"/>
  <c r="Z331" i="2"/>
  <c r="AA331" i="2"/>
  <c r="AB331" i="2"/>
  <c r="AC331" i="2"/>
  <c r="AD331" i="2"/>
  <c r="AE331" i="2"/>
  <c r="AH331" i="2"/>
  <c r="AI331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U334" i="2"/>
  <c r="V334" i="2"/>
  <c r="W334" i="2"/>
  <c r="X334" i="2"/>
  <c r="Y334" i="2"/>
  <c r="Z334" i="2"/>
  <c r="AA334" i="2"/>
  <c r="AB334" i="2"/>
  <c r="AC334" i="2"/>
  <c r="AD334" i="2"/>
  <c r="AE334" i="2"/>
  <c r="AF334" i="2"/>
  <c r="AG334" i="2"/>
  <c r="AH334" i="2"/>
  <c r="AI334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U335" i="2"/>
  <c r="V335" i="2"/>
  <c r="W335" i="2"/>
  <c r="X335" i="2"/>
  <c r="Y335" i="2"/>
  <c r="Z335" i="2"/>
  <c r="AA335" i="2"/>
  <c r="AB335" i="2"/>
  <c r="AC335" i="2"/>
  <c r="AD335" i="2"/>
  <c r="AE335" i="2"/>
  <c r="AH335" i="2"/>
  <c r="AI335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U336" i="2"/>
  <c r="V336" i="2"/>
  <c r="W336" i="2"/>
  <c r="X336" i="2"/>
  <c r="Y336" i="2"/>
  <c r="Z336" i="2"/>
  <c r="AA336" i="2"/>
  <c r="AB336" i="2"/>
  <c r="AC336" i="2"/>
  <c r="AD336" i="2"/>
  <c r="AE336" i="2"/>
  <c r="AF336" i="2"/>
  <c r="AG336" i="2"/>
  <c r="AH336" i="2"/>
  <c r="AI336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U337" i="2"/>
  <c r="V337" i="2"/>
  <c r="W337" i="2"/>
  <c r="X337" i="2"/>
  <c r="Y337" i="2"/>
  <c r="Z337" i="2"/>
  <c r="AA337" i="2"/>
  <c r="AB337" i="2"/>
  <c r="AC337" i="2"/>
  <c r="AD337" i="2"/>
  <c r="AE337" i="2"/>
  <c r="AF337" i="2"/>
  <c r="AG337" i="2"/>
  <c r="AH337" i="2"/>
  <c r="AI337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U340" i="2"/>
  <c r="V340" i="2"/>
  <c r="W340" i="2"/>
  <c r="X340" i="2"/>
  <c r="Y340" i="2"/>
  <c r="Z340" i="2"/>
  <c r="AA340" i="2"/>
  <c r="AB340" i="2"/>
  <c r="AC340" i="2"/>
  <c r="AD340" i="2"/>
  <c r="AE340" i="2"/>
  <c r="AF340" i="2"/>
  <c r="AG340" i="2"/>
  <c r="AH340" i="2"/>
  <c r="AI340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U341" i="2"/>
  <c r="V341" i="2"/>
  <c r="W341" i="2"/>
  <c r="X341" i="2"/>
  <c r="Y341" i="2"/>
  <c r="Z341" i="2"/>
  <c r="AA341" i="2"/>
  <c r="AB341" i="2"/>
  <c r="AC341" i="2"/>
  <c r="AD341" i="2"/>
  <c r="AE341" i="2"/>
  <c r="AH341" i="2"/>
  <c r="AI341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U342" i="2"/>
  <c r="V342" i="2"/>
  <c r="W342" i="2"/>
  <c r="X342" i="2"/>
  <c r="Y342" i="2"/>
  <c r="Z342" i="2"/>
  <c r="AA342" i="2"/>
  <c r="AB342" i="2"/>
  <c r="AC342" i="2"/>
  <c r="AD342" i="2"/>
  <c r="AE342" i="2"/>
  <c r="AF342" i="2"/>
  <c r="AG342" i="2"/>
  <c r="AH342" i="2"/>
  <c r="AI342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U343" i="2"/>
  <c r="V343" i="2"/>
  <c r="W343" i="2"/>
  <c r="X343" i="2"/>
  <c r="Y343" i="2"/>
  <c r="Z343" i="2"/>
  <c r="AA343" i="2"/>
  <c r="AB343" i="2"/>
  <c r="AC343" i="2"/>
  <c r="AD343" i="2"/>
  <c r="AE343" i="2"/>
  <c r="AF343" i="2"/>
  <c r="AG343" i="2"/>
  <c r="AH343" i="2"/>
  <c r="AI343" i="2"/>
  <c r="P6" i="3"/>
  <c r="D8" i="3"/>
  <c r="E8" i="3"/>
  <c r="F8" i="3"/>
  <c r="G8" i="3"/>
  <c r="H8" i="3"/>
  <c r="I8" i="3"/>
  <c r="Q8" i="3"/>
  <c r="R8" i="3"/>
  <c r="S8" i="3"/>
  <c r="T8" i="3"/>
  <c r="U8" i="3"/>
  <c r="W8" i="3"/>
  <c r="X8" i="3"/>
  <c r="Y8" i="3"/>
  <c r="Z8" i="3"/>
  <c r="AC8" i="3"/>
  <c r="AD8" i="3"/>
  <c r="AE8" i="3"/>
  <c r="AF8" i="3"/>
  <c r="AG8" i="3"/>
  <c r="AH8" i="3"/>
  <c r="AI8" i="3"/>
  <c r="AJ8" i="3"/>
  <c r="AK8" i="3"/>
  <c r="AL8" i="3"/>
  <c r="AN8" i="3"/>
  <c r="AO8" i="3"/>
  <c r="AP8" i="3"/>
  <c r="AQ8" i="3"/>
  <c r="AR8" i="3"/>
  <c r="AS8" i="3"/>
  <c r="AT8" i="3"/>
  <c r="AU8" i="3"/>
  <c r="AV8" i="3"/>
  <c r="D9" i="3"/>
  <c r="E9" i="3"/>
  <c r="F9" i="3"/>
  <c r="G9" i="3"/>
  <c r="H9" i="3"/>
  <c r="I9" i="3"/>
  <c r="Q9" i="3"/>
  <c r="R9" i="3"/>
  <c r="S9" i="3"/>
  <c r="T9" i="3"/>
  <c r="U9" i="3"/>
  <c r="W9" i="3"/>
  <c r="X9" i="3"/>
  <c r="Y9" i="3"/>
  <c r="Z9" i="3"/>
  <c r="AC9" i="3"/>
  <c r="AD9" i="3"/>
  <c r="AE9" i="3"/>
  <c r="AF9" i="3"/>
  <c r="AG9" i="3"/>
  <c r="AH9" i="3"/>
  <c r="AI9" i="3"/>
  <c r="AJ9" i="3"/>
  <c r="AK9" i="3"/>
  <c r="AL9" i="3"/>
  <c r="AN9" i="3"/>
  <c r="AO9" i="3"/>
  <c r="AP9" i="3"/>
  <c r="AQ9" i="3"/>
  <c r="AR9" i="3"/>
  <c r="AS9" i="3"/>
  <c r="AT9" i="3"/>
  <c r="AU9" i="3"/>
  <c r="AV9" i="3"/>
  <c r="D10" i="3"/>
  <c r="E10" i="3"/>
  <c r="F10" i="3"/>
  <c r="G10" i="3"/>
  <c r="H10" i="3"/>
  <c r="I10" i="3"/>
  <c r="Q10" i="3"/>
  <c r="R10" i="3"/>
  <c r="S10" i="3"/>
  <c r="T10" i="3"/>
  <c r="U10" i="3"/>
  <c r="W10" i="3"/>
  <c r="X10" i="3"/>
  <c r="Y10" i="3"/>
  <c r="Z10" i="3"/>
  <c r="AC10" i="3"/>
  <c r="AD10" i="3"/>
  <c r="AE10" i="3"/>
  <c r="AF10" i="3"/>
  <c r="AG10" i="3"/>
  <c r="AH10" i="3"/>
  <c r="AI10" i="3"/>
  <c r="AJ10" i="3"/>
  <c r="AK10" i="3"/>
  <c r="AL10" i="3"/>
  <c r="AN10" i="3"/>
  <c r="AO10" i="3"/>
  <c r="AP10" i="3"/>
  <c r="AQ10" i="3"/>
  <c r="AR10" i="3"/>
  <c r="AS10" i="3"/>
  <c r="AT10" i="3"/>
  <c r="AU10" i="3"/>
  <c r="AV10" i="3"/>
  <c r="D11" i="3"/>
  <c r="E11" i="3"/>
  <c r="F11" i="3"/>
  <c r="G11" i="3"/>
  <c r="H11" i="3"/>
  <c r="I11" i="3"/>
  <c r="Q11" i="3"/>
  <c r="R11" i="3"/>
  <c r="S11" i="3"/>
  <c r="T11" i="3"/>
  <c r="U11" i="3"/>
  <c r="W11" i="3"/>
  <c r="X11" i="3"/>
  <c r="Y11" i="3"/>
  <c r="Z11" i="3"/>
  <c r="AC11" i="3"/>
  <c r="AD11" i="3"/>
  <c r="AE11" i="3"/>
  <c r="AF11" i="3"/>
  <c r="AG11" i="3"/>
  <c r="AH11" i="3"/>
  <c r="AI11" i="3"/>
  <c r="AJ11" i="3"/>
  <c r="AK11" i="3"/>
  <c r="AL11" i="3"/>
  <c r="AN11" i="3"/>
  <c r="AO11" i="3"/>
  <c r="AP11" i="3"/>
  <c r="AQ11" i="3"/>
  <c r="AR11" i="3"/>
  <c r="AS11" i="3"/>
  <c r="AT11" i="3"/>
  <c r="AU11" i="3"/>
  <c r="AV11" i="3"/>
  <c r="D12" i="3"/>
  <c r="E12" i="3"/>
  <c r="F12" i="3"/>
  <c r="G12" i="3"/>
  <c r="H12" i="3"/>
  <c r="I12" i="3"/>
  <c r="Q12" i="3"/>
  <c r="R12" i="3"/>
  <c r="S12" i="3"/>
  <c r="T12" i="3"/>
  <c r="U12" i="3"/>
  <c r="W12" i="3"/>
  <c r="X12" i="3"/>
  <c r="Y12" i="3"/>
  <c r="Z12" i="3"/>
  <c r="AC12" i="3"/>
  <c r="AD12" i="3"/>
  <c r="AE12" i="3"/>
  <c r="AF12" i="3"/>
  <c r="AG12" i="3"/>
  <c r="AH12" i="3"/>
  <c r="AI12" i="3"/>
  <c r="AJ12" i="3"/>
  <c r="AK12" i="3"/>
  <c r="AL12" i="3"/>
  <c r="AN12" i="3"/>
  <c r="AO12" i="3"/>
  <c r="AP12" i="3"/>
  <c r="AQ12" i="3"/>
  <c r="AR12" i="3"/>
  <c r="AS12" i="3"/>
  <c r="AT12" i="3"/>
  <c r="AU12" i="3"/>
  <c r="AV12" i="3"/>
  <c r="D13" i="3"/>
  <c r="E13" i="3"/>
  <c r="F13" i="3"/>
  <c r="G13" i="3"/>
  <c r="H13" i="3"/>
  <c r="I13" i="3"/>
  <c r="Q13" i="3"/>
  <c r="R13" i="3"/>
  <c r="S13" i="3"/>
  <c r="T13" i="3"/>
  <c r="U13" i="3"/>
  <c r="W13" i="3"/>
  <c r="X13" i="3"/>
  <c r="Y13" i="3"/>
  <c r="Z13" i="3"/>
  <c r="AC13" i="3"/>
  <c r="AD13" i="3"/>
  <c r="AE13" i="3"/>
  <c r="AF13" i="3"/>
  <c r="AG13" i="3"/>
  <c r="AH13" i="3"/>
  <c r="AI13" i="3"/>
  <c r="AJ13" i="3"/>
  <c r="AK13" i="3"/>
  <c r="AL13" i="3"/>
  <c r="AN13" i="3"/>
  <c r="AO13" i="3"/>
  <c r="AP13" i="3"/>
  <c r="AQ13" i="3"/>
  <c r="AR13" i="3"/>
  <c r="AS13" i="3"/>
  <c r="AT13" i="3"/>
  <c r="AU13" i="3"/>
  <c r="AV13" i="3"/>
  <c r="D14" i="3"/>
  <c r="E14" i="3"/>
  <c r="F14" i="3"/>
  <c r="G14" i="3"/>
  <c r="H14" i="3"/>
  <c r="I14" i="3"/>
  <c r="Q14" i="3"/>
  <c r="R14" i="3"/>
  <c r="S14" i="3"/>
  <c r="T14" i="3"/>
  <c r="U14" i="3"/>
  <c r="W14" i="3"/>
  <c r="X14" i="3"/>
  <c r="Y14" i="3"/>
  <c r="Z14" i="3"/>
  <c r="AC14" i="3"/>
  <c r="AD14" i="3"/>
  <c r="AE14" i="3"/>
  <c r="AF14" i="3"/>
  <c r="AG14" i="3"/>
  <c r="AH14" i="3"/>
  <c r="AI14" i="3"/>
  <c r="AJ14" i="3"/>
  <c r="AK14" i="3"/>
  <c r="AL14" i="3"/>
  <c r="AN14" i="3"/>
  <c r="AO14" i="3"/>
  <c r="AP14" i="3"/>
  <c r="AQ14" i="3"/>
  <c r="AR14" i="3"/>
  <c r="AS14" i="3"/>
  <c r="AT14" i="3"/>
  <c r="AU14" i="3"/>
  <c r="AV14" i="3"/>
  <c r="D15" i="3"/>
  <c r="E15" i="3"/>
  <c r="F15" i="3"/>
  <c r="G15" i="3"/>
  <c r="H15" i="3"/>
  <c r="I15" i="3"/>
  <c r="Q15" i="3"/>
  <c r="R15" i="3"/>
  <c r="S15" i="3"/>
  <c r="T15" i="3"/>
  <c r="U15" i="3"/>
  <c r="W15" i="3"/>
  <c r="X15" i="3"/>
  <c r="Y15" i="3"/>
  <c r="Z15" i="3"/>
  <c r="AC15" i="3"/>
  <c r="AD15" i="3"/>
  <c r="AE15" i="3"/>
  <c r="AF15" i="3"/>
  <c r="AG15" i="3"/>
  <c r="AH15" i="3"/>
  <c r="AI15" i="3"/>
  <c r="AJ15" i="3"/>
  <c r="AK15" i="3"/>
  <c r="AL15" i="3"/>
  <c r="AN15" i="3"/>
  <c r="AO15" i="3"/>
  <c r="AP15" i="3"/>
  <c r="AQ15" i="3"/>
  <c r="AR15" i="3"/>
  <c r="AS15" i="3"/>
  <c r="AT15" i="3"/>
  <c r="AU15" i="3"/>
  <c r="AV15" i="3"/>
  <c r="D16" i="3"/>
  <c r="E16" i="3"/>
  <c r="F16" i="3"/>
  <c r="G16" i="3"/>
  <c r="H16" i="3"/>
  <c r="I16" i="3"/>
  <c r="Q16" i="3"/>
  <c r="R16" i="3"/>
  <c r="S16" i="3"/>
  <c r="T16" i="3"/>
  <c r="U16" i="3"/>
  <c r="W16" i="3"/>
  <c r="X16" i="3"/>
  <c r="Y16" i="3"/>
  <c r="Z16" i="3"/>
  <c r="AC16" i="3"/>
  <c r="AD16" i="3"/>
  <c r="AE16" i="3"/>
  <c r="AF16" i="3"/>
  <c r="AG16" i="3"/>
  <c r="AH16" i="3"/>
  <c r="AI16" i="3"/>
  <c r="AJ16" i="3"/>
  <c r="AK16" i="3"/>
  <c r="AL16" i="3"/>
  <c r="AN16" i="3"/>
  <c r="AO16" i="3"/>
  <c r="AP16" i="3"/>
  <c r="AQ16" i="3"/>
  <c r="AR16" i="3"/>
  <c r="AS16" i="3"/>
  <c r="AT16" i="3"/>
  <c r="AU16" i="3"/>
  <c r="AV16" i="3"/>
  <c r="D17" i="3"/>
  <c r="E17" i="3"/>
  <c r="F17" i="3"/>
  <c r="G17" i="3"/>
  <c r="H17" i="3"/>
  <c r="I17" i="3"/>
  <c r="Q17" i="3"/>
  <c r="R17" i="3"/>
  <c r="S17" i="3"/>
  <c r="T17" i="3"/>
  <c r="U17" i="3"/>
  <c r="W17" i="3"/>
  <c r="X17" i="3"/>
  <c r="Y17" i="3"/>
  <c r="Z17" i="3"/>
  <c r="AC17" i="3"/>
  <c r="AD17" i="3"/>
  <c r="AE17" i="3"/>
  <c r="AF17" i="3"/>
  <c r="AG17" i="3"/>
  <c r="AH17" i="3"/>
  <c r="AI17" i="3"/>
  <c r="AJ17" i="3"/>
  <c r="AK17" i="3"/>
  <c r="AL17" i="3"/>
  <c r="AN17" i="3"/>
  <c r="AO17" i="3"/>
  <c r="AP17" i="3"/>
  <c r="AQ17" i="3"/>
  <c r="AR17" i="3"/>
  <c r="AS17" i="3"/>
  <c r="AT17" i="3"/>
  <c r="AU17" i="3"/>
  <c r="AV17" i="3"/>
  <c r="D18" i="3"/>
  <c r="E18" i="3"/>
  <c r="F18" i="3"/>
  <c r="G18" i="3"/>
  <c r="H18" i="3"/>
  <c r="I18" i="3"/>
  <c r="Q18" i="3"/>
  <c r="R18" i="3"/>
  <c r="S18" i="3"/>
  <c r="T18" i="3"/>
  <c r="U18" i="3"/>
  <c r="W18" i="3"/>
  <c r="X18" i="3"/>
  <c r="Y18" i="3"/>
  <c r="Z18" i="3"/>
  <c r="AC18" i="3"/>
  <c r="AD18" i="3"/>
  <c r="AE18" i="3"/>
  <c r="AF18" i="3"/>
  <c r="AG18" i="3"/>
  <c r="AH18" i="3"/>
  <c r="AI18" i="3"/>
  <c r="AJ18" i="3"/>
  <c r="AK18" i="3"/>
  <c r="AL18" i="3"/>
  <c r="AN18" i="3"/>
  <c r="AO18" i="3"/>
  <c r="AP18" i="3"/>
  <c r="AQ18" i="3"/>
  <c r="AR18" i="3"/>
  <c r="AS18" i="3"/>
  <c r="AT18" i="3"/>
  <c r="AU18" i="3"/>
  <c r="AV18" i="3"/>
  <c r="D19" i="3"/>
  <c r="E19" i="3"/>
  <c r="F19" i="3"/>
  <c r="G19" i="3"/>
  <c r="H19" i="3"/>
  <c r="I19" i="3"/>
  <c r="Q19" i="3"/>
  <c r="R19" i="3"/>
  <c r="S19" i="3"/>
  <c r="T19" i="3"/>
  <c r="U19" i="3"/>
  <c r="W19" i="3"/>
  <c r="X19" i="3"/>
  <c r="Y19" i="3"/>
  <c r="Z19" i="3"/>
  <c r="AC19" i="3"/>
  <c r="AD19" i="3"/>
  <c r="AE19" i="3"/>
  <c r="AF19" i="3"/>
  <c r="AG19" i="3"/>
  <c r="AH19" i="3"/>
  <c r="AI19" i="3"/>
  <c r="AJ19" i="3"/>
  <c r="AK19" i="3"/>
  <c r="AL19" i="3"/>
  <c r="AN19" i="3"/>
  <c r="AO19" i="3"/>
  <c r="AP19" i="3"/>
  <c r="AQ19" i="3"/>
  <c r="AR19" i="3"/>
  <c r="AS19" i="3"/>
  <c r="AT19" i="3"/>
  <c r="AU19" i="3"/>
  <c r="AV19" i="3"/>
  <c r="D20" i="3"/>
  <c r="E20" i="3"/>
  <c r="F20" i="3"/>
  <c r="G20" i="3"/>
  <c r="H20" i="3"/>
  <c r="I20" i="3"/>
  <c r="Q20" i="3"/>
  <c r="R20" i="3"/>
  <c r="S20" i="3"/>
  <c r="T20" i="3"/>
  <c r="U20" i="3"/>
  <c r="W20" i="3"/>
  <c r="X20" i="3"/>
  <c r="Y20" i="3"/>
  <c r="Z20" i="3"/>
  <c r="AC20" i="3"/>
  <c r="AD20" i="3"/>
  <c r="AE20" i="3"/>
  <c r="AF20" i="3"/>
  <c r="AG20" i="3"/>
  <c r="AH20" i="3"/>
  <c r="AI20" i="3"/>
  <c r="AJ20" i="3"/>
  <c r="AK20" i="3"/>
  <c r="AL20" i="3"/>
  <c r="AN20" i="3"/>
  <c r="AO20" i="3"/>
  <c r="AP20" i="3"/>
  <c r="AQ20" i="3"/>
  <c r="AR20" i="3"/>
  <c r="AS20" i="3"/>
  <c r="AT20" i="3"/>
  <c r="AU20" i="3"/>
  <c r="AV20" i="3"/>
  <c r="D21" i="3"/>
  <c r="E21" i="3"/>
  <c r="F21" i="3"/>
  <c r="G21" i="3"/>
  <c r="H21" i="3"/>
  <c r="I21" i="3"/>
  <c r="Q21" i="3"/>
  <c r="R21" i="3"/>
  <c r="S21" i="3"/>
  <c r="T21" i="3"/>
  <c r="U21" i="3"/>
  <c r="W21" i="3"/>
  <c r="X21" i="3"/>
  <c r="Y21" i="3"/>
  <c r="Z21" i="3"/>
  <c r="AC21" i="3"/>
  <c r="AD21" i="3"/>
  <c r="AE21" i="3"/>
  <c r="AF21" i="3"/>
  <c r="AG21" i="3"/>
  <c r="AH21" i="3"/>
  <c r="AI21" i="3"/>
  <c r="AJ21" i="3"/>
  <c r="AK21" i="3"/>
  <c r="AL21" i="3"/>
  <c r="AN21" i="3"/>
  <c r="AO21" i="3"/>
  <c r="AP21" i="3"/>
  <c r="AQ21" i="3"/>
  <c r="AR21" i="3"/>
  <c r="AS21" i="3"/>
  <c r="AT21" i="3"/>
  <c r="AU21" i="3"/>
  <c r="AV21" i="3"/>
  <c r="D22" i="3"/>
  <c r="E22" i="3"/>
  <c r="F22" i="3"/>
  <c r="G22" i="3"/>
  <c r="H22" i="3"/>
  <c r="I22" i="3"/>
  <c r="Q22" i="3"/>
  <c r="R22" i="3"/>
  <c r="S22" i="3"/>
  <c r="T22" i="3"/>
  <c r="U22" i="3"/>
  <c r="W22" i="3"/>
  <c r="X22" i="3"/>
  <c r="Y22" i="3"/>
  <c r="Z22" i="3"/>
  <c r="AC22" i="3"/>
  <c r="AD22" i="3"/>
  <c r="AE22" i="3"/>
  <c r="AF22" i="3"/>
  <c r="AG22" i="3"/>
  <c r="AH22" i="3"/>
  <c r="AI22" i="3"/>
  <c r="AJ22" i="3"/>
  <c r="AK22" i="3"/>
  <c r="AL22" i="3"/>
  <c r="AN22" i="3"/>
  <c r="AO22" i="3"/>
  <c r="AP22" i="3"/>
  <c r="AQ22" i="3"/>
  <c r="AR22" i="3"/>
  <c r="AS22" i="3"/>
  <c r="AT22" i="3"/>
  <c r="AU22" i="3"/>
  <c r="AV22" i="3"/>
  <c r="D23" i="3"/>
  <c r="E23" i="3"/>
  <c r="F23" i="3"/>
  <c r="G23" i="3"/>
  <c r="H23" i="3"/>
  <c r="I23" i="3"/>
  <c r="Q23" i="3"/>
  <c r="R23" i="3"/>
  <c r="S23" i="3"/>
  <c r="T23" i="3"/>
  <c r="U23" i="3"/>
  <c r="W23" i="3"/>
  <c r="X23" i="3"/>
  <c r="Y23" i="3"/>
  <c r="Z23" i="3"/>
  <c r="AC23" i="3"/>
  <c r="AD23" i="3"/>
  <c r="AE23" i="3"/>
  <c r="AF23" i="3"/>
  <c r="AG23" i="3"/>
  <c r="AH23" i="3"/>
  <c r="AI23" i="3"/>
  <c r="AJ23" i="3"/>
  <c r="AK23" i="3"/>
  <c r="AL23" i="3"/>
  <c r="AN23" i="3"/>
  <c r="AO23" i="3"/>
  <c r="AP23" i="3"/>
  <c r="AQ23" i="3"/>
  <c r="AR23" i="3"/>
  <c r="AS23" i="3"/>
  <c r="AT23" i="3"/>
  <c r="AU23" i="3"/>
  <c r="AV23" i="3"/>
  <c r="D24" i="3"/>
  <c r="E24" i="3"/>
  <c r="F24" i="3"/>
  <c r="G24" i="3"/>
  <c r="H24" i="3"/>
  <c r="I24" i="3"/>
  <c r="Q24" i="3"/>
  <c r="R24" i="3"/>
  <c r="S24" i="3"/>
  <c r="T24" i="3"/>
  <c r="U24" i="3"/>
  <c r="W24" i="3"/>
  <c r="X24" i="3"/>
  <c r="Y24" i="3"/>
  <c r="Z24" i="3"/>
  <c r="AC24" i="3"/>
  <c r="AD24" i="3"/>
  <c r="AE24" i="3"/>
  <c r="AF24" i="3"/>
  <c r="AG24" i="3"/>
  <c r="AH24" i="3"/>
  <c r="AI24" i="3"/>
  <c r="AJ24" i="3"/>
  <c r="AK24" i="3"/>
  <c r="AL24" i="3"/>
  <c r="AN24" i="3"/>
  <c r="AO24" i="3"/>
  <c r="AP24" i="3"/>
  <c r="AQ24" i="3"/>
  <c r="AR24" i="3"/>
  <c r="AS24" i="3"/>
  <c r="AT24" i="3"/>
  <c r="AU24" i="3"/>
  <c r="AV24" i="3"/>
  <c r="D25" i="3"/>
  <c r="E25" i="3"/>
  <c r="F25" i="3"/>
  <c r="G25" i="3"/>
  <c r="H25" i="3"/>
  <c r="I25" i="3"/>
  <c r="Q25" i="3"/>
  <c r="R25" i="3"/>
  <c r="S25" i="3"/>
  <c r="T25" i="3"/>
  <c r="U25" i="3"/>
  <c r="W25" i="3"/>
  <c r="X25" i="3"/>
  <c r="Y25" i="3"/>
  <c r="Z25" i="3"/>
  <c r="AC25" i="3"/>
  <c r="AD25" i="3"/>
  <c r="AE25" i="3"/>
  <c r="AF25" i="3"/>
  <c r="AG25" i="3"/>
  <c r="AH25" i="3"/>
  <c r="AI25" i="3"/>
  <c r="AJ25" i="3"/>
  <c r="AK25" i="3"/>
  <c r="AL25" i="3"/>
  <c r="AN25" i="3"/>
  <c r="AO25" i="3"/>
  <c r="AP25" i="3"/>
  <c r="AQ25" i="3"/>
  <c r="AR25" i="3"/>
  <c r="AS25" i="3"/>
  <c r="AT25" i="3"/>
  <c r="AU25" i="3"/>
  <c r="AV25" i="3"/>
  <c r="D26" i="3"/>
  <c r="E26" i="3"/>
  <c r="F26" i="3"/>
  <c r="G26" i="3"/>
  <c r="H26" i="3"/>
  <c r="I26" i="3"/>
  <c r="Q26" i="3"/>
  <c r="R26" i="3"/>
  <c r="S26" i="3"/>
  <c r="T26" i="3"/>
  <c r="U26" i="3"/>
  <c r="W26" i="3"/>
  <c r="X26" i="3"/>
  <c r="Y26" i="3"/>
  <c r="Z26" i="3"/>
  <c r="AC26" i="3"/>
  <c r="AD26" i="3"/>
  <c r="AE26" i="3"/>
  <c r="AF26" i="3"/>
  <c r="AG26" i="3"/>
  <c r="AH26" i="3"/>
  <c r="AI26" i="3"/>
  <c r="AJ26" i="3"/>
  <c r="AK26" i="3"/>
  <c r="AL26" i="3"/>
  <c r="AN26" i="3"/>
  <c r="AO26" i="3"/>
  <c r="AP26" i="3"/>
  <c r="AQ26" i="3"/>
  <c r="AR26" i="3"/>
  <c r="AS26" i="3"/>
  <c r="AT26" i="3"/>
  <c r="AU26" i="3"/>
  <c r="AV26" i="3"/>
  <c r="D27" i="3"/>
  <c r="E27" i="3"/>
  <c r="F27" i="3"/>
  <c r="G27" i="3"/>
  <c r="H27" i="3"/>
  <c r="I27" i="3"/>
  <c r="Q27" i="3"/>
  <c r="R27" i="3"/>
  <c r="S27" i="3"/>
  <c r="T27" i="3"/>
  <c r="U27" i="3"/>
  <c r="W27" i="3"/>
  <c r="X27" i="3"/>
  <c r="Y27" i="3"/>
  <c r="Z27" i="3"/>
  <c r="AC27" i="3"/>
  <c r="AD27" i="3"/>
  <c r="AE27" i="3"/>
  <c r="AF27" i="3"/>
  <c r="AG27" i="3"/>
  <c r="AH27" i="3"/>
  <c r="AI27" i="3"/>
  <c r="AJ27" i="3"/>
  <c r="AK27" i="3"/>
  <c r="AL27" i="3"/>
  <c r="AN27" i="3"/>
  <c r="AO27" i="3"/>
  <c r="AP27" i="3"/>
  <c r="AQ27" i="3"/>
  <c r="AR27" i="3"/>
  <c r="AS27" i="3"/>
  <c r="AT27" i="3"/>
  <c r="AU27" i="3"/>
  <c r="AV27" i="3"/>
  <c r="D28" i="3"/>
  <c r="E28" i="3"/>
  <c r="F28" i="3"/>
  <c r="G28" i="3"/>
  <c r="H28" i="3"/>
  <c r="I28" i="3"/>
  <c r="Q28" i="3"/>
  <c r="R28" i="3"/>
  <c r="S28" i="3"/>
  <c r="T28" i="3"/>
  <c r="U28" i="3"/>
  <c r="W28" i="3"/>
  <c r="X28" i="3"/>
  <c r="Y28" i="3"/>
  <c r="Z28" i="3"/>
  <c r="AC28" i="3"/>
  <c r="AD28" i="3"/>
  <c r="AE28" i="3"/>
  <c r="AF28" i="3"/>
  <c r="AG28" i="3"/>
  <c r="AH28" i="3"/>
  <c r="AI28" i="3"/>
  <c r="AJ28" i="3"/>
  <c r="AK28" i="3"/>
  <c r="AL28" i="3"/>
  <c r="AN28" i="3"/>
  <c r="AO28" i="3"/>
  <c r="AP28" i="3"/>
  <c r="AQ28" i="3"/>
  <c r="AR28" i="3"/>
  <c r="AS28" i="3"/>
  <c r="AT28" i="3"/>
  <c r="AU28" i="3"/>
  <c r="AV28" i="3"/>
  <c r="D29" i="3"/>
  <c r="E29" i="3"/>
  <c r="F29" i="3"/>
  <c r="G29" i="3"/>
  <c r="H29" i="3"/>
  <c r="I29" i="3"/>
  <c r="Q29" i="3"/>
  <c r="R29" i="3"/>
  <c r="S29" i="3"/>
  <c r="T29" i="3"/>
  <c r="U29" i="3"/>
  <c r="W29" i="3"/>
  <c r="X29" i="3"/>
  <c r="Y29" i="3"/>
  <c r="Z29" i="3"/>
  <c r="AC29" i="3"/>
  <c r="AD29" i="3"/>
  <c r="AE29" i="3"/>
  <c r="AF29" i="3"/>
  <c r="AG29" i="3"/>
  <c r="AH29" i="3"/>
  <c r="AI29" i="3"/>
  <c r="AJ29" i="3"/>
  <c r="AK29" i="3"/>
  <c r="AL29" i="3"/>
  <c r="AN29" i="3"/>
  <c r="AO29" i="3"/>
  <c r="AP29" i="3"/>
  <c r="AQ29" i="3"/>
  <c r="AR29" i="3"/>
  <c r="AS29" i="3"/>
  <c r="AT29" i="3"/>
  <c r="AU29" i="3"/>
  <c r="AV29" i="3"/>
  <c r="D30" i="3"/>
  <c r="E30" i="3"/>
  <c r="F30" i="3"/>
  <c r="G30" i="3"/>
  <c r="H30" i="3"/>
  <c r="I30" i="3"/>
  <c r="Q30" i="3"/>
  <c r="R30" i="3"/>
  <c r="S30" i="3"/>
  <c r="T30" i="3"/>
  <c r="U30" i="3"/>
  <c r="W30" i="3"/>
  <c r="X30" i="3"/>
  <c r="Y30" i="3"/>
  <c r="Z30" i="3"/>
  <c r="AC30" i="3"/>
  <c r="AD30" i="3"/>
  <c r="AE30" i="3"/>
  <c r="AF30" i="3"/>
  <c r="AG30" i="3"/>
  <c r="AH30" i="3"/>
  <c r="AI30" i="3"/>
  <c r="AJ30" i="3"/>
  <c r="AK30" i="3"/>
  <c r="AL30" i="3"/>
  <c r="AN30" i="3"/>
  <c r="AO30" i="3"/>
  <c r="AP30" i="3"/>
  <c r="AQ30" i="3"/>
  <c r="AR30" i="3"/>
  <c r="AS30" i="3"/>
  <c r="AT30" i="3"/>
  <c r="AU30" i="3"/>
  <c r="AV30" i="3"/>
  <c r="D31" i="3"/>
  <c r="E31" i="3"/>
  <c r="F31" i="3"/>
  <c r="G31" i="3"/>
  <c r="H31" i="3"/>
  <c r="I31" i="3"/>
  <c r="Q31" i="3"/>
  <c r="R31" i="3"/>
  <c r="S31" i="3"/>
  <c r="T31" i="3"/>
  <c r="U31" i="3"/>
  <c r="W31" i="3"/>
  <c r="X31" i="3"/>
  <c r="Y31" i="3"/>
  <c r="Z31" i="3"/>
  <c r="AC31" i="3"/>
  <c r="AD31" i="3"/>
  <c r="AE31" i="3"/>
  <c r="AF31" i="3"/>
  <c r="AG31" i="3"/>
  <c r="AH31" i="3"/>
  <c r="AI31" i="3"/>
  <c r="AJ31" i="3"/>
  <c r="AK31" i="3"/>
  <c r="AL31" i="3"/>
  <c r="AN31" i="3"/>
  <c r="AO31" i="3"/>
  <c r="AP31" i="3"/>
  <c r="AQ31" i="3"/>
  <c r="AR31" i="3"/>
  <c r="AS31" i="3"/>
  <c r="AT31" i="3"/>
  <c r="AU31" i="3"/>
  <c r="AV31" i="3"/>
  <c r="D32" i="3"/>
  <c r="E32" i="3"/>
  <c r="F32" i="3"/>
  <c r="G32" i="3"/>
  <c r="H32" i="3"/>
  <c r="I32" i="3"/>
  <c r="Q32" i="3"/>
  <c r="R32" i="3"/>
  <c r="S32" i="3"/>
  <c r="T32" i="3"/>
  <c r="U32" i="3"/>
  <c r="W32" i="3"/>
  <c r="X32" i="3"/>
  <c r="Y32" i="3"/>
  <c r="Z32" i="3"/>
  <c r="AC32" i="3"/>
  <c r="AD32" i="3"/>
  <c r="AE32" i="3"/>
  <c r="AF32" i="3"/>
  <c r="AG32" i="3"/>
  <c r="AH32" i="3"/>
  <c r="AI32" i="3"/>
  <c r="AJ32" i="3"/>
  <c r="AK32" i="3"/>
  <c r="AL32" i="3"/>
  <c r="AN32" i="3"/>
  <c r="AO32" i="3"/>
  <c r="AP32" i="3"/>
  <c r="AQ32" i="3"/>
  <c r="AR32" i="3"/>
  <c r="AS32" i="3"/>
  <c r="AT32" i="3"/>
  <c r="AU32" i="3"/>
  <c r="AV32" i="3"/>
  <c r="D33" i="3"/>
  <c r="E33" i="3"/>
  <c r="H33" i="3"/>
  <c r="I33" i="3"/>
  <c r="Q33" i="3"/>
  <c r="R33" i="3"/>
  <c r="W33" i="3"/>
  <c r="AC33" i="3"/>
  <c r="AD33" i="3"/>
  <c r="AH33" i="3"/>
  <c r="AI33" i="3"/>
  <c r="AN33" i="3"/>
  <c r="D34" i="3"/>
  <c r="E34" i="3"/>
  <c r="F34" i="3"/>
  <c r="G34" i="3"/>
  <c r="H34" i="3"/>
  <c r="I34" i="3"/>
  <c r="Q34" i="3"/>
  <c r="R34" i="3"/>
  <c r="S34" i="3"/>
  <c r="T34" i="3"/>
  <c r="U34" i="3"/>
  <c r="W34" i="3"/>
  <c r="X34" i="3"/>
  <c r="Y34" i="3"/>
  <c r="Z34" i="3"/>
  <c r="AC34" i="3"/>
  <c r="AD34" i="3"/>
  <c r="AE34" i="3"/>
  <c r="AF34" i="3"/>
  <c r="AG34" i="3"/>
  <c r="AH34" i="3"/>
  <c r="AI34" i="3"/>
  <c r="AJ34" i="3"/>
  <c r="AK34" i="3"/>
  <c r="AL34" i="3"/>
  <c r="AN34" i="3"/>
  <c r="AO34" i="3"/>
  <c r="AP34" i="3"/>
  <c r="AQ34" i="3"/>
  <c r="AR34" i="3"/>
  <c r="AS34" i="3"/>
  <c r="AT34" i="3"/>
  <c r="AU34" i="3"/>
  <c r="AV34" i="3"/>
  <c r="D35" i="3"/>
  <c r="E35" i="3"/>
  <c r="F35" i="3"/>
  <c r="G35" i="3"/>
  <c r="H35" i="3"/>
  <c r="I35" i="3"/>
  <c r="J35" i="3"/>
  <c r="P35" i="3"/>
  <c r="Q35" i="3"/>
  <c r="R35" i="3"/>
  <c r="S35" i="3"/>
  <c r="T35" i="3"/>
  <c r="U35" i="3"/>
  <c r="W35" i="3"/>
  <c r="X35" i="3"/>
  <c r="Y35" i="3"/>
  <c r="Z35" i="3"/>
  <c r="AC35" i="3"/>
  <c r="AD35" i="3"/>
  <c r="AE35" i="3"/>
  <c r="AF35" i="3"/>
  <c r="AG35" i="3"/>
  <c r="AH35" i="3"/>
  <c r="AI35" i="3"/>
  <c r="AJ35" i="3"/>
  <c r="AK35" i="3"/>
  <c r="AL35" i="3"/>
  <c r="AN35" i="3"/>
  <c r="AO35" i="3"/>
  <c r="AP35" i="3"/>
  <c r="AQ35" i="3"/>
  <c r="AR35" i="3"/>
  <c r="AS35" i="3"/>
  <c r="AT35" i="3"/>
  <c r="AU35" i="3"/>
  <c r="AV35" i="3"/>
  <c r="D36" i="3"/>
  <c r="E36" i="3"/>
  <c r="F36" i="3"/>
  <c r="G36" i="3"/>
  <c r="H36" i="3"/>
  <c r="I36" i="3"/>
  <c r="Q36" i="3"/>
  <c r="R36" i="3"/>
  <c r="S36" i="3"/>
  <c r="T36" i="3"/>
  <c r="U36" i="3"/>
  <c r="W36" i="3"/>
  <c r="X36" i="3"/>
  <c r="Y36" i="3"/>
  <c r="Z36" i="3"/>
  <c r="AC36" i="3"/>
  <c r="AD36" i="3"/>
  <c r="AE36" i="3"/>
  <c r="AF36" i="3"/>
  <c r="AG36" i="3"/>
  <c r="AH36" i="3"/>
  <c r="AI36" i="3"/>
  <c r="AJ36" i="3"/>
  <c r="AK36" i="3"/>
  <c r="AL36" i="3"/>
  <c r="AN36" i="3"/>
  <c r="AO36" i="3"/>
  <c r="AP36" i="3"/>
  <c r="AQ36" i="3"/>
  <c r="AR36" i="3"/>
  <c r="AS36" i="3"/>
  <c r="AT36" i="3"/>
  <c r="AU36" i="3"/>
  <c r="AV36" i="3"/>
  <c r="D37" i="3"/>
  <c r="E37" i="3"/>
  <c r="F37" i="3"/>
  <c r="G37" i="3"/>
  <c r="H37" i="3"/>
  <c r="I37" i="3"/>
  <c r="Q37" i="3"/>
  <c r="R37" i="3"/>
  <c r="S37" i="3"/>
  <c r="T37" i="3"/>
  <c r="U37" i="3"/>
  <c r="W37" i="3"/>
  <c r="X37" i="3"/>
  <c r="Y37" i="3"/>
  <c r="Z37" i="3"/>
  <c r="AC37" i="3"/>
  <c r="AD37" i="3"/>
  <c r="AE37" i="3"/>
  <c r="AF37" i="3"/>
  <c r="AG37" i="3"/>
  <c r="AH37" i="3"/>
  <c r="AI37" i="3"/>
  <c r="AJ37" i="3"/>
  <c r="AK37" i="3"/>
  <c r="AL37" i="3"/>
  <c r="AN37" i="3"/>
  <c r="AO37" i="3"/>
  <c r="AP37" i="3"/>
  <c r="AQ37" i="3"/>
  <c r="AR37" i="3"/>
  <c r="AS37" i="3"/>
  <c r="AT37" i="3"/>
  <c r="AU37" i="3"/>
  <c r="AV37" i="3"/>
  <c r="D38" i="3"/>
  <c r="E38" i="3"/>
  <c r="F38" i="3"/>
  <c r="G38" i="3"/>
  <c r="H38" i="3"/>
  <c r="I38" i="3"/>
  <c r="Q38" i="3"/>
  <c r="R38" i="3"/>
  <c r="S38" i="3"/>
  <c r="T38" i="3"/>
  <c r="U38" i="3"/>
  <c r="W38" i="3"/>
  <c r="X38" i="3"/>
  <c r="Y38" i="3"/>
  <c r="Z38" i="3"/>
  <c r="AC38" i="3"/>
  <c r="AD38" i="3"/>
  <c r="AE38" i="3"/>
  <c r="AF38" i="3"/>
  <c r="AG38" i="3"/>
  <c r="AH38" i="3"/>
  <c r="AI38" i="3"/>
  <c r="AJ38" i="3"/>
  <c r="AK38" i="3"/>
  <c r="AL38" i="3"/>
  <c r="AN38" i="3"/>
  <c r="AO38" i="3"/>
  <c r="AP38" i="3"/>
  <c r="AQ38" i="3"/>
  <c r="AR38" i="3"/>
  <c r="AS38" i="3"/>
  <c r="AT38" i="3"/>
  <c r="AU38" i="3"/>
  <c r="AV38" i="3"/>
  <c r="D39" i="3"/>
  <c r="E39" i="3"/>
  <c r="F39" i="3"/>
  <c r="G39" i="3"/>
  <c r="H39" i="3"/>
  <c r="I39" i="3"/>
  <c r="Q39" i="3"/>
  <c r="R39" i="3"/>
  <c r="S39" i="3"/>
  <c r="T39" i="3"/>
  <c r="U39" i="3"/>
  <c r="W39" i="3"/>
  <c r="X39" i="3"/>
  <c r="Y39" i="3"/>
  <c r="Z39" i="3"/>
  <c r="AC39" i="3"/>
  <c r="AD39" i="3"/>
  <c r="AE39" i="3"/>
  <c r="AF39" i="3"/>
  <c r="AG39" i="3"/>
  <c r="AH39" i="3"/>
  <c r="AI39" i="3"/>
  <c r="AJ39" i="3"/>
  <c r="AK39" i="3"/>
  <c r="AL39" i="3"/>
  <c r="AN39" i="3"/>
  <c r="AO39" i="3"/>
  <c r="AP39" i="3"/>
  <c r="AQ39" i="3"/>
  <c r="AR39" i="3"/>
  <c r="AS39" i="3"/>
  <c r="AT39" i="3"/>
  <c r="AU39" i="3"/>
  <c r="AV39" i="3"/>
  <c r="D40" i="3"/>
  <c r="E40" i="3"/>
  <c r="F40" i="3"/>
  <c r="G40" i="3"/>
  <c r="H40" i="3"/>
  <c r="I40" i="3"/>
  <c r="Q40" i="3"/>
  <c r="R40" i="3"/>
  <c r="S40" i="3"/>
  <c r="T40" i="3"/>
  <c r="U40" i="3"/>
  <c r="W40" i="3"/>
  <c r="X40" i="3"/>
  <c r="Y40" i="3"/>
  <c r="Z40" i="3"/>
  <c r="AC40" i="3"/>
  <c r="AD40" i="3"/>
  <c r="AE40" i="3"/>
  <c r="AF40" i="3"/>
  <c r="AG40" i="3"/>
  <c r="AH40" i="3"/>
  <c r="AI40" i="3"/>
  <c r="AJ40" i="3"/>
  <c r="AK40" i="3"/>
  <c r="AL40" i="3"/>
  <c r="AN40" i="3"/>
  <c r="AO40" i="3"/>
  <c r="AP40" i="3"/>
  <c r="AQ40" i="3"/>
  <c r="AR40" i="3"/>
  <c r="AS40" i="3"/>
  <c r="AT40" i="3"/>
  <c r="AU40" i="3"/>
  <c r="AV40" i="3"/>
  <c r="D41" i="3"/>
  <c r="E41" i="3"/>
  <c r="F41" i="3"/>
  <c r="G41" i="3"/>
  <c r="H41" i="3"/>
  <c r="I41" i="3"/>
  <c r="Q41" i="3"/>
  <c r="R41" i="3"/>
  <c r="S41" i="3"/>
  <c r="T41" i="3"/>
  <c r="U41" i="3"/>
  <c r="W41" i="3"/>
  <c r="X41" i="3"/>
  <c r="Y41" i="3"/>
  <c r="Z41" i="3"/>
  <c r="AC41" i="3"/>
  <c r="AD41" i="3"/>
  <c r="AE41" i="3"/>
  <c r="AF41" i="3"/>
  <c r="AG41" i="3"/>
  <c r="AH41" i="3"/>
  <c r="AI41" i="3"/>
  <c r="AJ41" i="3"/>
  <c r="AK41" i="3"/>
  <c r="AL41" i="3"/>
  <c r="AN41" i="3"/>
  <c r="AO41" i="3"/>
  <c r="AP41" i="3"/>
  <c r="AQ41" i="3"/>
  <c r="AR41" i="3"/>
  <c r="AS41" i="3"/>
  <c r="AT41" i="3"/>
  <c r="AU41" i="3"/>
  <c r="AV41" i="3"/>
  <c r="D42" i="3"/>
  <c r="E42" i="3"/>
  <c r="F42" i="3"/>
  <c r="G42" i="3"/>
  <c r="H42" i="3"/>
  <c r="I42" i="3"/>
  <c r="Q42" i="3"/>
  <c r="R42" i="3"/>
  <c r="S42" i="3"/>
  <c r="T42" i="3"/>
  <c r="U42" i="3"/>
  <c r="W42" i="3"/>
  <c r="X42" i="3"/>
  <c r="Y42" i="3"/>
  <c r="Z42" i="3"/>
  <c r="AC42" i="3"/>
  <c r="AD42" i="3"/>
  <c r="AE42" i="3"/>
  <c r="AF42" i="3"/>
  <c r="AG42" i="3"/>
  <c r="AH42" i="3"/>
  <c r="AI42" i="3"/>
  <c r="AJ42" i="3"/>
  <c r="AK42" i="3"/>
  <c r="AL42" i="3"/>
  <c r="AN42" i="3"/>
  <c r="AO42" i="3"/>
  <c r="AP42" i="3"/>
  <c r="AQ42" i="3"/>
  <c r="AR42" i="3"/>
  <c r="AS42" i="3"/>
  <c r="AT42" i="3"/>
  <c r="AU42" i="3"/>
  <c r="AV42" i="3"/>
  <c r="D43" i="3"/>
  <c r="E43" i="3"/>
  <c r="F43" i="3"/>
  <c r="G43" i="3"/>
  <c r="H43" i="3"/>
  <c r="I43" i="3"/>
  <c r="Q43" i="3"/>
  <c r="R43" i="3"/>
  <c r="S43" i="3"/>
  <c r="T43" i="3"/>
  <c r="U43" i="3"/>
  <c r="W43" i="3"/>
  <c r="X43" i="3"/>
  <c r="Y43" i="3"/>
  <c r="Z43" i="3"/>
  <c r="AC43" i="3"/>
  <c r="AD43" i="3"/>
  <c r="AE43" i="3"/>
  <c r="AF43" i="3"/>
  <c r="AG43" i="3"/>
  <c r="AH43" i="3"/>
  <c r="AI43" i="3"/>
  <c r="AJ43" i="3"/>
  <c r="AK43" i="3"/>
  <c r="AL43" i="3"/>
  <c r="AN43" i="3"/>
  <c r="AO43" i="3"/>
  <c r="AP43" i="3"/>
  <c r="AQ43" i="3"/>
  <c r="AR43" i="3"/>
  <c r="AS43" i="3"/>
  <c r="AT43" i="3"/>
  <c r="AU43" i="3"/>
  <c r="AV43" i="3"/>
  <c r="D44" i="3"/>
  <c r="E44" i="3"/>
  <c r="F44" i="3"/>
  <c r="G44" i="3"/>
  <c r="H44" i="3"/>
  <c r="I44" i="3"/>
  <c r="Q44" i="3"/>
  <c r="R44" i="3"/>
  <c r="S44" i="3"/>
  <c r="T44" i="3"/>
  <c r="U44" i="3"/>
  <c r="W44" i="3"/>
  <c r="X44" i="3"/>
  <c r="Y44" i="3"/>
  <c r="Z44" i="3"/>
  <c r="AC44" i="3"/>
  <c r="AD44" i="3"/>
  <c r="AE44" i="3"/>
  <c r="AF44" i="3"/>
  <c r="AG44" i="3"/>
  <c r="AH44" i="3"/>
  <c r="AI44" i="3"/>
  <c r="AJ44" i="3"/>
  <c r="AK44" i="3"/>
  <c r="AL44" i="3"/>
  <c r="AN44" i="3"/>
  <c r="AO44" i="3"/>
  <c r="AP44" i="3"/>
  <c r="AQ44" i="3"/>
  <c r="AR44" i="3"/>
  <c r="AS44" i="3"/>
  <c r="AT44" i="3"/>
  <c r="AU44" i="3"/>
  <c r="AV44" i="3"/>
  <c r="D45" i="3"/>
  <c r="E45" i="3"/>
  <c r="F45" i="3"/>
  <c r="G45" i="3"/>
  <c r="H45" i="3"/>
  <c r="I45" i="3"/>
  <c r="Q45" i="3"/>
  <c r="R45" i="3"/>
  <c r="S45" i="3"/>
  <c r="T45" i="3"/>
  <c r="U45" i="3"/>
  <c r="W45" i="3"/>
  <c r="X45" i="3"/>
  <c r="Y45" i="3"/>
  <c r="Z45" i="3"/>
  <c r="AC45" i="3"/>
  <c r="AD45" i="3"/>
  <c r="AE45" i="3"/>
  <c r="AF45" i="3"/>
  <c r="AG45" i="3"/>
  <c r="AH45" i="3"/>
  <c r="AI45" i="3"/>
  <c r="AJ45" i="3"/>
  <c r="AK45" i="3"/>
  <c r="AL45" i="3"/>
  <c r="AN45" i="3"/>
  <c r="AO45" i="3"/>
  <c r="AP45" i="3"/>
  <c r="AQ45" i="3"/>
  <c r="AR45" i="3"/>
  <c r="AS45" i="3"/>
  <c r="AT45" i="3"/>
  <c r="AU45" i="3"/>
  <c r="AV45" i="3"/>
  <c r="D46" i="3"/>
  <c r="E46" i="3"/>
  <c r="F46" i="3"/>
  <c r="G46" i="3"/>
  <c r="H46" i="3"/>
  <c r="I46" i="3"/>
  <c r="Q46" i="3"/>
  <c r="R46" i="3"/>
  <c r="S46" i="3"/>
  <c r="T46" i="3"/>
  <c r="U46" i="3"/>
  <c r="W46" i="3"/>
  <c r="X46" i="3"/>
  <c r="Y46" i="3"/>
  <c r="Z46" i="3"/>
  <c r="AC46" i="3"/>
  <c r="AD46" i="3"/>
  <c r="AE46" i="3"/>
  <c r="AF46" i="3"/>
  <c r="AG46" i="3"/>
  <c r="AH46" i="3"/>
  <c r="AI46" i="3"/>
  <c r="AJ46" i="3"/>
  <c r="AK46" i="3"/>
  <c r="AL46" i="3"/>
  <c r="AN46" i="3"/>
  <c r="AO46" i="3"/>
  <c r="AP46" i="3"/>
  <c r="AQ46" i="3"/>
  <c r="AR46" i="3"/>
  <c r="AS46" i="3"/>
  <c r="AT46" i="3"/>
  <c r="AU46" i="3"/>
  <c r="AV46" i="3"/>
  <c r="D47" i="3"/>
  <c r="E47" i="3"/>
  <c r="F47" i="3"/>
  <c r="G47" i="3"/>
  <c r="H47" i="3"/>
  <c r="I47" i="3"/>
  <c r="Q47" i="3"/>
  <c r="R47" i="3"/>
  <c r="S47" i="3"/>
  <c r="T47" i="3"/>
  <c r="U47" i="3"/>
  <c r="W47" i="3"/>
  <c r="X47" i="3"/>
  <c r="Y47" i="3"/>
  <c r="Z47" i="3"/>
  <c r="AC47" i="3"/>
  <c r="AD47" i="3"/>
  <c r="AE47" i="3"/>
  <c r="AF47" i="3"/>
  <c r="AG47" i="3"/>
  <c r="AH47" i="3"/>
  <c r="AI47" i="3"/>
  <c r="AJ47" i="3"/>
  <c r="AK47" i="3"/>
  <c r="AL47" i="3"/>
  <c r="AN47" i="3"/>
  <c r="AO47" i="3"/>
  <c r="AP47" i="3"/>
  <c r="AQ47" i="3"/>
  <c r="AR47" i="3"/>
  <c r="AS47" i="3"/>
  <c r="AT47" i="3"/>
  <c r="AU47" i="3"/>
  <c r="AV47" i="3"/>
  <c r="D48" i="3"/>
  <c r="E48" i="3"/>
  <c r="F48" i="3"/>
  <c r="G48" i="3"/>
  <c r="H48" i="3"/>
  <c r="I48" i="3"/>
  <c r="Q48" i="3"/>
  <c r="R48" i="3"/>
  <c r="S48" i="3"/>
  <c r="T48" i="3"/>
  <c r="U48" i="3"/>
  <c r="W48" i="3"/>
  <c r="X48" i="3"/>
  <c r="Y48" i="3"/>
  <c r="Z48" i="3"/>
  <c r="AC48" i="3"/>
  <c r="AD48" i="3"/>
  <c r="AE48" i="3"/>
  <c r="AF48" i="3"/>
  <c r="AG48" i="3"/>
  <c r="AH48" i="3"/>
  <c r="AI48" i="3"/>
  <c r="AJ48" i="3"/>
  <c r="AK48" i="3"/>
  <c r="AL48" i="3"/>
  <c r="AN48" i="3"/>
  <c r="AO48" i="3"/>
  <c r="AP48" i="3"/>
  <c r="AQ48" i="3"/>
  <c r="AR48" i="3"/>
  <c r="AS48" i="3"/>
  <c r="AT48" i="3"/>
  <c r="AU48" i="3"/>
  <c r="AV48" i="3"/>
  <c r="D49" i="3"/>
  <c r="E49" i="3"/>
  <c r="F49" i="3"/>
  <c r="G49" i="3"/>
  <c r="H49" i="3"/>
  <c r="I49" i="3"/>
  <c r="Q49" i="3"/>
  <c r="R49" i="3"/>
  <c r="S49" i="3"/>
  <c r="T49" i="3"/>
  <c r="U49" i="3"/>
  <c r="W49" i="3"/>
  <c r="X49" i="3"/>
  <c r="Y49" i="3"/>
  <c r="Z49" i="3"/>
  <c r="AC49" i="3"/>
  <c r="AD49" i="3"/>
  <c r="AE49" i="3"/>
  <c r="AF49" i="3"/>
  <c r="AG49" i="3"/>
  <c r="AH49" i="3"/>
  <c r="AI49" i="3"/>
  <c r="AJ49" i="3"/>
  <c r="AK49" i="3"/>
  <c r="AL49" i="3"/>
  <c r="AN49" i="3"/>
  <c r="AO49" i="3"/>
  <c r="AP49" i="3"/>
  <c r="AQ49" i="3"/>
  <c r="AR49" i="3"/>
  <c r="AS49" i="3"/>
  <c r="AT49" i="3"/>
  <c r="AU49" i="3"/>
  <c r="AV49" i="3"/>
  <c r="D50" i="3"/>
  <c r="E50" i="3"/>
  <c r="F50" i="3"/>
  <c r="G50" i="3"/>
  <c r="H50" i="3"/>
  <c r="I50" i="3"/>
  <c r="Q50" i="3"/>
  <c r="R50" i="3"/>
  <c r="S50" i="3"/>
  <c r="T50" i="3"/>
  <c r="U50" i="3"/>
  <c r="W50" i="3"/>
  <c r="X50" i="3"/>
  <c r="Y50" i="3"/>
  <c r="Z50" i="3"/>
  <c r="AC50" i="3"/>
  <c r="AD50" i="3"/>
  <c r="AE50" i="3"/>
  <c r="AF50" i="3"/>
  <c r="AG50" i="3"/>
  <c r="AH50" i="3"/>
  <c r="AI50" i="3"/>
  <c r="AJ50" i="3"/>
  <c r="AK50" i="3"/>
  <c r="AL50" i="3"/>
  <c r="AN50" i="3"/>
  <c r="AO50" i="3"/>
  <c r="AP50" i="3"/>
  <c r="AQ50" i="3"/>
  <c r="AR50" i="3"/>
  <c r="AS50" i="3"/>
  <c r="AT50" i="3"/>
  <c r="AU50" i="3"/>
  <c r="AV50" i="3"/>
  <c r="D51" i="3"/>
  <c r="E51" i="3"/>
  <c r="F51" i="3"/>
  <c r="G51" i="3"/>
  <c r="H51" i="3"/>
  <c r="I51" i="3"/>
  <c r="Q51" i="3"/>
  <c r="R51" i="3"/>
  <c r="S51" i="3"/>
  <c r="T51" i="3"/>
  <c r="U51" i="3"/>
  <c r="W51" i="3"/>
  <c r="X51" i="3"/>
  <c r="Y51" i="3"/>
  <c r="Z51" i="3"/>
  <c r="AC51" i="3"/>
  <c r="AD51" i="3"/>
  <c r="AE51" i="3"/>
  <c r="AF51" i="3"/>
  <c r="AG51" i="3"/>
  <c r="AH51" i="3"/>
  <c r="AI51" i="3"/>
  <c r="AJ51" i="3"/>
  <c r="AK51" i="3"/>
  <c r="AL51" i="3"/>
  <c r="AN51" i="3"/>
  <c r="AO51" i="3"/>
  <c r="AP51" i="3"/>
  <c r="AQ51" i="3"/>
  <c r="AR51" i="3"/>
  <c r="AS51" i="3"/>
  <c r="AT51" i="3"/>
  <c r="AU51" i="3"/>
  <c r="AV51" i="3"/>
  <c r="D52" i="3"/>
  <c r="E52" i="3"/>
  <c r="F52" i="3"/>
  <c r="G52" i="3"/>
  <c r="H52" i="3"/>
  <c r="I52" i="3"/>
  <c r="Q52" i="3"/>
  <c r="R52" i="3"/>
  <c r="S52" i="3"/>
  <c r="T52" i="3"/>
  <c r="U52" i="3"/>
  <c r="W52" i="3"/>
  <c r="X52" i="3"/>
  <c r="Y52" i="3"/>
  <c r="Z52" i="3"/>
  <c r="AC52" i="3"/>
  <c r="AD52" i="3"/>
  <c r="AE52" i="3"/>
  <c r="AF52" i="3"/>
  <c r="AG52" i="3"/>
  <c r="AH52" i="3"/>
  <c r="AI52" i="3"/>
  <c r="AJ52" i="3"/>
  <c r="AK52" i="3"/>
  <c r="AL52" i="3"/>
  <c r="AN52" i="3"/>
  <c r="AO52" i="3"/>
  <c r="AP52" i="3"/>
  <c r="AQ52" i="3"/>
  <c r="AR52" i="3"/>
  <c r="AS52" i="3"/>
  <c r="AT52" i="3"/>
  <c r="AU52" i="3"/>
  <c r="AV52" i="3"/>
  <c r="D53" i="3"/>
  <c r="E53" i="3"/>
  <c r="F53" i="3"/>
  <c r="G53" i="3"/>
  <c r="H53" i="3"/>
  <c r="I53" i="3"/>
  <c r="Q53" i="3"/>
  <c r="R53" i="3"/>
  <c r="S53" i="3"/>
  <c r="T53" i="3"/>
  <c r="U53" i="3"/>
  <c r="W53" i="3"/>
  <c r="X53" i="3"/>
  <c r="Y53" i="3"/>
  <c r="Z53" i="3"/>
  <c r="AC53" i="3"/>
  <c r="AD53" i="3"/>
  <c r="AE53" i="3"/>
  <c r="AF53" i="3"/>
  <c r="AG53" i="3"/>
  <c r="AH53" i="3"/>
  <c r="AI53" i="3"/>
  <c r="AJ53" i="3"/>
  <c r="AK53" i="3"/>
  <c r="AL53" i="3"/>
  <c r="AN53" i="3"/>
  <c r="AO53" i="3"/>
  <c r="AP53" i="3"/>
  <c r="AQ53" i="3"/>
  <c r="AR53" i="3"/>
  <c r="AS53" i="3"/>
  <c r="AT53" i="3"/>
  <c r="AU53" i="3"/>
  <c r="AV53" i="3"/>
  <c r="D54" i="3"/>
  <c r="E54" i="3"/>
  <c r="F54" i="3"/>
  <c r="G54" i="3"/>
  <c r="H54" i="3"/>
  <c r="I54" i="3"/>
  <c r="Q54" i="3"/>
  <c r="R54" i="3"/>
  <c r="S54" i="3"/>
  <c r="T54" i="3"/>
  <c r="U54" i="3"/>
  <c r="W54" i="3"/>
  <c r="X54" i="3"/>
  <c r="Y54" i="3"/>
  <c r="Z54" i="3"/>
  <c r="AC54" i="3"/>
  <c r="AD54" i="3"/>
  <c r="AE54" i="3"/>
  <c r="AF54" i="3"/>
  <c r="AG54" i="3"/>
  <c r="AH54" i="3"/>
  <c r="AI54" i="3"/>
  <c r="AJ54" i="3"/>
  <c r="AK54" i="3"/>
  <c r="AL54" i="3"/>
  <c r="AN54" i="3"/>
  <c r="AO54" i="3"/>
  <c r="AP54" i="3"/>
  <c r="AQ54" i="3"/>
  <c r="AR54" i="3"/>
  <c r="AS54" i="3"/>
  <c r="AT54" i="3"/>
  <c r="AU54" i="3"/>
  <c r="AV54" i="3"/>
  <c r="D55" i="3"/>
  <c r="E55" i="3"/>
  <c r="F55" i="3"/>
  <c r="G55" i="3"/>
  <c r="H55" i="3"/>
  <c r="I55" i="3"/>
  <c r="Q55" i="3"/>
  <c r="R55" i="3"/>
  <c r="S55" i="3"/>
  <c r="T55" i="3"/>
  <c r="U55" i="3"/>
  <c r="W55" i="3"/>
  <c r="X55" i="3"/>
  <c r="Y55" i="3"/>
  <c r="Z55" i="3"/>
  <c r="AC55" i="3"/>
  <c r="AD55" i="3"/>
  <c r="AE55" i="3"/>
  <c r="AF55" i="3"/>
  <c r="AG55" i="3"/>
  <c r="AH55" i="3"/>
  <c r="AI55" i="3"/>
  <c r="AJ55" i="3"/>
  <c r="AK55" i="3"/>
  <c r="AL55" i="3"/>
  <c r="AN55" i="3"/>
  <c r="AO55" i="3"/>
  <c r="AP55" i="3"/>
  <c r="AQ55" i="3"/>
  <c r="AR55" i="3"/>
  <c r="AS55" i="3"/>
  <c r="AT55" i="3"/>
  <c r="AU55" i="3"/>
  <c r="AV55" i="3"/>
  <c r="D56" i="3"/>
  <c r="E56" i="3"/>
  <c r="F56" i="3"/>
  <c r="G56" i="3"/>
  <c r="H56" i="3"/>
  <c r="I56" i="3"/>
  <c r="Q56" i="3"/>
  <c r="R56" i="3"/>
  <c r="S56" i="3"/>
  <c r="T56" i="3"/>
  <c r="U56" i="3"/>
  <c r="W56" i="3"/>
  <c r="X56" i="3"/>
  <c r="Y56" i="3"/>
  <c r="Z56" i="3"/>
  <c r="AC56" i="3"/>
  <c r="AD56" i="3"/>
  <c r="AE56" i="3"/>
  <c r="AF56" i="3"/>
  <c r="AG56" i="3"/>
  <c r="AH56" i="3"/>
  <c r="AI56" i="3"/>
  <c r="AJ56" i="3"/>
  <c r="AK56" i="3"/>
  <c r="AL56" i="3"/>
  <c r="AN56" i="3"/>
  <c r="AO56" i="3"/>
  <c r="AP56" i="3"/>
  <c r="AQ56" i="3"/>
  <c r="AR56" i="3"/>
  <c r="AS56" i="3"/>
  <c r="AT56" i="3"/>
  <c r="AU56" i="3"/>
  <c r="AV56" i="3"/>
  <c r="D57" i="3"/>
  <c r="E57" i="3"/>
  <c r="F57" i="3"/>
  <c r="G57" i="3"/>
  <c r="H57" i="3"/>
  <c r="I57" i="3"/>
  <c r="Q57" i="3"/>
  <c r="R57" i="3"/>
  <c r="S57" i="3"/>
  <c r="T57" i="3"/>
  <c r="U57" i="3"/>
  <c r="W57" i="3"/>
  <c r="X57" i="3"/>
  <c r="Y57" i="3"/>
  <c r="Z57" i="3"/>
  <c r="AC57" i="3"/>
  <c r="AD57" i="3"/>
  <c r="AE57" i="3"/>
  <c r="AF57" i="3"/>
  <c r="AG57" i="3"/>
  <c r="AH57" i="3"/>
  <c r="AI57" i="3"/>
  <c r="AJ57" i="3"/>
  <c r="AK57" i="3"/>
  <c r="AL57" i="3"/>
  <c r="AN57" i="3"/>
  <c r="AO57" i="3"/>
  <c r="AP57" i="3"/>
  <c r="AQ57" i="3"/>
  <c r="AR57" i="3"/>
  <c r="AS57" i="3"/>
  <c r="AT57" i="3"/>
  <c r="AU57" i="3"/>
  <c r="AV57" i="3"/>
  <c r="D58" i="3"/>
  <c r="E58" i="3"/>
  <c r="F58" i="3"/>
  <c r="G58" i="3"/>
  <c r="H58" i="3"/>
  <c r="I58" i="3"/>
  <c r="Q58" i="3"/>
  <c r="R58" i="3"/>
  <c r="S58" i="3"/>
  <c r="T58" i="3"/>
  <c r="U58" i="3"/>
  <c r="W58" i="3"/>
  <c r="X58" i="3"/>
  <c r="Y58" i="3"/>
  <c r="Z58" i="3"/>
  <c r="AC58" i="3"/>
  <c r="AD58" i="3"/>
  <c r="AE58" i="3"/>
  <c r="AF58" i="3"/>
  <c r="AG58" i="3"/>
  <c r="AH58" i="3"/>
  <c r="AI58" i="3"/>
  <c r="AJ58" i="3"/>
  <c r="AK58" i="3"/>
  <c r="AL58" i="3"/>
  <c r="AN58" i="3"/>
  <c r="AO58" i="3"/>
  <c r="AP58" i="3"/>
  <c r="AQ58" i="3"/>
  <c r="AR58" i="3"/>
  <c r="AS58" i="3"/>
  <c r="AT58" i="3"/>
  <c r="AU58" i="3"/>
  <c r="AV58" i="3"/>
  <c r="D59" i="3"/>
  <c r="E59" i="3"/>
  <c r="F59" i="3"/>
  <c r="G59" i="3"/>
  <c r="H59" i="3"/>
  <c r="I59" i="3"/>
  <c r="Q59" i="3"/>
  <c r="R59" i="3"/>
  <c r="S59" i="3"/>
  <c r="T59" i="3"/>
  <c r="U59" i="3"/>
  <c r="W59" i="3"/>
  <c r="X59" i="3"/>
  <c r="Y59" i="3"/>
  <c r="Z59" i="3"/>
  <c r="AC59" i="3"/>
  <c r="AD59" i="3"/>
  <c r="AE59" i="3"/>
  <c r="AF59" i="3"/>
  <c r="AG59" i="3"/>
  <c r="AH59" i="3"/>
  <c r="AI59" i="3"/>
  <c r="AJ59" i="3"/>
  <c r="AK59" i="3"/>
  <c r="AL59" i="3"/>
  <c r="AN59" i="3"/>
  <c r="AO59" i="3"/>
  <c r="AP59" i="3"/>
  <c r="AQ59" i="3"/>
  <c r="AR59" i="3"/>
  <c r="AS59" i="3"/>
  <c r="AT59" i="3"/>
  <c r="AU59" i="3"/>
  <c r="AV59" i="3"/>
  <c r="D60" i="3"/>
  <c r="E60" i="3"/>
  <c r="F60" i="3"/>
  <c r="G60" i="3"/>
  <c r="H60" i="3"/>
  <c r="I60" i="3"/>
  <c r="Q60" i="3"/>
  <c r="R60" i="3"/>
  <c r="S60" i="3"/>
  <c r="T60" i="3"/>
  <c r="U60" i="3"/>
  <c r="W60" i="3"/>
  <c r="X60" i="3"/>
  <c r="Y60" i="3"/>
  <c r="Z60" i="3"/>
  <c r="AC60" i="3"/>
  <c r="AD60" i="3"/>
  <c r="AE60" i="3"/>
  <c r="AF60" i="3"/>
  <c r="AG60" i="3"/>
  <c r="AH60" i="3"/>
  <c r="AI60" i="3"/>
  <c r="AJ60" i="3"/>
  <c r="AK60" i="3"/>
  <c r="AL60" i="3"/>
  <c r="AN60" i="3"/>
  <c r="AO60" i="3"/>
  <c r="AP60" i="3"/>
  <c r="AQ60" i="3"/>
  <c r="AR60" i="3"/>
  <c r="AS60" i="3"/>
  <c r="AT60" i="3"/>
  <c r="AU60" i="3"/>
  <c r="AV60" i="3"/>
  <c r="D61" i="3"/>
  <c r="E61" i="3"/>
  <c r="F61" i="3"/>
  <c r="G61" i="3"/>
  <c r="H61" i="3"/>
  <c r="I61" i="3"/>
  <c r="Q61" i="3"/>
  <c r="R61" i="3"/>
  <c r="S61" i="3"/>
  <c r="T61" i="3"/>
  <c r="U61" i="3"/>
  <c r="W61" i="3"/>
  <c r="X61" i="3"/>
  <c r="Y61" i="3"/>
  <c r="Z61" i="3"/>
  <c r="AC61" i="3"/>
  <c r="AD61" i="3"/>
  <c r="AE61" i="3"/>
  <c r="AF61" i="3"/>
  <c r="AG61" i="3"/>
  <c r="AH61" i="3"/>
  <c r="AI61" i="3"/>
  <c r="AJ61" i="3"/>
  <c r="AK61" i="3"/>
  <c r="AL61" i="3"/>
  <c r="AN61" i="3"/>
  <c r="AO61" i="3"/>
  <c r="AP61" i="3"/>
  <c r="AQ61" i="3"/>
  <c r="AR61" i="3"/>
  <c r="AS61" i="3"/>
  <c r="AT61" i="3"/>
  <c r="AU61" i="3"/>
  <c r="AV61" i="3"/>
  <c r="D62" i="3"/>
  <c r="E62" i="3"/>
  <c r="F62" i="3"/>
  <c r="G62" i="3"/>
  <c r="H62" i="3"/>
  <c r="I62" i="3"/>
  <c r="Q62" i="3"/>
  <c r="R62" i="3"/>
  <c r="S62" i="3"/>
  <c r="T62" i="3"/>
  <c r="U62" i="3"/>
  <c r="W62" i="3"/>
  <c r="X62" i="3"/>
  <c r="Y62" i="3"/>
  <c r="Z62" i="3"/>
  <c r="AC62" i="3"/>
  <c r="AD62" i="3"/>
  <c r="AE62" i="3"/>
  <c r="AF62" i="3"/>
  <c r="AG62" i="3"/>
  <c r="AH62" i="3"/>
  <c r="AI62" i="3"/>
  <c r="AJ62" i="3"/>
  <c r="AK62" i="3"/>
  <c r="AL62" i="3"/>
  <c r="AN62" i="3"/>
  <c r="AO62" i="3"/>
  <c r="AP62" i="3"/>
  <c r="AQ62" i="3"/>
  <c r="AR62" i="3"/>
  <c r="AS62" i="3"/>
  <c r="AT62" i="3"/>
  <c r="AU62" i="3"/>
  <c r="AV62" i="3"/>
  <c r="D63" i="3"/>
  <c r="E63" i="3"/>
  <c r="F63" i="3"/>
  <c r="G63" i="3"/>
  <c r="H63" i="3"/>
  <c r="I63" i="3"/>
  <c r="Q63" i="3"/>
  <c r="R63" i="3"/>
  <c r="S63" i="3"/>
  <c r="T63" i="3"/>
  <c r="U63" i="3"/>
  <c r="W63" i="3"/>
  <c r="X63" i="3"/>
  <c r="Y63" i="3"/>
  <c r="Z63" i="3"/>
  <c r="AC63" i="3"/>
  <c r="AD63" i="3"/>
  <c r="AE63" i="3"/>
  <c r="AF63" i="3"/>
  <c r="AG63" i="3"/>
  <c r="AH63" i="3"/>
  <c r="AI63" i="3"/>
  <c r="AJ63" i="3"/>
  <c r="AK63" i="3"/>
  <c r="AL63" i="3"/>
  <c r="AN63" i="3"/>
  <c r="AO63" i="3"/>
  <c r="AP63" i="3"/>
  <c r="AQ63" i="3"/>
  <c r="AR63" i="3"/>
  <c r="AS63" i="3"/>
  <c r="AT63" i="3"/>
  <c r="AU63" i="3"/>
  <c r="AV63" i="3"/>
  <c r="D64" i="3"/>
  <c r="E64" i="3"/>
  <c r="F64" i="3"/>
  <c r="G64" i="3"/>
  <c r="H64" i="3"/>
  <c r="I64" i="3"/>
  <c r="Q64" i="3"/>
  <c r="R64" i="3"/>
  <c r="S64" i="3"/>
  <c r="T64" i="3"/>
  <c r="U64" i="3"/>
  <c r="W64" i="3"/>
  <c r="X64" i="3"/>
  <c r="Y64" i="3"/>
  <c r="Z64" i="3"/>
  <c r="AC64" i="3"/>
  <c r="AD64" i="3"/>
  <c r="AE64" i="3"/>
  <c r="AF64" i="3"/>
  <c r="AG64" i="3"/>
  <c r="AH64" i="3"/>
  <c r="AI64" i="3"/>
  <c r="AJ64" i="3"/>
  <c r="AK64" i="3"/>
  <c r="AL64" i="3"/>
  <c r="AN64" i="3"/>
  <c r="AO64" i="3"/>
  <c r="AP64" i="3"/>
  <c r="AQ64" i="3"/>
  <c r="AR64" i="3"/>
  <c r="AS64" i="3"/>
  <c r="AT64" i="3"/>
  <c r="AU64" i="3"/>
  <c r="AV64" i="3"/>
  <c r="D65" i="3"/>
  <c r="E65" i="3"/>
  <c r="F65" i="3"/>
  <c r="G65" i="3"/>
  <c r="H65" i="3"/>
  <c r="I65" i="3"/>
  <c r="Q65" i="3"/>
  <c r="R65" i="3"/>
  <c r="S65" i="3"/>
  <c r="T65" i="3"/>
  <c r="U65" i="3"/>
  <c r="W65" i="3"/>
  <c r="X65" i="3"/>
  <c r="Y65" i="3"/>
  <c r="Z65" i="3"/>
  <c r="AC65" i="3"/>
  <c r="AD65" i="3"/>
  <c r="AE65" i="3"/>
  <c r="AF65" i="3"/>
  <c r="AG65" i="3"/>
  <c r="AH65" i="3"/>
  <c r="AI65" i="3"/>
  <c r="AJ65" i="3"/>
  <c r="AK65" i="3"/>
  <c r="AL65" i="3"/>
  <c r="AN65" i="3"/>
  <c r="AO65" i="3"/>
  <c r="AP65" i="3"/>
  <c r="AQ65" i="3"/>
  <c r="AR65" i="3"/>
  <c r="AS65" i="3"/>
  <c r="AT65" i="3"/>
  <c r="AU65" i="3"/>
  <c r="AV65" i="3"/>
  <c r="D66" i="3"/>
  <c r="E66" i="3"/>
  <c r="F66" i="3"/>
  <c r="G66" i="3"/>
  <c r="H66" i="3"/>
  <c r="I66" i="3"/>
  <c r="Q66" i="3"/>
  <c r="R66" i="3"/>
  <c r="S66" i="3"/>
  <c r="T66" i="3"/>
  <c r="U66" i="3"/>
  <c r="W66" i="3"/>
  <c r="X66" i="3"/>
  <c r="Y66" i="3"/>
  <c r="Z66" i="3"/>
  <c r="AC66" i="3"/>
  <c r="AD66" i="3"/>
  <c r="AE66" i="3"/>
  <c r="AF66" i="3"/>
  <c r="AG66" i="3"/>
  <c r="AH66" i="3"/>
  <c r="AI66" i="3"/>
  <c r="AJ66" i="3"/>
  <c r="AK66" i="3"/>
  <c r="AL66" i="3"/>
  <c r="AN66" i="3"/>
  <c r="AO66" i="3"/>
  <c r="AP66" i="3"/>
  <c r="AQ66" i="3"/>
  <c r="AR66" i="3"/>
  <c r="AS66" i="3"/>
  <c r="AT66" i="3"/>
  <c r="AU66" i="3"/>
  <c r="AV66" i="3"/>
  <c r="D67" i="3"/>
  <c r="E67" i="3"/>
  <c r="F67" i="3"/>
  <c r="G67" i="3"/>
  <c r="H67" i="3"/>
  <c r="I67" i="3"/>
  <c r="Q67" i="3"/>
  <c r="R67" i="3"/>
  <c r="S67" i="3"/>
  <c r="T67" i="3"/>
  <c r="U67" i="3"/>
  <c r="W67" i="3"/>
  <c r="X67" i="3"/>
  <c r="Y67" i="3"/>
  <c r="Z67" i="3"/>
  <c r="AC67" i="3"/>
  <c r="AD67" i="3"/>
  <c r="AE67" i="3"/>
  <c r="AF67" i="3"/>
  <c r="AG67" i="3"/>
  <c r="AH67" i="3"/>
  <c r="AI67" i="3"/>
  <c r="AJ67" i="3"/>
  <c r="AK67" i="3"/>
  <c r="AL67" i="3"/>
  <c r="AN67" i="3"/>
  <c r="AO67" i="3"/>
  <c r="AP67" i="3"/>
  <c r="AQ67" i="3"/>
  <c r="AR67" i="3"/>
  <c r="AS67" i="3"/>
  <c r="AT67" i="3"/>
  <c r="AU67" i="3"/>
  <c r="AV67" i="3"/>
  <c r="D68" i="3"/>
  <c r="E68" i="3"/>
  <c r="F68" i="3"/>
  <c r="G68" i="3"/>
  <c r="H68" i="3"/>
  <c r="I68" i="3"/>
  <c r="Q68" i="3"/>
  <c r="R68" i="3"/>
  <c r="S68" i="3"/>
  <c r="T68" i="3"/>
  <c r="U68" i="3"/>
  <c r="W68" i="3"/>
  <c r="X68" i="3"/>
  <c r="Y68" i="3"/>
  <c r="Z68" i="3"/>
  <c r="AC68" i="3"/>
  <c r="AD68" i="3"/>
  <c r="AE68" i="3"/>
  <c r="AF68" i="3"/>
  <c r="AG68" i="3"/>
  <c r="AH68" i="3"/>
  <c r="AI68" i="3"/>
  <c r="AJ68" i="3"/>
  <c r="AK68" i="3"/>
  <c r="AL68" i="3"/>
  <c r="AN68" i="3"/>
  <c r="AO68" i="3"/>
  <c r="AP68" i="3"/>
  <c r="AQ68" i="3"/>
  <c r="AR68" i="3"/>
  <c r="AS68" i="3"/>
  <c r="AT68" i="3"/>
  <c r="AU68" i="3"/>
  <c r="AV68" i="3"/>
  <c r="D69" i="3"/>
  <c r="E69" i="3"/>
  <c r="F69" i="3"/>
  <c r="G69" i="3"/>
  <c r="H69" i="3"/>
  <c r="I69" i="3"/>
  <c r="Q69" i="3"/>
  <c r="R69" i="3"/>
  <c r="S69" i="3"/>
  <c r="T69" i="3"/>
  <c r="U69" i="3"/>
  <c r="W69" i="3"/>
  <c r="X69" i="3"/>
  <c r="Y69" i="3"/>
  <c r="Z69" i="3"/>
  <c r="AC69" i="3"/>
  <c r="AD69" i="3"/>
  <c r="AE69" i="3"/>
  <c r="AF69" i="3"/>
  <c r="AG69" i="3"/>
  <c r="AH69" i="3"/>
  <c r="AI69" i="3"/>
  <c r="AJ69" i="3"/>
  <c r="AK69" i="3"/>
  <c r="AL69" i="3"/>
  <c r="AN69" i="3"/>
  <c r="AO69" i="3"/>
  <c r="AP69" i="3"/>
  <c r="AQ69" i="3"/>
  <c r="AR69" i="3"/>
  <c r="AS69" i="3"/>
  <c r="AT69" i="3"/>
  <c r="AU69" i="3"/>
  <c r="AV69" i="3"/>
  <c r="D70" i="3"/>
  <c r="E70" i="3"/>
  <c r="F70" i="3"/>
  <c r="G70" i="3"/>
  <c r="H70" i="3"/>
  <c r="I70" i="3"/>
  <c r="Q70" i="3"/>
  <c r="R70" i="3"/>
  <c r="S70" i="3"/>
  <c r="T70" i="3"/>
  <c r="U70" i="3"/>
  <c r="W70" i="3"/>
  <c r="X70" i="3"/>
  <c r="Y70" i="3"/>
  <c r="Z70" i="3"/>
  <c r="AC70" i="3"/>
  <c r="AD70" i="3"/>
  <c r="AE70" i="3"/>
  <c r="AF70" i="3"/>
  <c r="AG70" i="3"/>
  <c r="AH70" i="3"/>
  <c r="AI70" i="3"/>
  <c r="AJ70" i="3"/>
  <c r="AK70" i="3"/>
  <c r="AL70" i="3"/>
  <c r="AN70" i="3"/>
  <c r="AO70" i="3"/>
  <c r="AP70" i="3"/>
  <c r="AQ70" i="3"/>
  <c r="AR70" i="3"/>
  <c r="AS70" i="3"/>
  <c r="AT70" i="3"/>
  <c r="AU70" i="3"/>
  <c r="AV70" i="3"/>
  <c r="D71" i="3"/>
  <c r="E71" i="3"/>
  <c r="F71" i="3"/>
  <c r="G71" i="3"/>
  <c r="H71" i="3"/>
  <c r="I71" i="3"/>
  <c r="Q71" i="3"/>
  <c r="R71" i="3"/>
  <c r="S71" i="3"/>
  <c r="T71" i="3"/>
  <c r="U71" i="3"/>
  <c r="W71" i="3"/>
  <c r="X71" i="3"/>
  <c r="Y71" i="3"/>
  <c r="Z71" i="3"/>
  <c r="AC71" i="3"/>
  <c r="AD71" i="3"/>
  <c r="AE71" i="3"/>
  <c r="AF71" i="3"/>
  <c r="AG71" i="3"/>
  <c r="AH71" i="3"/>
  <c r="AI71" i="3"/>
  <c r="AJ71" i="3"/>
  <c r="AK71" i="3"/>
  <c r="AL71" i="3"/>
  <c r="AN71" i="3"/>
  <c r="AO71" i="3"/>
  <c r="AP71" i="3"/>
  <c r="AQ71" i="3"/>
  <c r="AR71" i="3"/>
  <c r="AS71" i="3"/>
  <c r="AT71" i="3"/>
  <c r="AU71" i="3"/>
  <c r="AV71" i="3"/>
  <c r="D72" i="3"/>
  <c r="E72" i="3"/>
  <c r="F72" i="3"/>
  <c r="G72" i="3"/>
  <c r="H72" i="3"/>
  <c r="I72" i="3"/>
  <c r="Q72" i="3"/>
  <c r="R72" i="3"/>
  <c r="S72" i="3"/>
  <c r="T72" i="3"/>
  <c r="U72" i="3"/>
  <c r="W72" i="3"/>
  <c r="X72" i="3"/>
  <c r="Y72" i="3"/>
  <c r="Z72" i="3"/>
  <c r="AC72" i="3"/>
  <c r="AD72" i="3"/>
  <c r="AE72" i="3"/>
  <c r="AF72" i="3"/>
  <c r="AG72" i="3"/>
  <c r="AH72" i="3"/>
  <c r="AI72" i="3"/>
  <c r="AJ72" i="3"/>
  <c r="AK72" i="3"/>
  <c r="AL72" i="3"/>
  <c r="AN72" i="3"/>
  <c r="AO72" i="3"/>
  <c r="AP72" i="3"/>
  <c r="AQ72" i="3"/>
  <c r="AR72" i="3"/>
  <c r="AS72" i="3"/>
  <c r="AT72" i="3"/>
  <c r="AU72" i="3"/>
  <c r="AV72" i="3"/>
  <c r="D73" i="3"/>
  <c r="E73" i="3"/>
  <c r="F73" i="3"/>
  <c r="G73" i="3"/>
  <c r="H73" i="3"/>
  <c r="I73" i="3"/>
  <c r="J73" i="3"/>
  <c r="P73" i="3"/>
  <c r="Q73" i="3"/>
  <c r="R73" i="3"/>
  <c r="S73" i="3"/>
  <c r="T73" i="3"/>
  <c r="U73" i="3"/>
  <c r="W73" i="3"/>
  <c r="X73" i="3"/>
  <c r="Y73" i="3"/>
  <c r="Z73" i="3"/>
  <c r="AC73" i="3"/>
  <c r="AD73" i="3"/>
  <c r="AE73" i="3"/>
  <c r="AF73" i="3"/>
  <c r="AG73" i="3"/>
  <c r="AH73" i="3"/>
  <c r="AI73" i="3"/>
  <c r="AJ73" i="3"/>
  <c r="AK73" i="3"/>
  <c r="AL73" i="3"/>
  <c r="AN73" i="3"/>
  <c r="AO73" i="3"/>
  <c r="AP73" i="3"/>
  <c r="AQ73" i="3"/>
  <c r="AR73" i="3"/>
  <c r="AS73" i="3"/>
  <c r="AT73" i="3"/>
  <c r="AU73" i="3"/>
  <c r="AV73" i="3"/>
  <c r="D74" i="3"/>
  <c r="E74" i="3"/>
  <c r="F74" i="3"/>
  <c r="G74" i="3"/>
  <c r="H74" i="3"/>
  <c r="I74" i="3"/>
  <c r="Q74" i="3"/>
  <c r="R74" i="3"/>
  <c r="S74" i="3"/>
  <c r="T74" i="3"/>
  <c r="U74" i="3"/>
  <c r="W74" i="3"/>
  <c r="X74" i="3"/>
  <c r="Y74" i="3"/>
  <c r="Z74" i="3"/>
  <c r="AC74" i="3"/>
  <c r="AD74" i="3"/>
  <c r="AE74" i="3"/>
  <c r="AF74" i="3"/>
  <c r="AG74" i="3"/>
  <c r="AH74" i="3"/>
  <c r="AI74" i="3"/>
  <c r="AJ74" i="3"/>
  <c r="AK74" i="3"/>
  <c r="AL74" i="3"/>
  <c r="AN74" i="3"/>
  <c r="AO74" i="3"/>
  <c r="AP74" i="3"/>
  <c r="AQ74" i="3"/>
  <c r="AR74" i="3"/>
  <c r="AS74" i="3"/>
  <c r="AT74" i="3"/>
  <c r="AU74" i="3"/>
  <c r="AV74" i="3"/>
  <c r="D75" i="3"/>
  <c r="E75" i="3"/>
  <c r="F75" i="3"/>
  <c r="G75" i="3"/>
  <c r="H75" i="3"/>
  <c r="I75" i="3"/>
  <c r="Q75" i="3"/>
  <c r="R75" i="3"/>
  <c r="S75" i="3"/>
  <c r="T75" i="3"/>
  <c r="U75" i="3"/>
  <c r="W75" i="3"/>
  <c r="X75" i="3"/>
  <c r="Y75" i="3"/>
  <c r="Z75" i="3"/>
  <c r="AC75" i="3"/>
  <c r="AD75" i="3"/>
  <c r="AE75" i="3"/>
  <c r="AF75" i="3"/>
  <c r="AG75" i="3"/>
  <c r="AH75" i="3"/>
  <c r="AI75" i="3"/>
  <c r="AJ75" i="3"/>
  <c r="AK75" i="3"/>
  <c r="AL75" i="3"/>
  <c r="AN75" i="3"/>
  <c r="AO75" i="3"/>
  <c r="AP75" i="3"/>
  <c r="AQ75" i="3"/>
  <c r="AR75" i="3"/>
  <c r="AS75" i="3"/>
  <c r="AT75" i="3"/>
  <c r="AU75" i="3"/>
  <c r="AV75" i="3"/>
  <c r="D76" i="3"/>
  <c r="E76" i="3"/>
  <c r="F76" i="3"/>
  <c r="G76" i="3"/>
  <c r="H76" i="3"/>
  <c r="I76" i="3"/>
  <c r="Q76" i="3"/>
  <c r="R76" i="3"/>
  <c r="S76" i="3"/>
  <c r="T76" i="3"/>
  <c r="U76" i="3"/>
  <c r="W76" i="3"/>
  <c r="X76" i="3"/>
  <c r="Y76" i="3"/>
  <c r="Z76" i="3"/>
  <c r="AC76" i="3"/>
  <c r="AD76" i="3"/>
  <c r="AE76" i="3"/>
  <c r="AF76" i="3"/>
  <c r="AG76" i="3"/>
  <c r="AH76" i="3"/>
  <c r="AI76" i="3"/>
  <c r="AJ76" i="3"/>
  <c r="AK76" i="3"/>
  <c r="AL76" i="3"/>
  <c r="AN76" i="3"/>
  <c r="AO76" i="3"/>
  <c r="AP76" i="3"/>
  <c r="AQ76" i="3"/>
  <c r="AR76" i="3"/>
  <c r="AS76" i="3"/>
  <c r="AT76" i="3"/>
  <c r="AU76" i="3"/>
  <c r="AV76" i="3"/>
  <c r="D77" i="3"/>
  <c r="E77" i="3"/>
  <c r="F77" i="3"/>
  <c r="G77" i="3"/>
  <c r="H77" i="3"/>
  <c r="I77" i="3"/>
  <c r="Q77" i="3"/>
  <c r="R77" i="3"/>
  <c r="S77" i="3"/>
  <c r="T77" i="3"/>
  <c r="U77" i="3"/>
  <c r="W77" i="3"/>
  <c r="X77" i="3"/>
  <c r="Y77" i="3"/>
  <c r="Z77" i="3"/>
  <c r="AC77" i="3"/>
  <c r="AD77" i="3"/>
  <c r="AE77" i="3"/>
  <c r="AF77" i="3"/>
  <c r="AG77" i="3"/>
  <c r="AH77" i="3"/>
  <c r="AI77" i="3"/>
  <c r="AJ77" i="3"/>
  <c r="AK77" i="3"/>
  <c r="AL77" i="3"/>
  <c r="AN77" i="3"/>
  <c r="AO77" i="3"/>
  <c r="AP77" i="3"/>
  <c r="AQ77" i="3"/>
  <c r="AR77" i="3"/>
  <c r="AS77" i="3"/>
  <c r="AT77" i="3"/>
  <c r="AU77" i="3"/>
  <c r="AV77" i="3"/>
  <c r="D78" i="3"/>
  <c r="E78" i="3"/>
  <c r="F78" i="3"/>
  <c r="G78" i="3"/>
  <c r="H78" i="3"/>
  <c r="I78" i="3"/>
  <c r="Q78" i="3"/>
  <c r="R78" i="3"/>
  <c r="S78" i="3"/>
  <c r="T78" i="3"/>
  <c r="U78" i="3"/>
  <c r="W78" i="3"/>
  <c r="X78" i="3"/>
  <c r="Y78" i="3"/>
  <c r="Z78" i="3"/>
  <c r="AC78" i="3"/>
  <c r="AD78" i="3"/>
  <c r="AE78" i="3"/>
  <c r="AF78" i="3"/>
  <c r="AG78" i="3"/>
  <c r="AH78" i="3"/>
  <c r="AI78" i="3"/>
  <c r="AJ78" i="3"/>
  <c r="AK78" i="3"/>
  <c r="AL78" i="3"/>
  <c r="AN78" i="3"/>
  <c r="AO78" i="3"/>
  <c r="AP78" i="3"/>
  <c r="AQ78" i="3"/>
  <c r="AR78" i="3"/>
  <c r="AS78" i="3"/>
  <c r="AT78" i="3"/>
  <c r="AU78" i="3"/>
  <c r="AV78" i="3"/>
  <c r="D79" i="3"/>
  <c r="E79" i="3"/>
  <c r="F79" i="3"/>
  <c r="G79" i="3"/>
  <c r="H79" i="3"/>
  <c r="I79" i="3"/>
  <c r="Q79" i="3"/>
  <c r="R79" i="3"/>
  <c r="S79" i="3"/>
  <c r="T79" i="3"/>
  <c r="U79" i="3"/>
  <c r="W79" i="3"/>
  <c r="X79" i="3"/>
  <c r="Y79" i="3"/>
  <c r="Z79" i="3"/>
  <c r="AC79" i="3"/>
  <c r="AD79" i="3"/>
  <c r="AE79" i="3"/>
  <c r="AF79" i="3"/>
  <c r="AG79" i="3"/>
  <c r="AH79" i="3"/>
  <c r="AI79" i="3"/>
  <c r="AJ79" i="3"/>
  <c r="AK79" i="3"/>
  <c r="AL79" i="3"/>
  <c r="AN79" i="3"/>
  <c r="AO79" i="3"/>
  <c r="AP79" i="3"/>
  <c r="AQ79" i="3"/>
  <c r="AR79" i="3"/>
  <c r="AS79" i="3"/>
  <c r="AT79" i="3"/>
  <c r="AU79" i="3"/>
  <c r="AV79" i="3"/>
  <c r="D80" i="3"/>
  <c r="E80" i="3"/>
  <c r="F80" i="3"/>
  <c r="G80" i="3"/>
  <c r="H80" i="3"/>
  <c r="I80" i="3"/>
  <c r="Q80" i="3"/>
  <c r="R80" i="3"/>
  <c r="S80" i="3"/>
  <c r="T80" i="3"/>
  <c r="U80" i="3"/>
  <c r="W80" i="3"/>
  <c r="X80" i="3"/>
  <c r="Y80" i="3"/>
  <c r="Z80" i="3"/>
  <c r="AC80" i="3"/>
  <c r="AD80" i="3"/>
  <c r="AE80" i="3"/>
  <c r="AF80" i="3"/>
  <c r="AG80" i="3"/>
  <c r="AH80" i="3"/>
  <c r="AI80" i="3"/>
  <c r="AJ80" i="3"/>
  <c r="AK80" i="3"/>
  <c r="AL80" i="3"/>
  <c r="AN80" i="3"/>
  <c r="AO80" i="3"/>
  <c r="AP80" i="3"/>
  <c r="AQ80" i="3"/>
  <c r="AR80" i="3"/>
  <c r="AS80" i="3"/>
  <c r="AT80" i="3"/>
  <c r="AU80" i="3"/>
  <c r="AV80" i="3"/>
  <c r="D81" i="3"/>
  <c r="E81" i="3"/>
  <c r="F81" i="3"/>
  <c r="G81" i="3"/>
  <c r="H81" i="3"/>
  <c r="I81" i="3"/>
  <c r="Q81" i="3"/>
  <c r="R81" i="3"/>
  <c r="S81" i="3"/>
  <c r="T81" i="3"/>
  <c r="U81" i="3"/>
  <c r="W81" i="3"/>
  <c r="X81" i="3"/>
  <c r="Y81" i="3"/>
  <c r="Z81" i="3"/>
  <c r="AC81" i="3"/>
  <c r="AD81" i="3"/>
  <c r="AE81" i="3"/>
  <c r="AF81" i="3"/>
  <c r="AG81" i="3"/>
  <c r="AH81" i="3"/>
  <c r="AI81" i="3"/>
  <c r="AJ81" i="3"/>
  <c r="AK81" i="3"/>
  <c r="AL81" i="3"/>
  <c r="AN81" i="3"/>
  <c r="AO81" i="3"/>
  <c r="AP81" i="3"/>
  <c r="AQ81" i="3"/>
  <c r="AR81" i="3"/>
  <c r="AS81" i="3"/>
  <c r="AT81" i="3"/>
  <c r="AU81" i="3"/>
  <c r="AV81" i="3"/>
  <c r="D82" i="3"/>
  <c r="E82" i="3"/>
  <c r="F82" i="3"/>
  <c r="G82" i="3"/>
  <c r="H82" i="3"/>
  <c r="I82" i="3"/>
  <c r="Q82" i="3"/>
  <c r="R82" i="3"/>
  <c r="S82" i="3"/>
  <c r="T82" i="3"/>
  <c r="U82" i="3"/>
  <c r="W82" i="3"/>
  <c r="X82" i="3"/>
  <c r="Y82" i="3"/>
  <c r="Z82" i="3"/>
  <c r="AC82" i="3"/>
  <c r="AD82" i="3"/>
  <c r="AE82" i="3"/>
  <c r="AF82" i="3"/>
  <c r="AG82" i="3"/>
  <c r="AH82" i="3"/>
  <c r="AI82" i="3"/>
  <c r="AJ82" i="3"/>
  <c r="AK82" i="3"/>
  <c r="AL82" i="3"/>
  <c r="AN82" i="3"/>
  <c r="AO82" i="3"/>
  <c r="AP82" i="3"/>
  <c r="AQ82" i="3"/>
  <c r="AR82" i="3"/>
  <c r="AS82" i="3"/>
  <c r="AT82" i="3"/>
  <c r="AU82" i="3"/>
  <c r="AV82" i="3"/>
  <c r="D83" i="3"/>
  <c r="E83" i="3"/>
  <c r="F83" i="3"/>
  <c r="G83" i="3"/>
  <c r="H83" i="3"/>
  <c r="I83" i="3"/>
  <c r="Q83" i="3"/>
  <c r="R83" i="3"/>
  <c r="S83" i="3"/>
  <c r="T83" i="3"/>
  <c r="U83" i="3"/>
  <c r="W83" i="3"/>
  <c r="X83" i="3"/>
  <c r="Y83" i="3"/>
  <c r="Z83" i="3"/>
  <c r="AC83" i="3"/>
  <c r="AD83" i="3"/>
  <c r="AE83" i="3"/>
  <c r="AF83" i="3"/>
  <c r="AG83" i="3"/>
  <c r="AH83" i="3"/>
  <c r="AI83" i="3"/>
  <c r="AJ83" i="3"/>
  <c r="AK83" i="3"/>
  <c r="AL83" i="3"/>
  <c r="AN83" i="3"/>
  <c r="AO83" i="3"/>
  <c r="AP83" i="3"/>
  <c r="AQ83" i="3"/>
  <c r="AR83" i="3"/>
  <c r="AS83" i="3"/>
  <c r="AT83" i="3"/>
  <c r="AU83" i="3"/>
  <c r="AV83" i="3"/>
  <c r="D84" i="3"/>
  <c r="E84" i="3"/>
  <c r="F84" i="3"/>
  <c r="G84" i="3"/>
  <c r="H84" i="3"/>
  <c r="I84" i="3"/>
  <c r="Q84" i="3"/>
  <c r="R84" i="3"/>
  <c r="S84" i="3"/>
  <c r="T84" i="3"/>
  <c r="U84" i="3"/>
  <c r="W84" i="3"/>
  <c r="X84" i="3"/>
  <c r="Y84" i="3"/>
  <c r="Z84" i="3"/>
  <c r="AC84" i="3"/>
  <c r="AD84" i="3"/>
  <c r="AE84" i="3"/>
  <c r="AF84" i="3"/>
  <c r="AG84" i="3"/>
  <c r="AH84" i="3"/>
  <c r="AI84" i="3"/>
  <c r="AJ84" i="3"/>
  <c r="AK84" i="3"/>
  <c r="AL84" i="3"/>
  <c r="AN84" i="3"/>
  <c r="AO84" i="3"/>
  <c r="AP84" i="3"/>
  <c r="AQ84" i="3"/>
  <c r="AR84" i="3"/>
  <c r="AS84" i="3"/>
  <c r="AT84" i="3"/>
  <c r="AU84" i="3"/>
  <c r="AV84" i="3"/>
  <c r="D85" i="3"/>
  <c r="E85" i="3"/>
  <c r="F85" i="3"/>
  <c r="G85" i="3"/>
  <c r="H85" i="3"/>
  <c r="I85" i="3"/>
  <c r="Q85" i="3"/>
  <c r="R85" i="3"/>
  <c r="S85" i="3"/>
  <c r="T85" i="3"/>
  <c r="U85" i="3"/>
  <c r="W85" i="3"/>
  <c r="X85" i="3"/>
  <c r="Y85" i="3"/>
  <c r="Z85" i="3"/>
  <c r="AC85" i="3"/>
  <c r="AD85" i="3"/>
  <c r="AE85" i="3"/>
  <c r="AF85" i="3"/>
  <c r="AG85" i="3"/>
  <c r="AH85" i="3"/>
  <c r="AI85" i="3"/>
  <c r="AJ85" i="3"/>
  <c r="AK85" i="3"/>
  <c r="AL85" i="3"/>
  <c r="AN85" i="3"/>
  <c r="AO85" i="3"/>
  <c r="AP85" i="3"/>
  <c r="AQ85" i="3"/>
  <c r="AR85" i="3"/>
  <c r="AS85" i="3"/>
  <c r="AT85" i="3"/>
  <c r="AU85" i="3"/>
  <c r="AV85" i="3"/>
  <c r="D86" i="3"/>
  <c r="E86" i="3"/>
  <c r="F86" i="3"/>
  <c r="G86" i="3"/>
  <c r="H86" i="3"/>
  <c r="I86" i="3"/>
  <c r="Q86" i="3"/>
  <c r="R86" i="3"/>
  <c r="S86" i="3"/>
  <c r="T86" i="3"/>
  <c r="U86" i="3"/>
  <c r="W86" i="3"/>
  <c r="X86" i="3"/>
  <c r="Y86" i="3"/>
  <c r="Z86" i="3"/>
  <c r="AC86" i="3"/>
  <c r="AD86" i="3"/>
  <c r="AE86" i="3"/>
  <c r="AF86" i="3"/>
  <c r="AG86" i="3"/>
  <c r="AH86" i="3"/>
  <c r="AI86" i="3"/>
  <c r="AJ86" i="3"/>
  <c r="AK86" i="3"/>
  <c r="AL86" i="3"/>
  <c r="AN86" i="3"/>
  <c r="AO86" i="3"/>
  <c r="AP86" i="3"/>
  <c r="AQ86" i="3"/>
  <c r="AR86" i="3"/>
  <c r="AS86" i="3"/>
  <c r="AT86" i="3"/>
  <c r="AU86" i="3"/>
  <c r="AV86" i="3"/>
  <c r="D87" i="3"/>
  <c r="E87" i="3"/>
  <c r="F87" i="3"/>
  <c r="G87" i="3"/>
  <c r="H87" i="3"/>
  <c r="I87" i="3"/>
  <c r="J87" i="3"/>
  <c r="P87" i="3"/>
  <c r="Q87" i="3"/>
  <c r="R87" i="3"/>
  <c r="S87" i="3"/>
  <c r="T87" i="3"/>
  <c r="U87" i="3"/>
  <c r="W87" i="3"/>
  <c r="X87" i="3"/>
  <c r="Y87" i="3"/>
  <c r="Z87" i="3"/>
  <c r="AC87" i="3"/>
  <c r="AD87" i="3"/>
  <c r="AE87" i="3"/>
  <c r="AF87" i="3"/>
  <c r="AG87" i="3"/>
  <c r="AH87" i="3"/>
  <c r="AI87" i="3"/>
  <c r="AJ87" i="3"/>
  <c r="AK87" i="3"/>
  <c r="AL87" i="3"/>
  <c r="AN87" i="3"/>
  <c r="AO87" i="3"/>
  <c r="AP87" i="3"/>
  <c r="AQ87" i="3"/>
  <c r="AR87" i="3"/>
  <c r="AS87" i="3"/>
  <c r="AT87" i="3"/>
  <c r="AU87" i="3"/>
  <c r="AV87" i="3"/>
  <c r="D88" i="3"/>
  <c r="E88" i="3"/>
  <c r="F88" i="3"/>
  <c r="G88" i="3"/>
  <c r="H88" i="3"/>
  <c r="I88" i="3"/>
  <c r="Q88" i="3"/>
  <c r="R88" i="3"/>
  <c r="S88" i="3"/>
  <c r="T88" i="3"/>
  <c r="U88" i="3"/>
  <c r="W88" i="3"/>
  <c r="X88" i="3"/>
  <c r="Y88" i="3"/>
  <c r="Z88" i="3"/>
  <c r="AC88" i="3"/>
  <c r="AD88" i="3"/>
  <c r="AE88" i="3"/>
  <c r="AF88" i="3"/>
  <c r="AG88" i="3"/>
  <c r="AH88" i="3"/>
  <c r="AI88" i="3"/>
  <c r="AJ88" i="3"/>
  <c r="AK88" i="3"/>
  <c r="AL88" i="3"/>
  <c r="AN88" i="3"/>
  <c r="AO88" i="3"/>
  <c r="AP88" i="3"/>
  <c r="AQ88" i="3"/>
  <c r="AR88" i="3"/>
  <c r="AS88" i="3"/>
  <c r="AT88" i="3"/>
  <c r="AU88" i="3"/>
  <c r="AV88" i="3"/>
  <c r="D89" i="3"/>
  <c r="E89" i="3"/>
  <c r="F89" i="3"/>
  <c r="G89" i="3"/>
  <c r="H89" i="3"/>
  <c r="I89" i="3"/>
  <c r="Q89" i="3"/>
  <c r="R89" i="3"/>
  <c r="S89" i="3"/>
  <c r="T89" i="3"/>
  <c r="U89" i="3"/>
  <c r="W89" i="3"/>
  <c r="X89" i="3"/>
  <c r="Y89" i="3"/>
  <c r="Z89" i="3"/>
  <c r="AC89" i="3"/>
  <c r="AD89" i="3"/>
  <c r="AE89" i="3"/>
  <c r="AF89" i="3"/>
  <c r="AG89" i="3"/>
  <c r="AH89" i="3"/>
  <c r="AI89" i="3"/>
  <c r="AJ89" i="3"/>
  <c r="AK89" i="3"/>
  <c r="AL89" i="3"/>
  <c r="AN89" i="3"/>
  <c r="AO89" i="3"/>
  <c r="AP89" i="3"/>
  <c r="AQ89" i="3"/>
  <c r="AR89" i="3"/>
  <c r="AS89" i="3"/>
  <c r="AT89" i="3"/>
  <c r="AU89" i="3"/>
  <c r="AV89" i="3"/>
  <c r="D90" i="3"/>
  <c r="E90" i="3"/>
  <c r="F90" i="3"/>
  <c r="G90" i="3"/>
  <c r="H90" i="3"/>
  <c r="I90" i="3"/>
  <c r="Q90" i="3"/>
  <c r="R90" i="3"/>
  <c r="S90" i="3"/>
  <c r="T90" i="3"/>
  <c r="U90" i="3"/>
  <c r="W90" i="3"/>
  <c r="X90" i="3"/>
  <c r="Y90" i="3"/>
  <c r="Z90" i="3"/>
  <c r="AC90" i="3"/>
  <c r="AD90" i="3"/>
  <c r="AE90" i="3"/>
  <c r="AF90" i="3"/>
  <c r="AG90" i="3"/>
  <c r="AH90" i="3"/>
  <c r="AI90" i="3"/>
  <c r="AJ90" i="3"/>
  <c r="AK90" i="3"/>
  <c r="AL90" i="3"/>
  <c r="AN90" i="3"/>
  <c r="AO90" i="3"/>
  <c r="AP90" i="3"/>
  <c r="AQ90" i="3"/>
  <c r="AR90" i="3"/>
  <c r="AS90" i="3"/>
  <c r="AT90" i="3"/>
  <c r="AU90" i="3"/>
  <c r="AV90" i="3"/>
  <c r="D91" i="3"/>
  <c r="E91" i="3"/>
  <c r="F91" i="3"/>
  <c r="G91" i="3"/>
  <c r="H91" i="3"/>
  <c r="I91" i="3"/>
  <c r="Q91" i="3"/>
  <c r="R91" i="3"/>
  <c r="S91" i="3"/>
  <c r="T91" i="3"/>
  <c r="U91" i="3"/>
  <c r="W91" i="3"/>
  <c r="X91" i="3"/>
  <c r="Y91" i="3"/>
  <c r="Z91" i="3"/>
  <c r="AC91" i="3"/>
  <c r="AD91" i="3"/>
  <c r="AE91" i="3"/>
  <c r="AF91" i="3"/>
  <c r="AG91" i="3"/>
  <c r="AH91" i="3"/>
  <c r="AI91" i="3"/>
  <c r="AJ91" i="3"/>
  <c r="AK91" i="3"/>
  <c r="AL91" i="3"/>
  <c r="AN91" i="3"/>
  <c r="AO91" i="3"/>
  <c r="AP91" i="3"/>
  <c r="AQ91" i="3"/>
  <c r="AR91" i="3"/>
  <c r="AS91" i="3"/>
  <c r="AT91" i="3"/>
  <c r="AU91" i="3"/>
  <c r="AV91" i="3"/>
  <c r="D92" i="3"/>
  <c r="E92" i="3"/>
  <c r="F92" i="3"/>
  <c r="G92" i="3"/>
  <c r="H92" i="3"/>
  <c r="I92" i="3"/>
  <c r="Q92" i="3"/>
  <c r="R92" i="3"/>
  <c r="S92" i="3"/>
  <c r="T92" i="3"/>
  <c r="U92" i="3"/>
  <c r="W92" i="3"/>
  <c r="X92" i="3"/>
  <c r="Y92" i="3"/>
  <c r="Z92" i="3"/>
  <c r="AC92" i="3"/>
  <c r="AD92" i="3"/>
  <c r="AE92" i="3"/>
  <c r="AF92" i="3"/>
  <c r="AG92" i="3"/>
  <c r="AH92" i="3"/>
  <c r="AI92" i="3"/>
  <c r="AJ92" i="3"/>
  <c r="AK92" i="3"/>
  <c r="AL92" i="3"/>
  <c r="AN92" i="3"/>
  <c r="AO92" i="3"/>
  <c r="AP92" i="3"/>
  <c r="AQ92" i="3"/>
  <c r="AR92" i="3"/>
  <c r="AS92" i="3"/>
  <c r="AT92" i="3"/>
  <c r="AU92" i="3"/>
  <c r="AV92" i="3"/>
  <c r="D93" i="3"/>
  <c r="E93" i="3"/>
  <c r="F93" i="3"/>
  <c r="G93" i="3"/>
  <c r="H93" i="3"/>
  <c r="I93" i="3"/>
  <c r="Q93" i="3"/>
  <c r="R93" i="3"/>
  <c r="S93" i="3"/>
  <c r="T93" i="3"/>
  <c r="U93" i="3"/>
  <c r="W93" i="3"/>
  <c r="X93" i="3"/>
  <c r="Y93" i="3"/>
  <c r="Z93" i="3"/>
  <c r="AC93" i="3"/>
  <c r="AD93" i="3"/>
  <c r="AE93" i="3"/>
  <c r="AF93" i="3"/>
  <c r="AG93" i="3"/>
  <c r="AH93" i="3"/>
  <c r="AI93" i="3"/>
  <c r="AJ93" i="3"/>
  <c r="AK93" i="3"/>
  <c r="AL93" i="3"/>
  <c r="AN93" i="3"/>
  <c r="AO93" i="3"/>
  <c r="AP93" i="3"/>
  <c r="AQ93" i="3"/>
  <c r="AR93" i="3"/>
  <c r="AS93" i="3"/>
  <c r="AT93" i="3"/>
  <c r="AU93" i="3"/>
  <c r="AV93" i="3"/>
  <c r="D94" i="3"/>
  <c r="E94" i="3"/>
  <c r="F94" i="3"/>
  <c r="G94" i="3"/>
  <c r="H94" i="3"/>
  <c r="I94" i="3"/>
  <c r="J94" i="3"/>
  <c r="P94" i="3"/>
  <c r="Q94" i="3"/>
  <c r="R94" i="3"/>
  <c r="S94" i="3"/>
  <c r="T94" i="3"/>
  <c r="U94" i="3"/>
  <c r="W94" i="3"/>
  <c r="X94" i="3"/>
  <c r="Y94" i="3"/>
  <c r="Z94" i="3"/>
  <c r="AC94" i="3"/>
  <c r="AD94" i="3"/>
  <c r="AE94" i="3"/>
  <c r="AF94" i="3"/>
  <c r="AG94" i="3"/>
  <c r="AH94" i="3"/>
  <c r="AI94" i="3"/>
  <c r="AJ94" i="3"/>
  <c r="AK94" i="3"/>
  <c r="AL94" i="3"/>
  <c r="AN94" i="3"/>
  <c r="AO94" i="3"/>
  <c r="AP94" i="3"/>
  <c r="AQ94" i="3"/>
  <c r="AR94" i="3"/>
  <c r="AS94" i="3"/>
  <c r="AT94" i="3"/>
  <c r="AU94" i="3"/>
  <c r="AV94" i="3"/>
  <c r="D95" i="3"/>
  <c r="E95" i="3"/>
  <c r="F95" i="3"/>
  <c r="G95" i="3"/>
  <c r="H95" i="3"/>
  <c r="I95" i="3"/>
  <c r="Q95" i="3"/>
  <c r="R95" i="3"/>
  <c r="S95" i="3"/>
  <c r="T95" i="3"/>
  <c r="U95" i="3"/>
  <c r="W95" i="3"/>
  <c r="X95" i="3"/>
  <c r="Y95" i="3"/>
  <c r="Z95" i="3"/>
  <c r="AC95" i="3"/>
  <c r="AD95" i="3"/>
  <c r="AE95" i="3"/>
  <c r="AF95" i="3"/>
  <c r="AG95" i="3"/>
  <c r="AH95" i="3"/>
  <c r="AI95" i="3"/>
  <c r="AJ95" i="3"/>
  <c r="AK95" i="3"/>
  <c r="AL95" i="3"/>
  <c r="AN95" i="3"/>
  <c r="AO95" i="3"/>
  <c r="AP95" i="3"/>
  <c r="AQ95" i="3"/>
  <c r="AR95" i="3"/>
  <c r="AS95" i="3"/>
  <c r="AT95" i="3"/>
  <c r="AU95" i="3"/>
  <c r="AV95" i="3"/>
  <c r="D96" i="3"/>
  <c r="E96" i="3"/>
  <c r="F96" i="3"/>
  <c r="G96" i="3"/>
  <c r="H96" i="3"/>
  <c r="I96" i="3"/>
  <c r="Q96" i="3"/>
  <c r="R96" i="3"/>
  <c r="S96" i="3"/>
  <c r="T96" i="3"/>
  <c r="U96" i="3"/>
  <c r="W96" i="3"/>
  <c r="X96" i="3"/>
  <c r="Y96" i="3"/>
  <c r="Z96" i="3"/>
  <c r="AC96" i="3"/>
  <c r="AD96" i="3"/>
  <c r="AE96" i="3"/>
  <c r="AF96" i="3"/>
  <c r="AG96" i="3"/>
  <c r="AH96" i="3"/>
  <c r="AI96" i="3"/>
  <c r="AJ96" i="3"/>
  <c r="AK96" i="3"/>
  <c r="AL96" i="3"/>
  <c r="AN96" i="3"/>
  <c r="AO96" i="3"/>
  <c r="AP96" i="3"/>
  <c r="AQ96" i="3"/>
  <c r="AR96" i="3"/>
  <c r="AS96" i="3"/>
  <c r="AT96" i="3"/>
  <c r="AU96" i="3"/>
  <c r="AV96" i="3"/>
  <c r="D97" i="3"/>
  <c r="E97" i="3"/>
  <c r="F97" i="3"/>
  <c r="G97" i="3"/>
  <c r="H97" i="3"/>
  <c r="I97" i="3"/>
  <c r="Q97" i="3"/>
  <c r="R97" i="3"/>
  <c r="S97" i="3"/>
  <c r="T97" i="3"/>
  <c r="U97" i="3"/>
  <c r="W97" i="3"/>
  <c r="X97" i="3"/>
  <c r="Y97" i="3"/>
  <c r="Z97" i="3"/>
  <c r="AC97" i="3"/>
  <c r="AD97" i="3"/>
  <c r="AE97" i="3"/>
  <c r="AF97" i="3"/>
  <c r="AG97" i="3"/>
  <c r="AH97" i="3"/>
  <c r="AI97" i="3"/>
  <c r="AJ97" i="3"/>
  <c r="AK97" i="3"/>
  <c r="AL97" i="3"/>
  <c r="AN97" i="3"/>
  <c r="AO97" i="3"/>
  <c r="AP97" i="3"/>
  <c r="AQ97" i="3"/>
  <c r="AR97" i="3"/>
  <c r="AS97" i="3"/>
  <c r="AT97" i="3"/>
  <c r="AU97" i="3"/>
  <c r="AV97" i="3"/>
  <c r="D98" i="3"/>
  <c r="E98" i="3"/>
  <c r="F98" i="3"/>
  <c r="G98" i="3"/>
  <c r="H98" i="3"/>
  <c r="I98" i="3"/>
  <c r="Q98" i="3"/>
  <c r="R98" i="3"/>
  <c r="S98" i="3"/>
  <c r="T98" i="3"/>
  <c r="U98" i="3"/>
  <c r="W98" i="3"/>
  <c r="X98" i="3"/>
  <c r="Y98" i="3"/>
  <c r="Z98" i="3"/>
  <c r="AC98" i="3"/>
  <c r="AD98" i="3"/>
  <c r="AE98" i="3"/>
  <c r="AF98" i="3"/>
  <c r="AG98" i="3"/>
  <c r="AH98" i="3"/>
  <c r="AI98" i="3"/>
  <c r="AJ98" i="3"/>
  <c r="AK98" i="3"/>
  <c r="AL98" i="3"/>
  <c r="AN98" i="3"/>
  <c r="AO98" i="3"/>
  <c r="AP98" i="3"/>
  <c r="AQ98" i="3"/>
  <c r="AR98" i="3"/>
  <c r="AS98" i="3"/>
  <c r="AT98" i="3"/>
  <c r="AU98" i="3"/>
  <c r="AV98" i="3"/>
  <c r="D99" i="3"/>
  <c r="E99" i="3"/>
  <c r="F99" i="3"/>
  <c r="G99" i="3"/>
  <c r="H99" i="3"/>
  <c r="I99" i="3"/>
  <c r="Q99" i="3"/>
  <c r="R99" i="3"/>
  <c r="S99" i="3"/>
  <c r="T99" i="3"/>
  <c r="U99" i="3"/>
  <c r="W99" i="3"/>
  <c r="X99" i="3"/>
  <c r="Y99" i="3"/>
  <c r="Z99" i="3"/>
  <c r="AC99" i="3"/>
  <c r="AD99" i="3"/>
  <c r="AE99" i="3"/>
  <c r="AF99" i="3"/>
  <c r="AG99" i="3"/>
  <c r="AH99" i="3"/>
  <c r="AI99" i="3"/>
  <c r="AJ99" i="3"/>
  <c r="AK99" i="3"/>
  <c r="AL99" i="3"/>
  <c r="AN99" i="3"/>
  <c r="AO99" i="3"/>
  <c r="AP99" i="3"/>
  <c r="AQ99" i="3"/>
  <c r="AR99" i="3"/>
  <c r="AS99" i="3"/>
  <c r="AT99" i="3"/>
  <c r="AU99" i="3"/>
  <c r="AV99" i="3"/>
  <c r="D100" i="3"/>
  <c r="E100" i="3"/>
  <c r="F100" i="3"/>
  <c r="G100" i="3"/>
  <c r="H100" i="3"/>
  <c r="I100" i="3"/>
  <c r="Q100" i="3"/>
  <c r="R100" i="3"/>
  <c r="S100" i="3"/>
  <c r="T100" i="3"/>
  <c r="U100" i="3"/>
  <c r="W100" i="3"/>
  <c r="X100" i="3"/>
  <c r="Y100" i="3"/>
  <c r="Z100" i="3"/>
  <c r="AC100" i="3"/>
  <c r="AD100" i="3"/>
  <c r="AE100" i="3"/>
  <c r="AF100" i="3"/>
  <c r="AG100" i="3"/>
  <c r="AH100" i="3"/>
  <c r="AI100" i="3"/>
  <c r="AJ100" i="3"/>
  <c r="AK100" i="3"/>
  <c r="AL100" i="3"/>
  <c r="AN100" i="3"/>
  <c r="AO100" i="3"/>
  <c r="AP100" i="3"/>
  <c r="AQ100" i="3"/>
  <c r="AR100" i="3"/>
  <c r="AS100" i="3"/>
  <c r="AT100" i="3"/>
  <c r="AU100" i="3"/>
  <c r="AV100" i="3"/>
  <c r="D101" i="3"/>
  <c r="E101" i="3"/>
  <c r="F101" i="3"/>
  <c r="G101" i="3"/>
  <c r="H101" i="3"/>
  <c r="I101" i="3"/>
  <c r="Q101" i="3"/>
  <c r="R101" i="3"/>
  <c r="S101" i="3"/>
  <c r="T101" i="3"/>
  <c r="U101" i="3"/>
  <c r="W101" i="3"/>
  <c r="X101" i="3"/>
  <c r="Y101" i="3"/>
  <c r="Z101" i="3"/>
  <c r="AC101" i="3"/>
  <c r="AD101" i="3"/>
  <c r="AE101" i="3"/>
  <c r="AF101" i="3"/>
  <c r="AG101" i="3"/>
  <c r="AH101" i="3"/>
  <c r="AI101" i="3"/>
  <c r="AJ101" i="3"/>
  <c r="AK101" i="3"/>
  <c r="AL101" i="3"/>
  <c r="AN101" i="3"/>
  <c r="AO101" i="3"/>
  <c r="AP101" i="3"/>
  <c r="AQ101" i="3"/>
  <c r="AR101" i="3"/>
  <c r="AS101" i="3"/>
  <c r="AT101" i="3"/>
  <c r="AU101" i="3"/>
  <c r="AV101" i="3"/>
  <c r="D102" i="3"/>
  <c r="E102" i="3"/>
  <c r="F102" i="3"/>
  <c r="G102" i="3"/>
  <c r="H102" i="3"/>
  <c r="I102" i="3"/>
  <c r="Q102" i="3"/>
  <c r="R102" i="3"/>
  <c r="S102" i="3"/>
  <c r="T102" i="3"/>
  <c r="U102" i="3"/>
  <c r="W102" i="3"/>
  <c r="X102" i="3"/>
  <c r="Y102" i="3"/>
  <c r="Z102" i="3"/>
  <c r="AC102" i="3"/>
  <c r="AD102" i="3"/>
  <c r="AE102" i="3"/>
  <c r="AF102" i="3"/>
  <c r="AG102" i="3"/>
  <c r="AH102" i="3"/>
  <c r="AI102" i="3"/>
  <c r="AJ102" i="3"/>
  <c r="AK102" i="3"/>
  <c r="AL102" i="3"/>
  <c r="AN102" i="3"/>
  <c r="AO102" i="3"/>
  <c r="AP102" i="3"/>
  <c r="AQ102" i="3"/>
  <c r="AR102" i="3"/>
  <c r="AS102" i="3"/>
  <c r="AT102" i="3"/>
  <c r="AU102" i="3"/>
  <c r="AV102" i="3"/>
  <c r="D103" i="3"/>
  <c r="E103" i="3"/>
  <c r="F103" i="3"/>
  <c r="G103" i="3"/>
  <c r="H103" i="3"/>
  <c r="I103" i="3"/>
  <c r="Q103" i="3"/>
  <c r="R103" i="3"/>
  <c r="S103" i="3"/>
  <c r="T103" i="3"/>
  <c r="U103" i="3"/>
  <c r="W103" i="3"/>
  <c r="X103" i="3"/>
  <c r="Y103" i="3"/>
  <c r="Z103" i="3"/>
  <c r="AC103" i="3"/>
  <c r="AD103" i="3"/>
  <c r="AE103" i="3"/>
  <c r="AF103" i="3"/>
  <c r="AG103" i="3"/>
  <c r="AH103" i="3"/>
  <c r="AI103" i="3"/>
  <c r="AJ103" i="3"/>
  <c r="AK103" i="3"/>
  <c r="AL103" i="3"/>
  <c r="AN103" i="3"/>
  <c r="AO103" i="3"/>
  <c r="AP103" i="3"/>
  <c r="AQ103" i="3"/>
  <c r="AR103" i="3"/>
  <c r="AS103" i="3"/>
  <c r="AT103" i="3"/>
  <c r="AU103" i="3"/>
  <c r="AV103" i="3"/>
  <c r="D104" i="3"/>
  <c r="E104" i="3"/>
  <c r="F104" i="3"/>
  <c r="G104" i="3"/>
  <c r="H104" i="3"/>
  <c r="I104" i="3"/>
  <c r="Q104" i="3"/>
  <c r="R104" i="3"/>
  <c r="S104" i="3"/>
  <c r="T104" i="3"/>
  <c r="U104" i="3"/>
  <c r="W104" i="3"/>
  <c r="X104" i="3"/>
  <c r="Y104" i="3"/>
  <c r="Z104" i="3"/>
  <c r="AC104" i="3"/>
  <c r="AD104" i="3"/>
  <c r="AE104" i="3"/>
  <c r="AF104" i="3"/>
  <c r="AG104" i="3"/>
  <c r="AH104" i="3"/>
  <c r="AI104" i="3"/>
  <c r="AJ104" i="3"/>
  <c r="AK104" i="3"/>
  <c r="AL104" i="3"/>
  <c r="AN104" i="3"/>
  <c r="AO104" i="3"/>
  <c r="AP104" i="3"/>
  <c r="AQ104" i="3"/>
  <c r="AR104" i="3"/>
  <c r="AS104" i="3"/>
  <c r="AT104" i="3"/>
  <c r="AU104" i="3"/>
  <c r="AV104" i="3"/>
  <c r="D105" i="3"/>
  <c r="E105" i="3"/>
  <c r="F105" i="3"/>
  <c r="G105" i="3"/>
  <c r="H105" i="3"/>
  <c r="I105" i="3"/>
  <c r="Q105" i="3"/>
  <c r="R105" i="3"/>
  <c r="S105" i="3"/>
  <c r="T105" i="3"/>
  <c r="U105" i="3"/>
  <c r="W105" i="3"/>
  <c r="X105" i="3"/>
  <c r="Y105" i="3"/>
  <c r="Z105" i="3"/>
  <c r="AC105" i="3"/>
  <c r="AD105" i="3"/>
  <c r="AE105" i="3"/>
  <c r="AF105" i="3"/>
  <c r="AG105" i="3"/>
  <c r="AH105" i="3"/>
  <c r="AI105" i="3"/>
  <c r="AJ105" i="3"/>
  <c r="AK105" i="3"/>
  <c r="AL105" i="3"/>
  <c r="AN105" i="3"/>
  <c r="AO105" i="3"/>
  <c r="AP105" i="3"/>
  <c r="AQ105" i="3"/>
  <c r="AR105" i="3"/>
  <c r="AS105" i="3"/>
  <c r="AT105" i="3"/>
  <c r="AU105" i="3"/>
  <c r="AV105" i="3"/>
  <c r="D106" i="3"/>
  <c r="E106" i="3"/>
  <c r="F106" i="3"/>
  <c r="G106" i="3"/>
  <c r="H106" i="3"/>
  <c r="I106" i="3"/>
  <c r="Q106" i="3"/>
  <c r="R106" i="3"/>
  <c r="S106" i="3"/>
  <c r="T106" i="3"/>
  <c r="U106" i="3"/>
  <c r="W106" i="3"/>
  <c r="X106" i="3"/>
  <c r="Y106" i="3"/>
  <c r="Z106" i="3"/>
  <c r="AC106" i="3"/>
  <c r="AD106" i="3"/>
  <c r="AE106" i="3"/>
  <c r="AF106" i="3"/>
  <c r="AG106" i="3"/>
  <c r="AH106" i="3"/>
  <c r="AI106" i="3"/>
  <c r="AJ106" i="3"/>
  <c r="AK106" i="3"/>
  <c r="AL106" i="3"/>
  <c r="AN106" i="3"/>
  <c r="AO106" i="3"/>
  <c r="AP106" i="3"/>
  <c r="AQ106" i="3"/>
  <c r="AR106" i="3"/>
  <c r="AS106" i="3"/>
  <c r="AT106" i="3"/>
  <c r="AU106" i="3"/>
  <c r="AV106" i="3"/>
  <c r="D107" i="3"/>
  <c r="E107" i="3"/>
  <c r="F107" i="3"/>
  <c r="G107" i="3"/>
  <c r="H107" i="3"/>
  <c r="I107" i="3"/>
  <c r="Q107" i="3"/>
  <c r="R107" i="3"/>
  <c r="S107" i="3"/>
  <c r="T107" i="3"/>
  <c r="U107" i="3"/>
  <c r="W107" i="3"/>
  <c r="X107" i="3"/>
  <c r="Y107" i="3"/>
  <c r="Z107" i="3"/>
  <c r="AC107" i="3"/>
  <c r="AD107" i="3"/>
  <c r="AE107" i="3"/>
  <c r="AF107" i="3"/>
  <c r="AG107" i="3"/>
  <c r="AH107" i="3"/>
  <c r="AI107" i="3"/>
  <c r="AJ107" i="3"/>
  <c r="AK107" i="3"/>
  <c r="AL107" i="3"/>
  <c r="AN107" i="3"/>
  <c r="AO107" i="3"/>
  <c r="AP107" i="3"/>
  <c r="AQ107" i="3"/>
  <c r="AR107" i="3"/>
  <c r="AS107" i="3"/>
  <c r="AT107" i="3"/>
  <c r="AU107" i="3"/>
  <c r="AV107" i="3"/>
  <c r="D108" i="3"/>
  <c r="E108" i="3"/>
  <c r="F108" i="3"/>
  <c r="G108" i="3"/>
  <c r="H108" i="3"/>
  <c r="I108" i="3"/>
  <c r="Q108" i="3"/>
  <c r="R108" i="3"/>
  <c r="S108" i="3"/>
  <c r="T108" i="3"/>
  <c r="U108" i="3"/>
  <c r="W108" i="3"/>
  <c r="X108" i="3"/>
  <c r="Y108" i="3"/>
  <c r="Z108" i="3"/>
  <c r="AC108" i="3"/>
  <c r="AD108" i="3"/>
  <c r="AE108" i="3"/>
  <c r="AF108" i="3"/>
  <c r="AG108" i="3"/>
  <c r="AH108" i="3"/>
  <c r="AI108" i="3"/>
  <c r="AJ108" i="3"/>
  <c r="AK108" i="3"/>
  <c r="AL108" i="3"/>
  <c r="AN108" i="3"/>
  <c r="AO108" i="3"/>
  <c r="AP108" i="3"/>
  <c r="AQ108" i="3"/>
  <c r="AR108" i="3"/>
  <c r="AS108" i="3"/>
  <c r="AT108" i="3"/>
  <c r="AU108" i="3"/>
  <c r="AV108" i="3"/>
  <c r="D109" i="3"/>
  <c r="E109" i="3"/>
  <c r="F109" i="3"/>
  <c r="G109" i="3"/>
  <c r="H109" i="3"/>
  <c r="I109" i="3"/>
  <c r="Q109" i="3"/>
  <c r="R109" i="3"/>
  <c r="S109" i="3"/>
  <c r="T109" i="3"/>
  <c r="U109" i="3"/>
  <c r="W109" i="3"/>
  <c r="X109" i="3"/>
  <c r="Y109" i="3"/>
  <c r="Z109" i="3"/>
  <c r="AC109" i="3"/>
  <c r="AD109" i="3"/>
  <c r="AE109" i="3"/>
  <c r="AF109" i="3"/>
  <c r="AG109" i="3"/>
  <c r="AH109" i="3"/>
  <c r="AI109" i="3"/>
  <c r="AJ109" i="3"/>
  <c r="AK109" i="3"/>
  <c r="AL109" i="3"/>
  <c r="AN109" i="3"/>
  <c r="AO109" i="3"/>
  <c r="AP109" i="3"/>
  <c r="AQ109" i="3"/>
  <c r="AR109" i="3"/>
  <c r="AS109" i="3"/>
  <c r="AT109" i="3"/>
  <c r="AU109" i="3"/>
  <c r="AV109" i="3"/>
  <c r="D110" i="3"/>
  <c r="E110" i="3"/>
  <c r="F110" i="3"/>
  <c r="G110" i="3"/>
  <c r="H110" i="3"/>
  <c r="I110" i="3"/>
  <c r="Q110" i="3"/>
  <c r="R110" i="3"/>
  <c r="S110" i="3"/>
  <c r="T110" i="3"/>
  <c r="U110" i="3"/>
  <c r="W110" i="3"/>
  <c r="X110" i="3"/>
  <c r="Y110" i="3"/>
  <c r="Z110" i="3"/>
  <c r="AC110" i="3"/>
  <c r="AD110" i="3"/>
  <c r="AE110" i="3"/>
  <c r="AF110" i="3"/>
  <c r="AG110" i="3"/>
  <c r="AH110" i="3"/>
  <c r="AI110" i="3"/>
  <c r="AJ110" i="3"/>
  <c r="AK110" i="3"/>
  <c r="AL110" i="3"/>
  <c r="AN110" i="3"/>
  <c r="AO110" i="3"/>
  <c r="AP110" i="3"/>
  <c r="AQ110" i="3"/>
  <c r="AR110" i="3"/>
  <c r="AS110" i="3"/>
  <c r="AT110" i="3"/>
  <c r="AU110" i="3"/>
  <c r="AV110" i="3"/>
  <c r="D111" i="3"/>
  <c r="E111" i="3"/>
  <c r="F111" i="3"/>
  <c r="G111" i="3"/>
  <c r="H111" i="3"/>
  <c r="I111" i="3"/>
  <c r="Q111" i="3"/>
  <c r="R111" i="3"/>
  <c r="S111" i="3"/>
  <c r="T111" i="3"/>
  <c r="U111" i="3"/>
  <c r="W111" i="3"/>
  <c r="X111" i="3"/>
  <c r="Y111" i="3"/>
  <c r="Z111" i="3"/>
  <c r="AC111" i="3"/>
  <c r="AD111" i="3"/>
  <c r="AE111" i="3"/>
  <c r="AF111" i="3"/>
  <c r="AG111" i="3"/>
  <c r="AH111" i="3"/>
  <c r="AI111" i="3"/>
  <c r="AJ111" i="3"/>
  <c r="AK111" i="3"/>
  <c r="AL111" i="3"/>
  <c r="AN111" i="3"/>
  <c r="AO111" i="3"/>
  <c r="AP111" i="3"/>
  <c r="AQ111" i="3"/>
  <c r="AR111" i="3"/>
  <c r="AS111" i="3"/>
  <c r="AT111" i="3"/>
  <c r="AU111" i="3"/>
  <c r="AV111" i="3"/>
  <c r="D112" i="3"/>
  <c r="E112" i="3"/>
  <c r="F112" i="3"/>
  <c r="G112" i="3"/>
  <c r="H112" i="3"/>
  <c r="I112" i="3"/>
  <c r="Q112" i="3"/>
  <c r="R112" i="3"/>
  <c r="S112" i="3"/>
  <c r="T112" i="3"/>
  <c r="U112" i="3"/>
  <c r="W112" i="3"/>
  <c r="X112" i="3"/>
  <c r="Y112" i="3"/>
  <c r="Z112" i="3"/>
  <c r="AC112" i="3"/>
  <c r="AD112" i="3"/>
  <c r="AE112" i="3"/>
  <c r="AF112" i="3"/>
  <c r="AG112" i="3"/>
  <c r="AH112" i="3"/>
  <c r="AI112" i="3"/>
  <c r="AJ112" i="3"/>
  <c r="AK112" i="3"/>
  <c r="AL112" i="3"/>
  <c r="AN112" i="3"/>
  <c r="AO112" i="3"/>
  <c r="AP112" i="3"/>
  <c r="AQ112" i="3"/>
  <c r="AR112" i="3"/>
  <c r="AS112" i="3"/>
  <c r="AT112" i="3"/>
  <c r="AU112" i="3"/>
  <c r="AV112" i="3"/>
  <c r="D113" i="3"/>
  <c r="E113" i="3"/>
  <c r="F113" i="3"/>
  <c r="G113" i="3"/>
  <c r="H113" i="3"/>
  <c r="I113" i="3"/>
  <c r="Q113" i="3"/>
  <c r="R113" i="3"/>
  <c r="S113" i="3"/>
  <c r="T113" i="3"/>
  <c r="U113" i="3"/>
  <c r="W113" i="3"/>
  <c r="X113" i="3"/>
  <c r="Y113" i="3"/>
  <c r="Z113" i="3"/>
  <c r="AC113" i="3"/>
  <c r="AD113" i="3"/>
  <c r="AE113" i="3"/>
  <c r="AF113" i="3"/>
  <c r="AG113" i="3"/>
  <c r="AH113" i="3"/>
  <c r="AI113" i="3"/>
  <c r="AJ113" i="3"/>
  <c r="AK113" i="3"/>
  <c r="AL113" i="3"/>
  <c r="AN113" i="3"/>
  <c r="AO113" i="3"/>
  <c r="AP113" i="3"/>
  <c r="AQ113" i="3"/>
  <c r="AR113" i="3"/>
  <c r="AS113" i="3"/>
  <c r="AT113" i="3"/>
  <c r="AU113" i="3"/>
  <c r="AV113" i="3"/>
  <c r="D114" i="3"/>
  <c r="E114" i="3"/>
  <c r="F114" i="3"/>
  <c r="G114" i="3"/>
  <c r="H114" i="3"/>
  <c r="I114" i="3"/>
  <c r="Q114" i="3"/>
  <c r="R114" i="3"/>
  <c r="S114" i="3"/>
  <c r="T114" i="3"/>
  <c r="U114" i="3"/>
  <c r="W114" i="3"/>
  <c r="X114" i="3"/>
  <c r="Y114" i="3"/>
  <c r="Z114" i="3"/>
  <c r="AC114" i="3"/>
  <c r="AD114" i="3"/>
  <c r="AE114" i="3"/>
  <c r="AF114" i="3"/>
  <c r="AG114" i="3"/>
  <c r="AH114" i="3"/>
  <c r="AI114" i="3"/>
  <c r="AJ114" i="3"/>
  <c r="AK114" i="3"/>
  <c r="AL114" i="3"/>
  <c r="AN114" i="3"/>
  <c r="AO114" i="3"/>
  <c r="AP114" i="3"/>
  <c r="AQ114" i="3"/>
  <c r="AR114" i="3"/>
  <c r="AS114" i="3"/>
  <c r="AT114" i="3"/>
  <c r="AU114" i="3"/>
  <c r="AV114" i="3"/>
  <c r="D115" i="3"/>
  <c r="E115" i="3"/>
  <c r="F115" i="3"/>
  <c r="G115" i="3"/>
  <c r="H115" i="3"/>
  <c r="I115" i="3"/>
  <c r="Q115" i="3"/>
  <c r="R115" i="3"/>
  <c r="S115" i="3"/>
  <c r="T115" i="3"/>
  <c r="U115" i="3"/>
  <c r="W115" i="3"/>
  <c r="X115" i="3"/>
  <c r="Y115" i="3"/>
  <c r="Z115" i="3"/>
  <c r="AC115" i="3"/>
  <c r="AD115" i="3"/>
  <c r="AE115" i="3"/>
  <c r="AF115" i="3"/>
  <c r="AG115" i="3"/>
  <c r="AH115" i="3"/>
  <c r="AI115" i="3"/>
  <c r="AJ115" i="3"/>
  <c r="AK115" i="3"/>
  <c r="AL115" i="3"/>
  <c r="AN115" i="3"/>
  <c r="AO115" i="3"/>
  <c r="AP115" i="3"/>
  <c r="AQ115" i="3"/>
  <c r="AR115" i="3"/>
  <c r="AS115" i="3"/>
  <c r="AT115" i="3"/>
  <c r="AU115" i="3"/>
  <c r="AV115" i="3"/>
  <c r="D116" i="3"/>
  <c r="E116" i="3"/>
  <c r="F116" i="3"/>
  <c r="G116" i="3"/>
  <c r="H116" i="3"/>
  <c r="I116" i="3"/>
  <c r="Q116" i="3"/>
  <c r="R116" i="3"/>
  <c r="S116" i="3"/>
  <c r="T116" i="3"/>
  <c r="U116" i="3"/>
  <c r="W116" i="3"/>
  <c r="X116" i="3"/>
  <c r="Y116" i="3"/>
  <c r="Z116" i="3"/>
  <c r="AC116" i="3"/>
  <c r="AD116" i="3"/>
  <c r="AE116" i="3"/>
  <c r="AF116" i="3"/>
  <c r="AG116" i="3"/>
  <c r="AH116" i="3"/>
  <c r="AI116" i="3"/>
  <c r="AJ116" i="3"/>
  <c r="AK116" i="3"/>
  <c r="AL116" i="3"/>
  <c r="AN116" i="3"/>
  <c r="AO116" i="3"/>
  <c r="AP116" i="3"/>
  <c r="AQ116" i="3"/>
  <c r="AR116" i="3"/>
  <c r="AS116" i="3"/>
  <c r="AT116" i="3"/>
  <c r="AU116" i="3"/>
  <c r="AV116" i="3"/>
  <c r="D117" i="3"/>
  <c r="E117" i="3"/>
  <c r="F117" i="3"/>
  <c r="G117" i="3"/>
  <c r="H117" i="3"/>
  <c r="I117" i="3"/>
  <c r="Q117" i="3"/>
  <c r="R117" i="3"/>
  <c r="S117" i="3"/>
  <c r="T117" i="3"/>
  <c r="U117" i="3"/>
  <c r="W117" i="3"/>
  <c r="X117" i="3"/>
  <c r="Y117" i="3"/>
  <c r="Z117" i="3"/>
  <c r="AC117" i="3"/>
  <c r="AD117" i="3"/>
  <c r="AE117" i="3"/>
  <c r="AF117" i="3"/>
  <c r="AG117" i="3"/>
  <c r="AH117" i="3"/>
  <c r="AI117" i="3"/>
  <c r="AJ117" i="3"/>
  <c r="AK117" i="3"/>
  <c r="AL117" i="3"/>
  <c r="AN117" i="3"/>
  <c r="AO117" i="3"/>
  <c r="AP117" i="3"/>
  <c r="AQ117" i="3"/>
  <c r="AR117" i="3"/>
  <c r="AS117" i="3"/>
  <c r="AT117" i="3"/>
  <c r="AU117" i="3"/>
  <c r="AV117" i="3"/>
  <c r="D118" i="3"/>
  <c r="E118" i="3"/>
  <c r="F118" i="3"/>
  <c r="G118" i="3"/>
  <c r="H118" i="3"/>
  <c r="I118" i="3"/>
  <c r="Q118" i="3"/>
  <c r="R118" i="3"/>
  <c r="S118" i="3"/>
  <c r="T118" i="3"/>
  <c r="U118" i="3"/>
  <c r="W118" i="3"/>
  <c r="X118" i="3"/>
  <c r="Y118" i="3"/>
  <c r="Z118" i="3"/>
  <c r="AC118" i="3"/>
  <c r="AD118" i="3"/>
  <c r="AE118" i="3"/>
  <c r="AF118" i="3"/>
  <c r="AG118" i="3"/>
  <c r="AH118" i="3"/>
  <c r="AI118" i="3"/>
  <c r="AJ118" i="3"/>
  <c r="AK118" i="3"/>
  <c r="AL118" i="3"/>
  <c r="AN118" i="3"/>
  <c r="AO118" i="3"/>
  <c r="AP118" i="3"/>
  <c r="AQ118" i="3"/>
  <c r="AR118" i="3"/>
  <c r="AS118" i="3"/>
  <c r="AT118" i="3"/>
  <c r="AU118" i="3"/>
  <c r="AV118" i="3"/>
  <c r="D119" i="3"/>
  <c r="E119" i="3"/>
  <c r="F119" i="3"/>
  <c r="G119" i="3"/>
  <c r="H119" i="3"/>
  <c r="I119" i="3"/>
  <c r="Q119" i="3"/>
  <c r="R119" i="3"/>
  <c r="S119" i="3"/>
  <c r="T119" i="3"/>
  <c r="U119" i="3"/>
  <c r="W119" i="3"/>
  <c r="X119" i="3"/>
  <c r="Y119" i="3"/>
  <c r="Z119" i="3"/>
  <c r="AC119" i="3"/>
  <c r="AD119" i="3"/>
  <c r="AE119" i="3"/>
  <c r="AF119" i="3"/>
  <c r="AG119" i="3"/>
  <c r="AH119" i="3"/>
  <c r="AI119" i="3"/>
  <c r="AJ119" i="3"/>
  <c r="AK119" i="3"/>
  <c r="AL119" i="3"/>
  <c r="AN119" i="3"/>
  <c r="AO119" i="3"/>
  <c r="AP119" i="3"/>
  <c r="AQ119" i="3"/>
  <c r="AR119" i="3"/>
  <c r="AS119" i="3"/>
  <c r="AT119" i="3"/>
  <c r="AU119" i="3"/>
  <c r="AV119" i="3"/>
  <c r="D120" i="3"/>
  <c r="E120" i="3"/>
  <c r="F120" i="3"/>
  <c r="G120" i="3"/>
  <c r="H120" i="3"/>
  <c r="I120" i="3"/>
  <c r="Q120" i="3"/>
  <c r="R120" i="3"/>
  <c r="S120" i="3"/>
  <c r="T120" i="3"/>
  <c r="U120" i="3"/>
  <c r="W120" i="3"/>
  <c r="X120" i="3"/>
  <c r="Y120" i="3"/>
  <c r="Z120" i="3"/>
  <c r="AC120" i="3"/>
  <c r="AD120" i="3"/>
  <c r="AE120" i="3"/>
  <c r="AF120" i="3"/>
  <c r="AG120" i="3"/>
  <c r="AH120" i="3"/>
  <c r="AI120" i="3"/>
  <c r="AJ120" i="3"/>
  <c r="AK120" i="3"/>
  <c r="AL120" i="3"/>
  <c r="AN120" i="3"/>
  <c r="AO120" i="3"/>
  <c r="AP120" i="3"/>
  <c r="AQ120" i="3"/>
  <c r="AR120" i="3"/>
  <c r="AS120" i="3"/>
  <c r="AT120" i="3"/>
  <c r="AU120" i="3"/>
  <c r="AV120" i="3"/>
  <c r="D121" i="3"/>
  <c r="E121" i="3"/>
  <c r="F121" i="3"/>
  <c r="G121" i="3"/>
  <c r="H121" i="3"/>
  <c r="I121" i="3"/>
  <c r="Q121" i="3"/>
  <c r="R121" i="3"/>
  <c r="S121" i="3"/>
  <c r="T121" i="3"/>
  <c r="U121" i="3"/>
  <c r="W121" i="3"/>
  <c r="X121" i="3"/>
  <c r="Y121" i="3"/>
  <c r="Z121" i="3"/>
  <c r="AC121" i="3"/>
  <c r="AD121" i="3"/>
  <c r="AE121" i="3"/>
  <c r="AF121" i="3"/>
  <c r="AG121" i="3"/>
  <c r="AH121" i="3"/>
  <c r="AI121" i="3"/>
  <c r="AJ121" i="3"/>
  <c r="AK121" i="3"/>
  <c r="AL121" i="3"/>
  <c r="AN121" i="3"/>
  <c r="AO121" i="3"/>
  <c r="AP121" i="3"/>
  <c r="AQ121" i="3"/>
  <c r="AR121" i="3"/>
  <c r="AS121" i="3"/>
  <c r="AT121" i="3"/>
  <c r="AU121" i="3"/>
  <c r="AV121" i="3"/>
  <c r="D122" i="3"/>
  <c r="E122" i="3"/>
  <c r="F122" i="3"/>
  <c r="G122" i="3"/>
  <c r="H122" i="3"/>
  <c r="I122" i="3"/>
  <c r="Q122" i="3"/>
  <c r="R122" i="3"/>
  <c r="S122" i="3"/>
  <c r="T122" i="3"/>
  <c r="U122" i="3"/>
  <c r="W122" i="3"/>
  <c r="X122" i="3"/>
  <c r="Y122" i="3"/>
  <c r="Z122" i="3"/>
  <c r="AC122" i="3"/>
  <c r="AD122" i="3"/>
  <c r="AE122" i="3"/>
  <c r="AF122" i="3"/>
  <c r="AG122" i="3"/>
  <c r="AH122" i="3"/>
  <c r="AI122" i="3"/>
  <c r="AJ122" i="3"/>
  <c r="AK122" i="3"/>
  <c r="AL122" i="3"/>
  <c r="AN122" i="3"/>
  <c r="AO122" i="3"/>
  <c r="AP122" i="3"/>
  <c r="AQ122" i="3"/>
  <c r="AR122" i="3"/>
  <c r="AS122" i="3"/>
  <c r="AT122" i="3"/>
  <c r="AU122" i="3"/>
  <c r="AV122" i="3"/>
  <c r="D123" i="3"/>
  <c r="E123" i="3"/>
  <c r="F123" i="3"/>
  <c r="G123" i="3"/>
  <c r="H123" i="3"/>
  <c r="I123" i="3"/>
  <c r="Q123" i="3"/>
  <c r="R123" i="3"/>
  <c r="S123" i="3"/>
  <c r="T123" i="3"/>
  <c r="U123" i="3"/>
  <c r="W123" i="3"/>
  <c r="X123" i="3"/>
  <c r="Y123" i="3"/>
  <c r="Z123" i="3"/>
  <c r="AC123" i="3"/>
  <c r="AD123" i="3"/>
  <c r="AE123" i="3"/>
  <c r="AF123" i="3"/>
  <c r="AG123" i="3"/>
  <c r="AH123" i="3"/>
  <c r="AI123" i="3"/>
  <c r="AJ123" i="3"/>
  <c r="AK123" i="3"/>
  <c r="AL123" i="3"/>
  <c r="AN123" i="3"/>
  <c r="AO123" i="3"/>
  <c r="AP123" i="3"/>
  <c r="AQ123" i="3"/>
  <c r="AR123" i="3"/>
  <c r="AS123" i="3"/>
  <c r="AT123" i="3"/>
  <c r="AU123" i="3"/>
  <c r="AV123" i="3"/>
  <c r="D124" i="3"/>
  <c r="E124" i="3"/>
  <c r="F124" i="3"/>
  <c r="G124" i="3"/>
  <c r="H124" i="3"/>
  <c r="I124" i="3"/>
  <c r="Q124" i="3"/>
  <c r="R124" i="3"/>
  <c r="S124" i="3"/>
  <c r="T124" i="3"/>
  <c r="U124" i="3"/>
  <c r="W124" i="3"/>
  <c r="X124" i="3"/>
  <c r="Y124" i="3"/>
  <c r="Z124" i="3"/>
  <c r="AC124" i="3"/>
  <c r="AD124" i="3"/>
  <c r="AE124" i="3"/>
  <c r="AF124" i="3"/>
  <c r="AG124" i="3"/>
  <c r="AH124" i="3"/>
  <c r="AI124" i="3"/>
  <c r="AJ124" i="3"/>
  <c r="AK124" i="3"/>
  <c r="AL124" i="3"/>
  <c r="AN124" i="3"/>
  <c r="AO124" i="3"/>
  <c r="AP124" i="3"/>
  <c r="AQ124" i="3"/>
  <c r="AR124" i="3"/>
  <c r="AS124" i="3"/>
  <c r="AT124" i="3"/>
  <c r="AU124" i="3"/>
  <c r="AV124" i="3"/>
  <c r="D125" i="3"/>
  <c r="E125" i="3"/>
  <c r="F125" i="3"/>
  <c r="G125" i="3"/>
  <c r="H125" i="3"/>
  <c r="I125" i="3"/>
  <c r="Q125" i="3"/>
  <c r="R125" i="3"/>
  <c r="S125" i="3"/>
  <c r="T125" i="3"/>
  <c r="U125" i="3"/>
  <c r="W125" i="3"/>
  <c r="X125" i="3"/>
  <c r="Y125" i="3"/>
  <c r="Z125" i="3"/>
  <c r="AC125" i="3"/>
  <c r="AD125" i="3"/>
  <c r="AE125" i="3"/>
  <c r="AF125" i="3"/>
  <c r="AG125" i="3"/>
  <c r="AH125" i="3"/>
  <c r="AI125" i="3"/>
  <c r="AJ125" i="3"/>
  <c r="AK125" i="3"/>
  <c r="AL125" i="3"/>
  <c r="AN125" i="3"/>
  <c r="AO125" i="3"/>
  <c r="AP125" i="3"/>
  <c r="AQ125" i="3"/>
  <c r="AR125" i="3"/>
  <c r="AS125" i="3"/>
  <c r="AT125" i="3"/>
  <c r="AU125" i="3"/>
  <c r="AV125" i="3"/>
  <c r="D126" i="3"/>
  <c r="E126" i="3"/>
  <c r="F126" i="3"/>
  <c r="G126" i="3"/>
  <c r="H126" i="3"/>
  <c r="I126" i="3"/>
  <c r="Q126" i="3"/>
  <c r="R126" i="3"/>
  <c r="S126" i="3"/>
  <c r="T126" i="3"/>
  <c r="U126" i="3"/>
  <c r="W126" i="3"/>
  <c r="X126" i="3"/>
  <c r="Y126" i="3"/>
  <c r="Z126" i="3"/>
  <c r="AC126" i="3"/>
  <c r="AD126" i="3"/>
  <c r="AE126" i="3"/>
  <c r="AF126" i="3"/>
  <c r="AG126" i="3"/>
  <c r="AH126" i="3"/>
  <c r="AI126" i="3"/>
  <c r="AJ126" i="3"/>
  <c r="AK126" i="3"/>
  <c r="AL126" i="3"/>
  <c r="AN126" i="3"/>
  <c r="AO126" i="3"/>
  <c r="AP126" i="3"/>
  <c r="AQ126" i="3"/>
  <c r="AR126" i="3"/>
  <c r="AS126" i="3"/>
  <c r="AT126" i="3"/>
  <c r="AU126" i="3"/>
  <c r="AV126" i="3"/>
  <c r="D127" i="3"/>
  <c r="E127" i="3"/>
  <c r="F127" i="3"/>
  <c r="G127" i="3"/>
  <c r="H127" i="3"/>
  <c r="I127" i="3"/>
  <c r="Q127" i="3"/>
  <c r="R127" i="3"/>
  <c r="S127" i="3"/>
  <c r="T127" i="3"/>
  <c r="U127" i="3"/>
  <c r="W127" i="3"/>
  <c r="X127" i="3"/>
  <c r="Y127" i="3"/>
  <c r="Z127" i="3"/>
  <c r="AC127" i="3"/>
  <c r="AD127" i="3"/>
  <c r="AE127" i="3"/>
  <c r="AF127" i="3"/>
  <c r="AG127" i="3"/>
  <c r="AH127" i="3"/>
  <c r="AI127" i="3"/>
  <c r="AJ127" i="3"/>
  <c r="AK127" i="3"/>
  <c r="AL127" i="3"/>
  <c r="AN127" i="3"/>
  <c r="AO127" i="3"/>
  <c r="AP127" i="3"/>
  <c r="AQ127" i="3"/>
  <c r="AR127" i="3"/>
  <c r="AS127" i="3"/>
  <c r="AT127" i="3"/>
  <c r="AU127" i="3"/>
  <c r="AV127" i="3"/>
  <c r="D128" i="3"/>
  <c r="E128" i="3"/>
  <c r="F128" i="3"/>
  <c r="G128" i="3"/>
  <c r="H128" i="3"/>
  <c r="I128" i="3"/>
  <c r="Q128" i="3"/>
  <c r="R128" i="3"/>
  <c r="S128" i="3"/>
  <c r="T128" i="3"/>
  <c r="U128" i="3"/>
  <c r="W128" i="3"/>
  <c r="X128" i="3"/>
  <c r="Y128" i="3"/>
  <c r="Z128" i="3"/>
  <c r="AC128" i="3"/>
  <c r="AD128" i="3"/>
  <c r="AE128" i="3"/>
  <c r="AF128" i="3"/>
  <c r="AG128" i="3"/>
  <c r="AH128" i="3"/>
  <c r="AI128" i="3"/>
  <c r="AJ128" i="3"/>
  <c r="AK128" i="3"/>
  <c r="AL128" i="3"/>
  <c r="AN128" i="3"/>
  <c r="AO128" i="3"/>
  <c r="AP128" i="3"/>
  <c r="AQ128" i="3"/>
  <c r="AR128" i="3"/>
  <c r="AS128" i="3"/>
  <c r="AT128" i="3"/>
  <c r="AU128" i="3"/>
  <c r="AV128" i="3"/>
  <c r="D129" i="3"/>
  <c r="E129" i="3"/>
  <c r="F129" i="3"/>
  <c r="G129" i="3"/>
  <c r="H129" i="3"/>
  <c r="I129" i="3"/>
  <c r="Q129" i="3"/>
  <c r="R129" i="3"/>
  <c r="S129" i="3"/>
  <c r="T129" i="3"/>
  <c r="U129" i="3"/>
  <c r="W129" i="3"/>
  <c r="X129" i="3"/>
  <c r="Y129" i="3"/>
  <c r="Z129" i="3"/>
  <c r="AC129" i="3"/>
  <c r="AD129" i="3"/>
  <c r="AE129" i="3"/>
  <c r="AF129" i="3"/>
  <c r="AG129" i="3"/>
  <c r="AH129" i="3"/>
  <c r="AI129" i="3"/>
  <c r="AJ129" i="3"/>
  <c r="AK129" i="3"/>
  <c r="AL129" i="3"/>
  <c r="AN129" i="3"/>
  <c r="AO129" i="3"/>
  <c r="AP129" i="3"/>
  <c r="AQ129" i="3"/>
  <c r="AR129" i="3"/>
  <c r="AS129" i="3"/>
  <c r="AT129" i="3"/>
  <c r="AU129" i="3"/>
  <c r="AV129" i="3"/>
  <c r="D130" i="3"/>
  <c r="E130" i="3"/>
  <c r="F130" i="3"/>
  <c r="G130" i="3"/>
  <c r="H130" i="3"/>
  <c r="I130" i="3"/>
  <c r="Q130" i="3"/>
  <c r="R130" i="3"/>
  <c r="S130" i="3"/>
  <c r="T130" i="3"/>
  <c r="U130" i="3"/>
  <c r="W130" i="3"/>
  <c r="X130" i="3"/>
  <c r="Y130" i="3"/>
  <c r="Z130" i="3"/>
  <c r="AC130" i="3"/>
  <c r="AD130" i="3"/>
  <c r="AE130" i="3"/>
  <c r="AF130" i="3"/>
  <c r="AG130" i="3"/>
  <c r="AH130" i="3"/>
  <c r="AI130" i="3"/>
  <c r="AJ130" i="3"/>
  <c r="AK130" i="3"/>
  <c r="AL130" i="3"/>
  <c r="AN130" i="3"/>
  <c r="AO130" i="3"/>
  <c r="AP130" i="3"/>
  <c r="AQ130" i="3"/>
  <c r="AR130" i="3"/>
  <c r="AS130" i="3"/>
  <c r="AT130" i="3"/>
  <c r="AU130" i="3"/>
  <c r="AV130" i="3"/>
  <c r="D131" i="3"/>
  <c r="E131" i="3"/>
  <c r="F131" i="3"/>
  <c r="G131" i="3"/>
  <c r="H131" i="3"/>
  <c r="I131" i="3"/>
  <c r="Q131" i="3"/>
  <c r="R131" i="3"/>
  <c r="S131" i="3"/>
  <c r="T131" i="3"/>
  <c r="U131" i="3"/>
  <c r="W131" i="3"/>
  <c r="X131" i="3"/>
  <c r="Y131" i="3"/>
  <c r="Z131" i="3"/>
  <c r="AC131" i="3"/>
  <c r="AD131" i="3"/>
  <c r="AE131" i="3"/>
  <c r="AF131" i="3"/>
  <c r="AG131" i="3"/>
  <c r="AH131" i="3"/>
  <c r="AI131" i="3"/>
  <c r="AJ131" i="3"/>
  <c r="AK131" i="3"/>
  <c r="AL131" i="3"/>
  <c r="AN131" i="3"/>
  <c r="AO131" i="3"/>
  <c r="AP131" i="3"/>
  <c r="AQ131" i="3"/>
  <c r="AR131" i="3"/>
  <c r="AS131" i="3"/>
  <c r="AT131" i="3"/>
  <c r="AU131" i="3"/>
  <c r="AV131" i="3"/>
  <c r="D132" i="3"/>
  <c r="E132" i="3"/>
  <c r="F132" i="3"/>
  <c r="G132" i="3"/>
  <c r="H132" i="3"/>
  <c r="I132" i="3"/>
  <c r="Q132" i="3"/>
  <c r="R132" i="3"/>
  <c r="S132" i="3"/>
  <c r="T132" i="3"/>
  <c r="U132" i="3"/>
  <c r="W132" i="3"/>
  <c r="X132" i="3"/>
  <c r="Y132" i="3"/>
  <c r="Z132" i="3"/>
  <c r="AC132" i="3"/>
  <c r="AD132" i="3"/>
  <c r="AE132" i="3"/>
  <c r="AF132" i="3"/>
  <c r="AG132" i="3"/>
  <c r="AH132" i="3"/>
  <c r="AI132" i="3"/>
  <c r="AJ132" i="3"/>
  <c r="AK132" i="3"/>
  <c r="AL132" i="3"/>
  <c r="AN132" i="3"/>
  <c r="AO132" i="3"/>
  <c r="AP132" i="3"/>
  <c r="AQ132" i="3"/>
  <c r="AR132" i="3"/>
  <c r="AS132" i="3"/>
  <c r="AT132" i="3"/>
  <c r="AU132" i="3"/>
  <c r="AV132" i="3"/>
  <c r="D134" i="3"/>
  <c r="E134" i="3"/>
  <c r="F134" i="3"/>
  <c r="G134" i="3"/>
  <c r="H134" i="3"/>
  <c r="I134" i="3"/>
  <c r="Q134" i="3"/>
  <c r="R134" i="3"/>
  <c r="S134" i="3"/>
  <c r="T134" i="3"/>
  <c r="U134" i="3"/>
  <c r="W134" i="3"/>
  <c r="X134" i="3"/>
  <c r="Y134" i="3"/>
  <c r="Z134" i="3"/>
  <c r="AC134" i="3"/>
  <c r="AD134" i="3"/>
  <c r="AE134" i="3"/>
  <c r="AF134" i="3"/>
  <c r="AG134" i="3"/>
  <c r="AH134" i="3"/>
  <c r="AI134" i="3"/>
  <c r="AJ134" i="3"/>
  <c r="AK134" i="3"/>
  <c r="AL134" i="3"/>
  <c r="AN134" i="3"/>
  <c r="AO134" i="3"/>
  <c r="AP134" i="3"/>
  <c r="AQ134" i="3"/>
  <c r="AR134" i="3"/>
  <c r="AS134" i="3"/>
  <c r="AT134" i="3"/>
  <c r="AU134" i="3"/>
  <c r="AV134" i="3"/>
  <c r="D135" i="3"/>
  <c r="E135" i="3"/>
  <c r="F135" i="3"/>
  <c r="G135" i="3"/>
  <c r="H135" i="3"/>
  <c r="I135" i="3"/>
  <c r="Q135" i="3"/>
  <c r="R135" i="3"/>
  <c r="S135" i="3"/>
  <c r="T135" i="3"/>
  <c r="U135" i="3"/>
  <c r="W135" i="3"/>
  <c r="X135" i="3"/>
  <c r="Y135" i="3"/>
  <c r="Z135" i="3"/>
  <c r="AC135" i="3"/>
  <c r="AD135" i="3"/>
  <c r="AE135" i="3"/>
  <c r="AF135" i="3"/>
  <c r="AG135" i="3"/>
  <c r="AH135" i="3"/>
  <c r="AI135" i="3"/>
  <c r="AJ135" i="3"/>
  <c r="AK135" i="3"/>
  <c r="AL135" i="3"/>
  <c r="AN135" i="3"/>
  <c r="AO135" i="3"/>
  <c r="AP135" i="3"/>
  <c r="AQ135" i="3"/>
  <c r="AR135" i="3"/>
  <c r="AS135" i="3"/>
  <c r="AT135" i="3"/>
  <c r="AU135" i="3"/>
  <c r="AV135" i="3"/>
  <c r="D136" i="3"/>
  <c r="E136" i="3"/>
  <c r="F136" i="3"/>
  <c r="G136" i="3"/>
  <c r="H136" i="3"/>
  <c r="I136" i="3"/>
  <c r="Q136" i="3"/>
  <c r="R136" i="3"/>
  <c r="S136" i="3"/>
  <c r="T136" i="3"/>
  <c r="U136" i="3"/>
  <c r="W136" i="3"/>
  <c r="X136" i="3"/>
  <c r="Y136" i="3"/>
  <c r="Z136" i="3"/>
  <c r="AC136" i="3"/>
  <c r="AD136" i="3"/>
  <c r="AE136" i="3"/>
  <c r="AF136" i="3"/>
  <c r="AG136" i="3"/>
  <c r="AH136" i="3"/>
  <c r="AI136" i="3"/>
  <c r="AJ136" i="3"/>
  <c r="AK136" i="3"/>
  <c r="AL136" i="3"/>
  <c r="AN136" i="3"/>
  <c r="AO136" i="3"/>
  <c r="AP136" i="3"/>
  <c r="AQ136" i="3"/>
  <c r="AR136" i="3"/>
  <c r="AS136" i="3"/>
  <c r="AT136" i="3"/>
  <c r="AU136" i="3"/>
  <c r="AV136" i="3"/>
  <c r="D138" i="3"/>
  <c r="E138" i="3"/>
  <c r="F138" i="3"/>
  <c r="G138" i="3"/>
  <c r="H138" i="3"/>
  <c r="I138" i="3"/>
  <c r="Q138" i="3"/>
  <c r="R138" i="3"/>
  <c r="S138" i="3"/>
  <c r="T138" i="3"/>
  <c r="U138" i="3"/>
  <c r="W138" i="3"/>
  <c r="X138" i="3"/>
  <c r="Y138" i="3"/>
  <c r="Z138" i="3"/>
  <c r="AC138" i="3"/>
  <c r="AD138" i="3"/>
  <c r="AE138" i="3"/>
  <c r="AF138" i="3"/>
  <c r="AG138" i="3"/>
  <c r="AH138" i="3"/>
  <c r="AI138" i="3"/>
  <c r="AJ138" i="3"/>
  <c r="AK138" i="3"/>
  <c r="AL138" i="3"/>
  <c r="AN138" i="3"/>
  <c r="AO138" i="3"/>
  <c r="AP138" i="3"/>
  <c r="AQ138" i="3"/>
  <c r="AR138" i="3"/>
  <c r="AS138" i="3"/>
  <c r="AT138" i="3"/>
  <c r="AU138" i="3"/>
  <c r="AV138" i="3"/>
  <c r="D139" i="3"/>
  <c r="E139" i="3"/>
  <c r="F139" i="3"/>
  <c r="G139" i="3"/>
  <c r="H139" i="3"/>
  <c r="I139" i="3"/>
  <c r="Q139" i="3"/>
  <c r="R139" i="3"/>
  <c r="S139" i="3"/>
  <c r="T139" i="3"/>
  <c r="U139" i="3"/>
  <c r="W139" i="3"/>
  <c r="X139" i="3"/>
  <c r="Y139" i="3"/>
  <c r="Z139" i="3"/>
  <c r="AC139" i="3"/>
  <c r="AD139" i="3"/>
  <c r="AE139" i="3"/>
  <c r="AF139" i="3"/>
  <c r="AG139" i="3"/>
  <c r="AH139" i="3"/>
  <c r="AI139" i="3"/>
  <c r="AJ139" i="3"/>
  <c r="AK139" i="3"/>
  <c r="AL139" i="3"/>
  <c r="AN139" i="3"/>
  <c r="AO139" i="3"/>
  <c r="AP139" i="3"/>
  <c r="AQ139" i="3"/>
  <c r="AR139" i="3"/>
  <c r="AS139" i="3"/>
  <c r="AT139" i="3"/>
  <c r="AU139" i="3"/>
  <c r="AV139" i="3"/>
  <c r="D140" i="3"/>
  <c r="E140" i="3"/>
  <c r="F140" i="3"/>
  <c r="G140" i="3"/>
  <c r="H140" i="3"/>
  <c r="I140" i="3"/>
  <c r="Q140" i="3"/>
  <c r="R140" i="3"/>
  <c r="S140" i="3"/>
  <c r="T140" i="3"/>
  <c r="U140" i="3"/>
  <c r="W140" i="3"/>
  <c r="X140" i="3"/>
  <c r="Y140" i="3"/>
  <c r="Z140" i="3"/>
  <c r="AC140" i="3"/>
  <c r="AD140" i="3"/>
  <c r="AE140" i="3"/>
  <c r="AF140" i="3"/>
  <c r="AG140" i="3"/>
  <c r="AH140" i="3"/>
  <c r="AI140" i="3"/>
  <c r="AJ140" i="3"/>
  <c r="AK140" i="3"/>
  <c r="AL140" i="3"/>
  <c r="AN140" i="3"/>
  <c r="AO140" i="3"/>
  <c r="AP140" i="3"/>
  <c r="AQ140" i="3"/>
  <c r="AR140" i="3"/>
  <c r="AS140" i="3"/>
  <c r="AT140" i="3"/>
  <c r="AU140" i="3"/>
  <c r="AV140" i="3"/>
  <c r="D141" i="3"/>
  <c r="E141" i="3"/>
  <c r="F141" i="3"/>
  <c r="G141" i="3"/>
  <c r="H141" i="3"/>
  <c r="I141" i="3"/>
  <c r="Q141" i="3"/>
  <c r="R141" i="3"/>
  <c r="S141" i="3"/>
  <c r="T141" i="3"/>
  <c r="U141" i="3"/>
  <c r="W141" i="3"/>
  <c r="X141" i="3"/>
  <c r="Y141" i="3"/>
  <c r="Z141" i="3"/>
  <c r="AC141" i="3"/>
  <c r="AD141" i="3"/>
  <c r="AE141" i="3"/>
  <c r="AF141" i="3"/>
  <c r="AG141" i="3"/>
  <c r="AH141" i="3"/>
  <c r="AI141" i="3"/>
  <c r="AJ141" i="3"/>
  <c r="AK141" i="3"/>
  <c r="AL141" i="3"/>
  <c r="AN141" i="3"/>
  <c r="AO141" i="3"/>
  <c r="AP141" i="3"/>
  <c r="AQ141" i="3"/>
  <c r="AR141" i="3"/>
  <c r="AS141" i="3"/>
  <c r="AT141" i="3"/>
  <c r="AU141" i="3"/>
  <c r="AV141" i="3"/>
  <c r="D142" i="3"/>
  <c r="E142" i="3"/>
  <c r="F142" i="3"/>
  <c r="G142" i="3"/>
  <c r="H142" i="3"/>
  <c r="I142" i="3"/>
  <c r="Q142" i="3"/>
  <c r="R142" i="3"/>
  <c r="S142" i="3"/>
  <c r="T142" i="3"/>
  <c r="U142" i="3"/>
  <c r="W142" i="3"/>
  <c r="X142" i="3"/>
  <c r="Y142" i="3"/>
  <c r="Z142" i="3"/>
  <c r="AC142" i="3"/>
  <c r="AD142" i="3"/>
  <c r="AE142" i="3"/>
  <c r="AF142" i="3"/>
  <c r="AG142" i="3"/>
  <c r="AH142" i="3"/>
  <c r="AI142" i="3"/>
  <c r="AJ142" i="3"/>
  <c r="AK142" i="3"/>
  <c r="AL142" i="3"/>
  <c r="AN142" i="3"/>
  <c r="AO142" i="3"/>
  <c r="AP142" i="3"/>
  <c r="AQ142" i="3"/>
  <c r="AR142" i="3"/>
  <c r="AS142" i="3"/>
  <c r="AT142" i="3"/>
  <c r="AU142" i="3"/>
  <c r="AV142" i="3"/>
  <c r="D143" i="3"/>
  <c r="E143" i="3"/>
  <c r="F143" i="3"/>
  <c r="G143" i="3"/>
  <c r="H143" i="3"/>
  <c r="I143" i="3"/>
  <c r="Q143" i="3"/>
  <c r="R143" i="3"/>
  <c r="S143" i="3"/>
  <c r="T143" i="3"/>
  <c r="U143" i="3"/>
  <c r="W143" i="3"/>
  <c r="X143" i="3"/>
  <c r="Y143" i="3"/>
  <c r="Z143" i="3"/>
  <c r="AC143" i="3"/>
  <c r="AD143" i="3"/>
  <c r="AE143" i="3"/>
  <c r="AF143" i="3"/>
  <c r="AG143" i="3"/>
  <c r="AH143" i="3"/>
  <c r="AI143" i="3"/>
  <c r="AJ143" i="3"/>
  <c r="AK143" i="3"/>
  <c r="AL143" i="3"/>
  <c r="AN143" i="3"/>
  <c r="AO143" i="3"/>
  <c r="AP143" i="3"/>
  <c r="AQ143" i="3"/>
  <c r="AR143" i="3"/>
  <c r="AS143" i="3"/>
  <c r="AT143" i="3"/>
  <c r="AU143" i="3"/>
  <c r="AV143" i="3"/>
  <c r="D144" i="3"/>
  <c r="E144" i="3"/>
  <c r="F144" i="3"/>
  <c r="G144" i="3"/>
  <c r="H144" i="3"/>
  <c r="I144" i="3"/>
  <c r="Q144" i="3"/>
  <c r="R144" i="3"/>
  <c r="S144" i="3"/>
  <c r="T144" i="3"/>
  <c r="U144" i="3"/>
  <c r="W144" i="3"/>
  <c r="X144" i="3"/>
  <c r="Y144" i="3"/>
  <c r="Z144" i="3"/>
  <c r="AC144" i="3"/>
  <c r="AD144" i="3"/>
  <c r="AE144" i="3"/>
  <c r="AF144" i="3"/>
  <c r="AG144" i="3"/>
  <c r="AH144" i="3"/>
  <c r="AI144" i="3"/>
  <c r="AJ144" i="3"/>
  <c r="AK144" i="3"/>
  <c r="AL144" i="3"/>
  <c r="AN144" i="3"/>
  <c r="AO144" i="3"/>
  <c r="AP144" i="3"/>
  <c r="AQ144" i="3"/>
  <c r="AR144" i="3"/>
  <c r="AS144" i="3"/>
  <c r="AT144" i="3"/>
  <c r="AU144" i="3"/>
  <c r="AV144" i="3"/>
  <c r="D146" i="3"/>
  <c r="E146" i="3"/>
  <c r="F146" i="3"/>
  <c r="G146" i="3"/>
  <c r="H146" i="3"/>
  <c r="I146" i="3"/>
  <c r="Q146" i="3"/>
  <c r="R146" i="3"/>
  <c r="S146" i="3"/>
  <c r="T146" i="3"/>
  <c r="U146" i="3"/>
  <c r="W146" i="3"/>
  <c r="X146" i="3"/>
  <c r="Y146" i="3"/>
  <c r="Z146" i="3"/>
  <c r="AC146" i="3"/>
  <c r="AD146" i="3"/>
  <c r="AE146" i="3"/>
  <c r="AF146" i="3"/>
  <c r="AG146" i="3"/>
  <c r="AH146" i="3"/>
  <c r="AI146" i="3"/>
  <c r="AJ146" i="3"/>
  <c r="AK146" i="3"/>
  <c r="AL146" i="3"/>
  <c r="AN146" i="3"/>
  <c r="AO146" i="3"/>
  <c r="AP146" i="3"/>
  <c r="AQ146" i="3"/>
  <c r="AR146" i="3"/>
  <c r="AS146" i="3"/>
  <c r="AT146" i="3"/>
  <c r="AU146" i="3"/>
  <c r="AV146" i="3"/>
  <c r="D147" i="3"/>
  <c r="E147" i="3"/>
  <c r="F147" i="3"/>
  <c r="G147" i="3"/>
  <c r="H147" i="3"/>
  <c r="I147" i="3"/>
  <c r="Q147" i="3"/>
  <c r="R147" i="3"/>
  <c r="S147" i="3"/>
  <c r="T147" i="3"/>
  <c r="U147" i="3"/>
  <c r="W147" i="3"/>
  <c r="X147" i="3"/>
  <c r="Y147" i="3"/>
  <c r="Z147" i="3"/>
  <c r="AC147" i="3"/>
  <c r="AD147" i="3"/>
  <c r="AE147" i="3"/>
  <c r="AF147" i="3"/>
  <c r="AG147" i="3"/>
  <c r="AH147" i="3"/>
  <c r="AI147" i="3"/>
  <c r="AJ147" i="3"/>
  <c r="AK147" i="3"/>
  <c r="AL147" i="3"/>
  <c r="AN147" i="3"/>
  <c r="AO147" i="3"/>
  <c r="AP147" i="3"/>
  <c r="AQ147" i="3"/>
  <c r="AR147" i="3"/>
  <c r="AS147" i="3"/>
  <c r="AT147" i="3"/>
  <c r="AU147" i="3"/>
  <c r="AV147" i="3"/>
  <c r="D149" i="3"/>
  <c r="E149" i="3"/>
  <c r="F149" i="3"/>
  <c r="G149" i="3"/>
  <c r="H149" i="3"/>
  <c r="I149" i="3"/>
  <c r="Q149" i="3"/>
  <c r="R149" i="3"/>
  <c r="S149" i="3"/>
  <c r="T149" i="3"/>
  <c r="U149" i="3"/>
  <c r="W149" i="3"/>
  <c r="X149" i="3"/>
  <c r="Y149" i="3"/>
  <c r="Z149" i="3"/>
  <c r="AC149" i="3"/>
  <c r="AD149" i="3"/>
  <c r="AE149" i="3"/>
  <c r="AF149" i="3"/>
  <c r="AG149" i="3"/>
  <c r="AH149" i="3"/>
  <c r="AI149" i="3"/>
  <c r="AJ149" i="3"/>
  <c r="AK149" i="3"/>
  <c r="AL149" i="3"/>
  <c r="AN149" i="3"/>
  <c r="AO149" i="3"/>
  <c r="AP149" i="3"/>
  <c r="AQ149" i="3"/>
  <c r="AR149" i="3"/>
  <c r="AS149" i="3"/>
  <c r="AT149" i="3"/>
  <c r="AU149" i="3"/>
  <c r="AV149" i="3"/>
  <c r="D150" i="3"/>
  <c r="E150" i="3"/>
  <c r="F150" i="3"/>
  <c r="G150" i="3"/>
  <c r="H150" i="3"/>
  <c r="I150" i="3"/>
  <c r="Q150" i="3"/>
  <c r="R150" i="3"/>
  <c r="S150" i="3"/>
  <c r="T150" i="3"/>
  <c r="U150" i="3"/>
  <c r="W150" i="3"/>
  <c r="X150" i="3"/>
  <c r="Y150" i="3"/>
  <c r="Z150" i="3"/>
  <c r="AC150" i="3"/>
  <c r="AD150" i="3"/>
  <c r="AE150" i="3"/>
  <c r="AF150" i="3"/>
  <c r="AG150" i="3"/>
  <c r="AH150" i="3"/>
  <c r="AI150" i="3"/>
  <c r="AJ150" i="3"/>
  <c r="AK150" i="3"/>
  <c r="AL150" i="3"/>
  <c r="AN150" i="3"/>
  <c r="AO150" i="3"/>
  <c r="AP150" i="3"/>
  <c r="AQ150" i="3"/>
  <c r="AR150" i="3"/>
  <c r="AS150" i="3"/>
  <c r="AT150" i="3"/>
  <c r="AU150" i="3"/>
  <c r="AV150" i="3"/>
  <c r="D151" i="3"/>
  <c r="E151" i="3"/>
  <c r="F151" i="3"/>
  <c r="G151" i="3"/>
  <c r="H151" i="3"/>
  <c r="I151" i="3"/>
  <c r="Q151" i="3"/>
  <c r="R151" i="3"/>
  <c r="S151" i="3"/>
  <c r="T151" i="3"/>
  <c r="U151" i="3"/>
  <c r="W151" i="3"/>
  <c r="X151" i="3"/>
  <c r="Y151" i="3"/>
  <c r="Z151" i="3"/>
  <c r="AC151" i="3"/>
  <c r="AD151" i="3"/>
  <c r="AE151" i="3"/>
  <c r="AF151" i="3"/>
  <c r="AG151" i="3"/>
  <c r="AH151" i="3"/>
  <c r="AI151" i="3"/>
  <c r="AJ151" i="3"/>
  <c r="AK151" i="3"/>
  <c r="AL151" i="3"/>
  <c r="AN151" i="3"/>
  <c r="AO151" i="3"/>
  <c r="AP151" i="3"/>
  <c r="AQ151" i="3"/>
  <c r="AR151" i="3"/>
  <c r="AS151" i="3"/>
  <c r="AT151" i="3"/>
  <c r="AU151" i="3"/>
  <c r="AV151" i="3"/>
  <c r="D152" i="3"/>
  <c r="E152" i="3"/>
  <c r="F152" i="3"/>
  <c r="G152" i="3"/>
  <c r="H152" i="3"/>
  <c r="I152" i="3"/>
  <c r="Q152" i="3"/>
  <c r="R152" i="3"/>
  <c r="S152" i="3"/>
  <c r="T152" i="3"/>
  <c r="U152" i="3"/>
  <c r="W152" i="3"/>
  <c r="X152" i="3"/>
  <c r="Y152" i="3"/>
  <c r="Z152" i="3"/>
  <c r="AC152" i="3"/>
  <c r="AD152" i="3"/>
  <c r="AE152" i="3"/>
  <c r="AF152" i="3"/>
  <c r="AG152" i="3"/>
  <c r="AH152" i="3"/>
  <c r="AI152" i="3"/>
  <c r="AJ152" i="3"/>
  <c r="AK152" i="3"/>
  <c r="AL152" i="3"/>
  <c r="AN152" i="3"/>
  <c r="AO152" i="3"/>
  <c r="AP152" i="3"/>
  <c r="AQ152" i="3"/>
  <c r="AR152" i="3"/>
  <c r="AS152" i="3"/>
  <c r="AT152" i="3"/>
  <c r="AU152" i="3"/>
  <c r="AV152" i="3"/>
  <c r="D153" i="3"/>
  <c r="E153" i="3"/>
  <c r="F153" i="3"/>
  <c r="G153" i="3"/>
  <c r="H153" i="3"/>
  <c r="I153" i="3"/>
  <c r="Q153" i="3"/>
  <c r="R153" i="3"/>
  <c r="S153" i="3"/>
  <c r="T153" i="3"/>
  <c r="U153" i="3"/>
  <c r="W153" i="3"/>
  <c r="X153" i="3"/>
  <c r="Y153" i="3"/>
  <c r="Z153" i="3"/>
  <c r="AC153" i="3"/>
  <c r="AD153" i="3"/>
  <c r="AE153" i="3"/>
  <c r="AF153" i="3"/>
  <c r="AG153" i="3"/>
  <c r="AH153" i="3"/>
  <c r="AI153" i="3"/>
  <c r="AJ153" i="3"/>
  <c r="AK153" i="3"/>
  <c r="AL153" i="3"/>
  <c r="AN153" i="3"/>
  <c r="AO153" i="3"/>
  <c r="AP153" i="3"/>
  <c r="AQ153" i="3"/>
  <c r="AR153" i="3"/>
  <c r="AS153" i="3"/>
  <c r="AT153" i="3"/>
  <c r="AU153" i="3"/>
  <c r="AV153" i="3"/>
  <c r="D154" i="3"/>
  <c r="E154" i="3"/>
  <c r="F154" i="3"/>
  <c r="G154" i="3"/>
  <c r="H154" i="3"/>
  <c r="I154" i="3"/>
  <c r="Q154" i="3"/>
  <c r="R154" i="3"/>
  <c r="S154" i="3"/>
  <c r="T154" i="3"/>
  <c r="U154" i="3"/>
  <c r="W154" i="3"/>
  <c r="X154" i="3"/>
  <c r="Y154" i="3"/>
  <c r="Z154" i="3"/>
  <c r="AC154" i="3"/>
  <c r="AD154" i="3"/>
  <c r="AE154" i="3"/>
  <c r="AF154" i="3"/>
  <c r="AG154" i="3"/>
  <c r="AH154" i="3"/>
  <c r="AI154" i="3"/>
  <c r="AJ154" i="3"/>
  <c r="AK154" i="3"/>
  <c r="AL154" i="3"/>
  <c r="AN154" i="3"/>
  <c r="AO154" i="3"/>
  <c r="AP154" i="3"/>
  <c r="AQ154" i="3"/>
  <c r="AR154" i="3"/>
  <c r="AS154" i="3"/>
  <c r="AT154" i="3"/>
  <c r="AU154" i="3"/>
  <c r="AV154" i="3"/>
  <c r="D156" i="3"/>
  <c r="E156" i="3"/>
  <c r="F156" i="3"/>
  <c r="G156" i="3"/>
  <c r="H156" i="3"/>
  <c r="I156" i="3"/>
  <c r="Q156" i="3"/>
  <c r="R156" i="3"/>
  <c r="S156" i="3"/>
  <c r="T156" i="3"/>
  <c r="U156" i="3"/>
  <c r="W156" i="3"/>
  <c r="X156" i="3"/>
  <c r="Y156" i="3"/>
  <c r="Z156" i="3"/>
  <c r="AC156" i="3"/>
  <c r="AD156" i="3"/>
  <c r="AE156" i="3"/>
  <c r="AF156" i="3"/>
  <c r="AG156" i="3"/>
  <c r="AH156" i="3"/>
  <c r="AI156" i="3"/>
  <c r="AJ156" i="3"/>
  <c r="AK156" i="3"/>
  <c r="AL156" i="3"/>
  <c r="AN156" i="3"/>
  <c r="AO156" i="3"/>
  <c r="AP156" i="3"/>
  <c r="AQ156" i="3"/>
  <c r="AR156" i="3"/>
  <c r="AS156" i="3"/>
  <c r="AT156" i="3"/>
  <c r="AU156" i="3"/>
  <c r="AV156" i="3"/>
  <c r="D158" i="3"/>
  <c r="E158" i="3"/>
  <c r="F158" i="3"/>
  <c r="G158" i="3"/>
  <c r="H158" i="3"/>
  <c r="I158" i="3"/>
  <c r="Q158" i="3"/>
  <c r="R158" i="3"/>
  <c r="S158" i="3"/>
  <c r="T158" i="3"/>
  <c r="U158" i="3"/>
  <c r="W158" i="3"/>
  <c r="X158" i="3"/>
  <c r="Y158" i="3"/>
  <c r="Z158" i="3"/>
  <c r="AC158" i="3"/>
  <c r="AD158" i="3"/>
  <c r="AE158" i="3"/>
  <c r="AF158" i="3"/>
  <c r="AG158" i="3"/>
  <c r="AH158" i="3"/>
  <c r="AI158" i="3"/>
  <c r="AJ158" i="3"/>
  <c r="AK158" i="3"/>
  <c r="AL158" i="3"/>
  <c r="AN158" i="3"/>
  <c r="AO158" i="3"/>
  <c r="AP158" i="3"/>
  <c r="AQ158" i="3"/>
  <c r="AR158" i="3"/>
  <c r="AS158" i="3"/>
  <c r="AT158" i="3"/>
  <c r="AU158" i="3"/>
  <c r="AV158" i="3"/>
  <c r="D159" i="3"/>
  <c r="E159" i="3"/>
  <c r="F159" i="3"/>
  <c r="G159" i="3"/>
  <c r="H159" i="3"/>
  <c r="I159" i="3"/>
  <c r="Q159" i="3"/>
  <c r="R159" i="3"/>
  <c r="S159" i="3"/>
  <c r="T159" i="3"/>
  <c r="U159" i="3"/>
  <c r="W159" i="3"/>
  <c r="X159" i="3"/>
  <c r="Y159" i="3"/>
  <c r="Z159" i="3"/>
  <c r="AC159" i="3"/>
  <c r="AD159" i="3"/>
  <c r="AE159" i="3"/>
  <c r="AF159" i="3"/>
  <c r="AG159" i="3"/>
  <c r="AH159" i="3"/>
  <c r="AI159" i="3"/>
  <c r="AJ159" i="3"/>
  <c r="AK159" i="3"/>
  <c r="AL159" i="3"/>
  <c r="AN159" i="3"/>
  <c r="AO159" i="3"/>
  <c r="AP159" i="3"/>
  <c r="AQ159" i="3"/>
  <c r="AR159" i="3"/>
  <c r="AS159" i="3"/>
  <c r="AT159" i="3"/>
  <c r="AU159" i="3"/>
  <c r="AV159" i="3"/>
  <c r="D161" i="3"/>
  <c r="E161" i="3"/>
  <c r="F161" i="3"/>
  <c r="G161" i="3"/>
  <c r="H161" i="3"/>
  <c r="I161" i="3"/>
  <c r="Q161" i="3"/>
  <c r="R161" i="3"/>
  <c r="S161" i="3"/>
  <c r="T161" i="3"/>
  <c r="U161" i="3"/>
  <c r="W161" i="3"/>
  <c r="X161" i="3"/>
  <c r="Y161" i="3"/>
  <c r="Z161" i="3"/>
  <c r="AC161" i="3"/>
  <c r="AD161" i="3"/>
  <c r="AE161" i="3"/>
  <c r="AF161" i="3"/>
  <c r="AG161" i="3"/>
  <c r="AH161" i="3"/>
  <c r="AI161" i="3"/>
  <c r="AJ161" i="3"/>
  <c r="AK161" i="3"/>
  <c r="AL161" i="3"/>
  <c r="AN161" i="3"/>
  <c r="AO161" i="3"/>
  <c r="AP161" i="3"/>
  <c r="AQ161" i="3"/>
  <c r="AR161" i="3"/>
  <c r="AS161" i="3"/>
  <c r="AT161" i="3"/>
  <c r="AU161" i="3"/>
  <c r="AV161" i="3"/>
  <c r="D164" i="3"/>
  <c r="E164" i="3"/>
  <c r="F164" i="3"/>
  <c r="G164" i="3"/>
  <c r="H164" i="3"/>
  <c r="I164" i="3"/>
  <c r="Q164" i="3"/>
  <c r="R164" i="3"/>
  <c r="S164" i="3"/>
  <c r="T164" i="3"/>
  <c r="U164" i="3"/>
  <c r="W164" i="3"/>
  <c r="X164" i="3"/>
  <c r="Y164" i="3"/>
  <c r="Z164" i="3"/>
  <c r="AC164" i="3"/>
  <c r="AD164" i="3"/>
  <c r="AE164" i="3"/>
  <c r="AF164" i="3"/>
  <c r="AG164" i="3"/>
  <c r="AH164" i="3"/>
  <c r="AI164" i="3"/>
  <c r="AJ164" i="3"/>
  <c r="AK164" i="3"/>
  <c r="AL164" i="3"/>
  <c r="AN164" i="3"/>
  <c r="AO164" i="3"/>
  <c r="AP164" i="3"/>
  <c r="AQ164" i="3"/>
  <c r="AR164" i="3"/>
  <c r="AS164" i="3"/>
  <c r="AT164" i="3"/>
  <c r="AU164" i="3"/>
  <c r="AV164" i="3"/>
  <c r="D165" i="3"/>
  <c r="E165" i="3"/>
  <c r="F165" i="3"/>
  <c r="G165" i="3"/>
  <c r="H165" i="3"/>
  <c r="I165" i="3"/>
  <c r="Q165" i="3"/>
  <c r="R165" i="3"/>
  <c r="S165" i="3"/>
  <c r="T165" i="3"/>
  <c r="U165" i="3"/>
  <c r="W165" i="3"/>
  <c r="X165" i="3"/>
  <c r="Y165" i="3"/>
  <c r="Z165" i="3"/>
  <c r="AC165" i="3"/>
  <c r="AD165" i="3"/>
  <c r="AE165" i="3"/>
  <c r="AF165" i="3"/>
  <c r="AG165" i="3"/>
  <c r="AH165" i="3"/>
  <c r="AI165" i="3"/>
  <c r="AJ165" i="3"/>
  <c r="AK165" i="3"/>
  <c r="AL165" i="3"/>
  <c r="AN165" i="3"/>
  <c r="AO165" i="3"/>
  <c r="AP165" i="3"/>
  <c r="AQ165" i="3"/>
  <c r="AR165" i="3"/>
  <c r="AS165" i="3"/>
  <c r="AT165" i="3"/>
  <c r="AU165" i="3"/>
  <c r="AV165" i="3"/>
  <c r="D166" i="3"/>
  <c r="E166" i="3"/>
  <c r="F166" i="3"/>
  <c r="G166" i="3"/>
  <c r="H166" i="3"/>
  <c r="I166" i="3"/>
  <c r="Q166" i="3"/>
  <c r="R166" i="3"/>
  <c r="S166" i="3"/>
  <c r="T166" i="3"/>
  <c r="U166" i="3"/>
  <c r="W166" i="3"/>
  <c r="X166" i="3"/>
  <c r="Y166" i="3"/>
  <c r="Z166" i="3"/>
  <c r="AC166" i="3"/>
  <c r="AD166" i="3"/>
  <c r="AE166" i="3"/>
  <c r="AF166" i="3"/>
  <c r="AG166" i="3"/>
  <c r="AH166" i="3"/>
  <c r="AI166" i="3"/>
  <c r="AJ166" i="3"/>
  <c r="AK166" i="3"/>
  <c r="AL166" i="3"/>
  <c r="AN166" i="3"/>
  <c r="AO166" i="3"/>
  <c r="AP166" i="3"/>
  <c r="AQ166" i="3"/>
  <c r="AR166" i="3"/>
  <c r="AS166" i="3"/>
  <c r="AT166" i="3"/>
  <c r="AU166" i="3"/>
  <c r="AV166" i="3"/>
  <c r="D167" i="3"/>
  <c r="E167" i="3"/>
  <c r="F167" i="3"/>
  <c r="G167" i="3"/>
  <c r="H167" i="3"/>
  <c r="I167" i="3"/>
  <c r="Q167" i="3"/>
  <c r="R167" i="3"/>
  <c r="S167" i="3"/>
  <c r="T167" i="3"/>
  <c r="U167" i="3"/>
  <c r="W167" i="3"/>
  <c r="X167" i="3"/>
  <c r="Y167" i="3"/>
  <c r="Z167" i="3"/>
  <c r="AC167" i="3"/>
  <c r="AD167" i="3"/>
  <c r="AE167" i="3"/>
  <c r="AF167" i="3"/>
  <c r="AG167" i="3"/>
  <c r="AH167" i="3"/>
  <c r="AI167" i="3"/>
  <c r="AJ167" i="3"/>
  <c r="AK167" i="3"/>
  <c r="AL167" i="3"/>
  <c r="AN167" i="3"/>
  <c r="AO167" i="3"/>
  <c r="AP167" i="3"/>
  <c r="AQ167" i="3"/>
  <c r="AR167" i="3"/>
  <c r="AS167" i="3"/>
  <c r="AT167" i="3"/>
  <c r="AU167" i="3"/>
  <c r="AV167" i="3"/>
  <c r="D168" i="3"/>
  <c r="E168" i="3"/>
  <c r="F168" i="3"/>
  <c r="G168" i="3"/>
  <c r="H168" i="3"/>
  <c r="I168" i="3"/>
  <c r="Q168" i="3"/>
  <c r="R168" i="3"/>
  <c r="S168" i="3"/>
  <c r="T168" i="3"/>
  <c r="U168" i="3"/>
  <c r="W168" i="3"/>
  <c r="X168" i="3"/>
  <c r="Y168" i="3"/>
  <c r="Z168" i="3"/>
  <c r="AC168" i="3"/>
  <c r="AD168" i="3"/>
  <c r="AE168" i="3"/>
  <c r="AF168" i="3"/>
  <c r="AG168" i="3"/>
  <c r="AH168" i="3"/>
  <c r="AI168" i="3"/>
  <c r="AJ168" i="3"/>
  <c r="AK168" i="3"/>
  <c r="AL168" i="3"/>
  <c r="AN168" i="3"/>
  <c r="AO168" i="3"/>
  <c r="AP168" i="3"/>
  <c r="AQ168" i="3"/>
  <c r="AR168" i="3"/>
  <c r="AS168" i="3"/>
  <c r="AT168" i="3"/>
  <c r="AU168" i="3"/>
  <c r="AV168" i="3"/>
  <c r="D169" i="3"/>
  <c r="E169" i="3"/>
  <c r="F169" i="3"/>
  <c r="G169" i="3"/>
  <c r="H169" i="3"/>
  <c r="I169" i="3"/>
  <c r="Q169" i="3"/>
  <c r="R169" i="3"/>
  <c r="S169" i="3"/>
  <c r="T169" i="3"/>
  <c r="U169" i="3"/>
  <c r="W169" i="3"/>
  <c r="X169" i="3"/>
  <c r="Y169" i="3"/>
  <c r="Z169" i="3"/>
  <c r="AC169" i="3"/>
  <c r="AD169" i="3"/>
  <c r="AE169" i="3"/>
  <c r="AF169" i="3"/>
  <c r="AG169" i="3"/>
  <c r="AH169" i="3"/>
  <c r="AI169" i="3"/>
  <c r="AJ169" i="3"/>
  <c r="AK169" i="3"/>
  <c r="AL169" i="3"/>
  <c r="AN169" i="3"/>
  <c r="AO169" i="3"/>
  <c r="AP169" i="3"/>
  <c r="AQ169" i="3"/>
  <c r="AR169" i="3"/>
  <c r="AS169" i="3"/>
  <c r="AT169" i="3"/>
  <c r="AU169" i="3"/>
  <c r="AV169" i="3"/>
  <c r="D170" i="3"/>
  <c r="E170" i="3"/>
  <c r="F170" i="3"/>
  <c r="G170" i="3"/>
  <c r="H170" i="3"/>
  <c r="I170" i="3"/>
  <c r="Q170" i="3"/>
  <c r="R170" i="3"/>
  <c r="S170" i="3"/>
  <c r="T170" i="3"/>
  <c r="U170" i="3"/>
  <c r="W170" i="3"/>
  <c r="X170" i="3"/>
  <c r="Y170" i="3"/>
  <c r="Z170" i="3"/>
  <c r="AC170" i="3"/>
  <c r="AD170" i="3"/>
  <c r="AE170" i="3"/>
  <c r="AF170" i="3"/>
  <c r="AG170" i="3"/>
  <c r="AH170" i="3"/>
  <c r="AI170" i="3"/>
  <c r="AJ170" i="3"/>
  <c r="AK170" i="3"/>
  <c r="AL170" i="3"/>
  <c r="AN170" i="3"/>
  <c r="AO170" i="3"/>
  <c r="AP170" i="3"/>
  <c r="AQ170" i="3"/>
  <c r="AR170" i="3"/>
  <c r="AS170" i="3"/>
  <c r="AT170" i="3"/>
  <c r="AU170" i="3"/>
  <c r="AV170" i="3"/>
  <c r="D172" i="3"/>
  <c r="E172" i="3"/>
  <c r="F172" i="3"/>
  <c r="G172" i="3"/>
  <c r="H172" i="3"/>
  <c r="I172" i="3"/>
  <c r="Q172" i="3"/>
  <c r="R172" i="3"/>
  <c r="S172" i="3"/>
  <c r="T172" i="3"/>
  <c r="U172" i="3"/>
  <c r="W172" i="3"/>
  <c r="X172" i="3"/>
  <c r="Y172" i="3"/>
  <c r="Z172" i="3"/>
  <c r="AC172" i="3"/>
  <c r="AD172" i="3"/>
  <c r="AE172" i="3"/>
  <c r="AF172" i="3"/>
  <c r="AG172" i="3"/>
  <c r="AH172" i="3"/>
  <c r="AI172" i="3"/>
  <c r="AJ172" i="3"/>
  <c r="AK172" i="3"/>
  <c r="AL172" i="3"/>
  <c r="AN172" i="3"/>
  <c r="AO172" i="3"/>
  <c r="AP172" i="3"/>
  <c r="AQ172" i="3"/>
  <c r="AR172" i="3"/>
  <c r="AS172" i="3"/>
  <c r="AT172" i="3"/>
  <c r="AU172" i="3"/>
  <c r="AV172" i="3"/>
  <c r="D173" i="3"/>
  <c r="E173" i="3"/>
  <c r="F173" i="3"/>
  <c r="G173" i="3"/>
  <c r="H173" i="3"/>
  <c r="I173" i="3"/>
  <c r="Q173" i="3"/>
  <c r="R173" i="3"/>
  <c r="S173" i="3"/>
  <c r="T173" i="3"/>
  <c r="U173" i="3"/>
  <c r="W173" i="3"/>
  <c r="X173" i="3"/>
  <c r="Y173" i="3"/>
  <c r="Z173" i="3"/>
  <c r="AC173" i="3"/>
  <c r="AD173" i="3"/>
  <c r="AE173" i="3"/>
  <c r="AF173" i="3"/>
  <c r="AG173" i="3"/>
  <c r="AH173" i="3"/>
  <c r="AI173" i="3"/>
  <c r="AJ173" i="3"/>
  <c r="AK173" i="3"/>
  <c r="AL173" i="3"/>
  <c r="AN173" i="3"/>
  <c r="AO173" i="3"/>
  <c r="AP173" i="3"/>
  <c r="AQ173" i="3"/>
  <c r="AR173" i="3"/>
  <c r="AS173" i="3"/>
  <c r="AT173" i="3"/>
  <c r="AU173" i="3"/>
  <c r="AV173" i="3"/>
  <c r="D175" i="3"/>
  <c r="E175" i="3"/>
  <c r="F175" i="3"/>
  <c r="G175" i="3"/>
  <c r="H175" i="3"/>
  <c r="I175" i="3"/>
  <c r="Q175" i="3"/>
  <c r="R175" i="3"/>
  <c r="S175" i="3"/>
  <c r="T175" i="3"/>
  <c r="U175" i="3"/>
  <c r="W175" i="3"/>
  <c r="X175" i="3"/>
  <c r="Y175" i="3"/>
  <c r="Z175" i="3"/>
  <c r="AC175" i="3"/>
  <c r="AD175" i="3"/>
  <c r="AE175" i="3"/>
  <c r="AF175" i="3"/>
  <c r="AG175" i="3"/>
  <c r="AH175" i="3"/>
  <c r="AI175" i="3"/>
  <c r="AJ175" i="3"/>
  <c r="AK175" i="3"/>
  <c r="AL175" i="3"/>
  <c r="AN175" i="3"/>
  <c r="AO175" i="3"/>
  <c r="AP175" i="3"/>
  <c r="AQ175" i="3"/>
  <c r="AR175" i="3"/>
  <c r="AS175" i="3"/>
  <c r="AT175" i="3"/>
  <c r="AU175" i="3"/>
  <c r="AV175" i="3"/>
  <c r="D176" i="3"/>
  <c r="E176" i="3"/>
  <c r="F176" i="3"/>
  <c r="G176" i="3"/>
  <c r="H176" i="3"/>
  <c r="I176" i="3"/>
  <c r="Q176" i="3"/>
  <c r="R176" i="3"/>
  <c r="S176" i="3"/>
  <c r="T176" i="3"/>
  <c r="U176" i="3"/>
  <c r="W176" i="3"/>
  <c r="X176" i="3"/>
  <c r="Y176" i="3"/>
  <c r="Z176" i="3"/>
  <c r="AC176" i="3"/>
  <c r="AD176" i="3"/>
  <c r="AE176" i="3"/>
  <c r="AF176" i="3"/>
  <c r="AG176" i="3"/>
  <c r="AH176" i="3"/>
  <c r="AI176" i="3"/>
  <c r="AJ176" i="3"/>
  <c r="AK176" i="3"/>
  <c r="AL176" i="3"/>
  <c r="AN176" i="3"/>
  <c r="AO176" i="3"/>
  <c r="AP176" i="3"/>
  <c r="AQ176" i="3"/>
  <c r="AR176" i="3"/>
  <c r="AS176" i="3"/>
  <c r="AT176" i="3"/>
  <c r="AU176" i="3"/>
  <c r="AV176" i="3"/>
  <c r="D177" i="3"/>
  <c r="E177" i="3"/>
  <c r="F177" i="3"/>
  <c r="G177" i="3"/>
  <c r="H177" i="3"/>
  <c r="I177" i="3"/>
  <c r="Q177" i="3"/>
  <c r="R177" i="3"/>
  <c r="S177" i="3"/>
  <c r="T177" i="3"/>
  <c r="U177" i="3"/>
  <c r="W177" i="3"/>
  <c r="X177" i="3"/>
  <c r="Y177" i="3"/>
  <c r="Z177" i="3"/>
  <c r="AC177" i="3"/>
  <c r="AD177" i="3"/>
  <c r="AE177" i="3"/>
  <c r="AF177" i="3"/>
  <c r="AG177" i="3"/>
  <c r="AH177" i="3"/>
  <c r="AI177" i="3"/>
  <c r="AJ177" i="3"/>
  <c r="AK177" i="3"/>
  <c r="AL177" i="3"/>
  <c r="AN177" i="3"/>
  <c r="AO177" i="3"/>
  <c r="AP177" i="3"/>
  <c r="AQ177" i="3"/>
  <c r="AR177" i="3"/>
  <c r="AS177" i="3"/>
  <c r="AT177" i="3"/>
  <c r="AU177" i="3"/>
  <c r="AV177" i="3"/>
  <c r="D178" i="3"/>
  <c r="E178" i="3"/>
  <c r="F178" i="3"/>
  <c r="G178" i="3"/>
  <c r="H178" i="3"/>
  <c r="I178" i="3"/>
  <c r="Q178" i="3"/>
  <c r="R178" i="3"/>
  <c r="S178" i="3"/>
  <c r="T178" i="3"/>
  <c r="U178" i="3"/>
  <c r="W178" i="3"/>
  <c r="X178" i="3"/>
  <c r="Y178" i="3"/>
  <c r="Z178" i="3"/>
  <c r="AC178" i="3"/>
  <c r="AD178" i="3"/>
  <c r="AE178" i="3"/>
  <c r="AF178" i="3"/>
  <c r="AG178" i="3"/>
  <c r="AH178" i="3"/>
  <c r="AI178" i="3"/>
  <c r="AJ178" i="3"/>
  <c r="AK178" i="3"/>
  <c r="AL178" i="3"/>
  <c r="AN178" i="3"/>
  <c r="AO178" i="3"/>
  <c r="AP178" i="3"/>
  <c r="AQ178" i="3"/>
  <c r="AR178" i="3"/>
  <c r="AS178" i="3"/>
  <c r="AT178" i="3"/>
  <c r="AU178" i="3"/>
  <c r="AV178" i="3"/>
  <c r="D179" i="3"/>
  <c r="E179" i="3"/>
  <c r="F179" i="3"/>
  <c r="G179" i="3"/>
  <c r="H179" i="3"/>
  <c r="I179" i="3"/>
  <c r="Q179" i="3"/>
  <c r="R179" i="3"/>
  <c r="S179" i="3"/>
  <c r="T179" i="3"/>
  <c r="U179" i="3"/>
  <c r="W179" i="3"/>
  <c r="X179" i="3"/>
  <c r="Y179" i="3"/>
  <c r="Z179" i="3"/>
  <c r="AC179" i="3"/>
  <c r="AD179" i="3"/>
  <c r="AE179" i="3"/>
  <c r="AF179" i="3"/>
  <c r="AG179" i="3"/>
  <c r="AH179" i="3"/>
  <c r="AI179" i="3"/>
  <c r="AJ179" i="3"/>
  <c r="AK179" i="3"/>
  <c r="AL179" i="3"/>
  <c r="AN179" i="3"/>
  <c r="AO179" i="3"/>
  <c r="AP179" i="3"/>
  <c r="AQ179" i="3"/>
  <c r="AR179" i="3"/>
  <c r="AS179" i="3"/>
  <c r="AT179" i="3"/>
  <c r="AU179" i="3"/>
  <c r="AV179" i="3"/>
  <c r="D180" i="3"/>
  <c r="E180" i="3"/>
  <c r="F180" i="3"/>
  <c r="G180" i="3"/>
  <c r="H180" i="3"/>
  <c r="I180" i="3"/>
  <c r="Q180" i="3"/>
  <c r="R180" i="3"/>
  <c r="S180" i="3"/>
  <c r="T180" i="3"/>
  <c r="U180" i="3"/>
  <c r="W180" i="3"/>
  <c r="X180" i="3"/>
  <c r="Y180" i="3"/>
  <c r="Z180" i="3"/>
  <c r="AC180" i="3"/>
  <c r="AD180" i="3"/>
  <c r="AE180" i="3"/>
  <c r="AF180" i="3"/>
  <c r="AG180" i="3"/>
  <c r="AH180" i="3"/>
  <c r="AI180" i="3"/>
  <c r="AJ180" i="3"/>
  <c r="AK180" i="3"/>
  <c r="AL180" i="3"/>
  <c r="AN180" i="3"/>
  <c r="AO180" i="3"/>
  <c r="AP180" i="3"/>
  <c r="AQ180" i="3"/>
  <c r="AR180" i="3"/>
  <c r="AS180" i="3"/>
  <c r="AT180" i="3"/>
  <c r="AU180" i="3"/>
  <c r="AV180" i="3"/>
  <c r="D181" i="3"/>
  <c r="E181" i="3"/>
  <c r="F181" i="3"/>
  <c r="G181" i="3"/>
  <c r="H181" i="3"/>
  <c r="I181" i="3"/>
  <c r="Q181" i="3"/>
  <c r="R181" i="3"/>
  <c r="S181" i="3"/>
  <c r="T181" i="3"/>
  <c r="U181" i="3"/>
  <c r="W181" i="3"/>
  <c r="X181" i="3"/>
  <c r="Y181" i="3"/>
  <c r="Z181" i="3"/>
  <c r="AC181" i="3"/>
  <c r="AD181" i="3"/>
  <c r="AE181" i="3"/>
  <c r="AF181" i="3"/>
  <c r="AG181" i="3"/>
  <c r="AH181" i="3"/>
  <c r="AI181" i="3"/>
  <c r="AJ181" i="3"/>
  <c r="AK181" i="3"/>
  <c r="AL181" i="3"/>
  <c r="AN181" i="3"/>
  <c r="AO181" i="3"/>
  <c r="AP181" i="3"/>
  <c r="AQ181" i="3"/>
  <c r="AR181" i="3"/>
  <c r="AS181" i="3"/>
  <c r="AT181" i="3"/>
  <c r="AU181" i="3"/>
  <c r="AV181" i="3"/>
  <c r="D182" i="3"/>
  <c r="E182" i="3"/>
  <c r="F182" i="3"/>
  <c r="G182" i="3"/>
  <c r="H182" i="3"/>
  <c r="I182" i="3"/>
  <c r="Q182" i="3"/>
  <c r="R182" i="3"/>
  <c r="S182" i="3"/>
  <c r="T182" i="3"/>
  <c r="U182" i="3"/>
  <c r="W182" i="3"/>
  <c r="X182" i="3"/>
  <c r="Y182" i="3"/>
  <c r="Z182" i="3"/>
  <c r="AC182" i="3"/>
  <c r="AD182" i="3"/>
  <c r="AE182" i="3"/>
  <c r="AF182" i="3"/>
  <c r="AG182" i="3"/>
  <c r="AH182" i="3"/>
  <c r="AI182" i="3"/>
  <c r="AJ182" i="3"/>
  <c r="AK182" i="3"/>
  <c r="AL182" i="3"/>
  <c r="AN182" i="3"/>
  <c r="AO182" i="3"/>
  <c r="AP182" i="3"/>
  <c r="AQ182" i="3"/>
  <c r="AR182" i="3"/>
  <c r="AS182" i="3"/>
  <c r="AT182" i="3"/>
  <c r="AU182" i="3"/>
  <c r="AV182" i="3"/>
  <c r="D183" i="3"/>
  <c r="E183" i="3"/>
  <c r="F183" i="3"/>
  <c r="G183" i="3"/>
  <c r="H183" i="3"/>
  <c r="I183" i="3"/>
  <c r="Q183" i="3"/>
  <c r="R183" i="3"/>
  <c r="S183" i="3"/>
  <c r="T183" i="3"/>
  <c r="U183" i="3"/>
  <c r="W183" i="3"/>
  <c r="X183" i="3"/>
  <c r="Y183" i="3"/>
  <c r="Z183" i="3"/>
  <c r="AC183" i="3"/>
  <c r="AD183" i="3"/>
  <c r="AE183" i="3"/>
  <c r="AF183" i="3"/>
  <c r="AG183" i="3"/>
  <c r="AH183" i="3"/>
  <c r="AI183" i="3"/>
  <c r="AJ183" i="3"/>
  <c r="AK183" i="3"/>
  <c r="AL183" i="3"/>
  <c r="AN183" i="3"/>
  <c r="AO183" i="3"/>
  <c r="AP183" i="3"/>
  <c r="AQ183" i="3"/>
  <c r="AR183" i="3"/>
  <c r="AS183" i="3"/>
  <c r="AT183" i="3"/>
  <c r="AU183" i="3"/>
  <c r="AV183" i="3"/>
  <c r="D184" i="3"/>
  <c r="E184" i="3"/>
  <c r="F184" i="3"/>
  <c r="G184" i="3"/>
  <c r="H184" i="3"/>
  <c r="I184" i="3"/>
  <c r="Q184" i="3"/>
  <c r="R184" i="3"/>
  <c r="S184" i="3"/>
  <c r="T184" i="3"/>
  <c r="U184" i="3"/>
  <c r="W184" i="3"/>
  <c r="X184" i="3"/>
  <c r="Y184" i="3"/>
  <c r="Z184" i="3"/>
  <c r="AC184" i="3"/>
  <c r="AD184" i="3"/>
  <c r="AE184" i="3"/>
  <c r="AF184" i="3"/>
  <c r="AG184" i="3"/>
  <c r="AH184" i="3"/>
  <c r="AI184" i="3"/>
  <c r="AJ184" i="3"/>
  <c r="AK184" i="3"/>
  <c r="AL184" i="3"/>
  <c r="AN184" i="3"/>
  <c r="AO184" i="3"/>
  <c r="AP184" i="3"/>
  <c r="AQ184" i="3"/>
  <c r="AR184" i="3"/>
  <c r="AS184" i="3"/>
  <c r="AT184" i="3"/>
  <c r="AU184" i="3"/>
  <c r="AV184" i="3"/>
  <c r="D185" i="3"/>
  <c r="E185" i="3"/>
  <c r="F185" i="3"/>
  <c r="G185" i="3"/>
  <c r="H185" i="3"/>
  <c r="I185" i="3"/>
  <c r="Q185" i="3"/>
  <c r="R185" i="3"/>
  <c r="S185" i="3"/>
  <c r="T185" i="3"/>
  <c r="U185" i="3"/>
  <c r="W185" i="3"/>
  <c r="X185" i="3"/>
  <c r="Y185" i="3"/>
  <c r="Z185" i="3"/>
  <c r="AC185" i="3"/>
  <c r="AD185" i="3"/>
  <c r="AE185" i="3"/>
  <c r="AF185" i="3"/>
  <c r="AG185" i="3"/>
  <c r="AH185" i="3"/>
  <c r="AI185" i="3"/>
  <c r="AJ185" i="3"/>
  <c r="AK185" i="3"/>
  <c r="AL185" i="3"/>
  <c r="AN185" i="3"/>
  <c r="AO185" i="3"/>
  <c r="AP185" i="3"/>
  <c r="AQ185" i="3"/>
  <c r="AR185" i="3"/>
  <c r="AS185" i="3"/>
  <c r="AT185" i="3"/>
  <c r="AU185" i="3"/>
  <c r="AV185" i="3"/>
  <c r="D186" i="3"/>
  <c r="E186" i="3"/>
  <c r="F186" i="3"/>
  <c r="G186" i="3"/>
  <c r="H186" i="3"/>
  <c r="I186" i="3"/>
  <c r="Q186" i="3"/>
  <c r="R186" i="3"/>
  <c r="S186" i="3"/>
  <c r="T186" i="3"/>
  <c r="U186" i="3"/>
  <c r="W186" i="3"/>
  <c r="X186" i="3"/>
  <c r="Y186" i="3"/>
  <c r="Z186" i="3"/>
  <c r="AC186" i="3"/>
  <c r="AD186" i="3"/>
  <c r="AE186" i="3"/>
  <c r="AF186" i="3"/>
  <c r="AG186" i="3"/>
  <c r="AH186" i="3"/>
  <c r="AI186" i="3"/>
  <c r="AJ186" i="3"/>
  <c r="AK186" i="3"/>
  <c r="AL186" i="3"/>
  <c r="AN186" i="3"/>
  <c r="AO186" i="3"/>
  <c r="AP186" i="3"/>
  <c r="AQ186" i="3"/>
  <c r="AR186" i="3"/>
  <c r="AS186" i="3"/>
  <c r="AT186" i="3"/>
  <c r="AU186" i="3"/>
  <c r="AV186" i="3"/>
  <c r="D187" i="3"/>
  <c r="E187" i="3"/>
  <c r="F187" i="3"/>
  <c r="G187" i="3"/>
  <c r="H187" i="3"/>
  <c r="I187" i="3"/>
  <c r="Q187" i="3"/>
  <c r="R187" i="3"/>
  <c r="S187" i="3"/>
  <c r="T187" i="3"/>
  <c r="U187" i="3"/>
  <c r="W187" i="3"/>
  <c r="X187" i="3"/>
  <c r="Y187" i="3"/>
  <c r="Z187" i="3"/>
  <c r="AC187" i="3"/>
  <c r="AD187" i="3"/>
  <c r="AE187" i="3"/>
  <c r="AF187" i="3"/>
  <c r="AG187" i="3"/>
  <c r="AH187" i="3"/>
  <c r="AI187" i="3"/>
  <c r="AJ187" i="3"/>
  <c r="AK187" i="3"/>
  <c r="AL187" i="3"/>
  <c r="AN187" i="3"/>
  <c r="AO187" i="3"/>
  <c r="AP187" i="3"/>
  <c r="AQ187" i="3"/>
  <c r="AR187" i="3"/>
  <c r="AS187" i="3"/>
  <c r="AT187" i="3"/>
  <c r="AU187" i="3"/>
  <c r="AV187" i="3"/>
  <c r="D188" i="3"/>
  <c r="E188" i="3"/>
  <c r="F188" i="3"/>
  <c r="G188" i="3"/>
  <c r="H188" i="3"/>
  <c r="I188" i="3"/>
  <c r="Q188" i="3"/>
  <c r="R188" i="3"/>
  <c r="S188" i="3"/>
  <c r="T188" i="3"/>
  <c r="U188" i="3"/>
  <c r="W188" i="3"/>
  <c r="X188" i="3"/>
  <c r="Y188" i="3"/>
  <c r="Z188" i="3"/>
  <c r="AC188" i="3"/>
  <c r="AD188" i="3"/>
  <c r="AE188" i="3"/>
  <c r="AF188" i="3"/>
  <c r="AG188" i="3"/>
  <c r="AH188" i="3"/>
  <c r="AI188" i="3"/>
  <c r="AJ188" i="3"/>
  <c r="AK188" i="3"/>
  <c r="AL188" i="3"/>
  <c r="AN188" i="3"/>
  <c r="AO188" i="3"/>
  <c r="AP188" i="3"/>
  <c r="AQ188" i="3"/>
  <c r="AR188" i="3"/>
  <c r="AS188" i="3"/>
  <c r="AT188" i="3"/>
  <c r="AU188" i="3"/>
  <c r="AV188" i="3"/>
  <c r="D189" i="3"/>
  <c r="E189" i="3"/>
  <c r="F189" i="3"/>
  <c r="G189" i="3"/>
  <c r="H189" i="3"/>
  <c r="I189" i="3"/>
  <c r="Q189" i="3"/>
  <c r="R189" i="3"/>
  <c r="S189" i="3"/>
  <c r="T189" i="3"/>
  <c r="U189" i="3"/>
  <c r="W189" i="3"/>
  <c r="X189" i="3"/>
  <c r="Y189" i="3"/>
  <c r="Z189" i="3"/>
  <c r="AC189" i="3"/>
  <c r="AD189" i="3"/>
  <c r="AE189" i="3"/>
  <c r="AF189" i="3"/>
  <c r="AG189" i="3"/>
  <c r="AH189" i="3"/>
  <c r="AI189" i="3"/>
  <c r="AJ189" i="3"/>
  <c r="AK189" i="3"/>
  <c r="AL189" i="3"/>
  <c r="AN189" i="3"/>
  <c r="AO189" i="3"/>
  <c r="AP189" i="3"/>
  <c r="AQ189" i="3"/>
  <c r="AR189" i="3"/>
  <c r="AS189" i="3"/>
  <c r="AT189" i="3"/>
  <c r="AU189" i="3"/>
  <c r="AV189" i="3"/>
  <c r="D190" i="3"/>
  <c r="E190" i="3"/>
  <c r="F190" i="3"/>
  <c r="G190" i="3"/>
  <c r="H190" i="3"/>
  <c r="I190" i="3"/>
  <c r="Q190" i="3"/>
  <c r="R190" i="3"/>
  <c r="S190" i="3"/>
  <c r="T190" i="3"/>
  <c r="U190" i="3"/>
  <c r="W190" i="3"/>
  <c r="X190" i="3"/>
  <c r="Y190" i="3"/>
  <c r="Z190" i="3"/>
  <c r="AC190" i="3"/>
  <c r="AD190" i="3"/>
  <c r="AE190" i="3"/>
  <c r="AF190" i="3"/>
  <c r="AG190" i="3"/>
  <c r="AH190" i="3"/>
  <c r="AI190" i="3"/>
  <c r="AJ190" i="3"/>
  <c r="AK190" i="3"/>
  <c r="AL190" i="3"/>
  <c r="AN190" i="3"/>
  <c r="AO190" i="3"/>
  <c r="AP190" i="3"/>
  <c r="AQ190" i="3"/>
  <c r="AR190" i="3"/>
  <c r="AS190" i="3"/>
  <c r="AT190" i="3"/>
  <c r="AU190" i="3"/>
  <c r="AV190" i="3"/>
  <c r="D192" i="3"/>
  <c r="E192" i="3"/>
  <c r="F192" i="3"/>
  <c r="G192" i="3"/>
  <c r="H192" i="3"/>
  <c r="I192" i="3"/>
  <c r="Q192" i="3"/>
  <c r="R192" i="3"/>
  <c r="S192" i="3"/>
  <c r="T192" i="3"/>
  <c r="U192" i="3"/>
  <c r="W192" i="3"/>
  <c r="X192" i="3"/>
  <c r="Y192" i="3"/>
  <c r="Z192" i="3"/>
  <c r="AC192" i="3"/>
  <c r="AD192" i="3"/>
  <c r="AE192" i="3"/>
  <c r="AF192" i="3"/>
  <c r="AG192" i="3"/>
  <c r="AH192" i="3"/>
  <c r="AI192" i="3"/>
  <c r="AJ192" i="3"/>
  <c r="AK192" i="3"/>
  <c r="AL192" i="3"/>
  <c r="AN192" i="3"/>
  <c r="AO192" i="3"/>
  <c r="AP192" i="3"/>
  <c r="AQ192" i="3"/>
  <c r="AR192" i="3"/>
  <c r="AS192" i="3"/>
  <c r="AT192" i="3"/>
  <c r="AU192" i="3"/>
  <c r="AV192" i="3"/>
  <c r="D193" i="3"/>
  <c r="E193" i="3"/>
  <c r="F193" i="3"/>
  <c r="G193" i="3"/>
  <c r="H193" i="3"/>
  <c r="I193" i="3"/>
  <c r="Q193" i="3"/>
  <c r="R193" i="3"/>
  <c r="S193" i="3"/>
  <c r="T193" i="3"/>
  <c r="U193" i="3"/>
  <c r="W193" i="3"/>
  <c r="X193" i="3"/>
  <c r="Y193" i="3"/>
  <c r="Z193" i="3"/>
  <c r="AC193" i="3"/>
  <c r="AD193" i="3"/>
  <c r="AE193" i="3"/>
  <c r="AF193" i="3"/>
  <c r="AG193" i="3"/>
  <c r="AH193" i="3"/>
  <c r="AI193" i="3"/>
  <c r="AJ193" i="3"/>
  <c r="AK193" i="3"/>
  <c r="AL193" i="3"/>
  <c r="AN193" i="3"/>
  <c r="AO193" i="3"/>
  <c r="AP193" i="3"/>
  <c r="AQ193" i="3"/>
  <c r="AR193" i="3"/>
  <c r="AS193" i="3"/>
  <c r="AT193" i="3"/>
  <c r="AU193" i="3"/>
  <c r="AV193" i="3"/>
  <c r="D194" i="3"/>
  <c r="E194" i="3"/>
  <c r="F194" i="3"/>
  <c r="G194" i="3"/>
  <c r="H194" i="3"/>
  <c r="I194" i="3"/>
  <c r="Q194" i="3"/>
  <c r="R194" i="3"/>
  <c r="S194" i="3"/>
  <c r="T194" i="3"/>
  <c r="U194" i="3"/>
  <c r="W194" i="3"/>
  <c r="X194" i="3"/>
  <c r="Y194" i="3"/>
  <c r="Z194" i="3"/>
  <c r="AC194" i="3"/>
  <c r="AD194" i="3"/>
  <c r="AE194" i="3"/>
  <c r="AF194" i="3"/>
  <c r="AG194" i="3"/>
  <c r="AH194" i="3"/>
  <c r="AI194" i="3"/>
  <c r="AJ194" i="3"/>
  <c r="AK194" i="3"/>
  <c r="AL194" i="3"/>
  <c r="AN194" i="3"/>
  <c r="AO194" i="3"/>
  <c r="AP194" i="3"/>
  <c r="AQ194" i="3"/>
  <c r="AR194" i="3"/>
  <c r="AS194" i="3"/>
  <c r="AT194" i="3"/>
  <c r="AU194" i="3"/>
  <c r="AV194" i="3"/>
  <c r="D195" i="3"/>
  <c r="E195" i="3"/>
  <c r="F195" i="3"/>
  <c r="G195" i="3"/>
  <c r="H195" i="3"/>
  <c r="I195" i="3"/>
  <c r="J195" i="3"/>
  <c r="P195" i="3"/>
  <c r="Q195" i="3"/>
  <c r="R195" i="3"/>
  <c r="S195" i="3"/>
  <c r="T195" i="3"/>
  <c r="U195" i="3"/>
  <c r="W195" i="3"/>
  <c r="X195" i="3"/>
  <c r="Y195" i="3"/>
  <c r="Z195" i="3"/>
  <c r="AC195" i="3"/>
  <c r="AD195" i="3"/>
  <c r="AE195" i="3"/>
  <c r="AF195" i="3"/>
  <c r="AG195" i="3"/>
  <c r="AH195" i="3"/>
  <c r="AI195" i="3"/>
  <c r="AJ195" i="3"/>
  <c r="AK195" i="3"/>
  <c r="AL195" i="3"/>
  <c r="AN195" i="3"/>
  <c r="AO195" i="3"/>
  <c r="AP195" i="3"/>
  <c r="AQ195" i="3"/>
  <c r="AR195" i="3"/>
  <c r="AS195" i="3"/>
  <c r="AT195" i="3"/>
  <c r="AU195" i="3"/>
  <c r="AV195" i="3"/>
  <c r="D196" i="3"/>
  <c r="E196" i="3"/>
  <c r="F196" i="3"/>
  <c r="G196" i="3"/>
  <c r="H196" i="3"/>
  <c r="I196" i="3"/>
  <c r="Q196" i="3"/>
  <c r="R196" i="3"/>
  <c r="S196" i="3"/>
  <c r="T196" i="3"/>
  <c r="U196" i="3"/>
  <c r="W196" i="3"/>
  <c r="X196" i="3"/>
  <c r="Y196" i="3"/>
  <c r="Z196" i="3"/>
  <c r="AC196" i="3"/>
  <c r="AD196" i="3"/>
  <c r="AE196" i="3"/>
  <c r="AF196" i="3"/>
  <c r="AG196" i="3"/>
  <c r="AH196" i="3"/>
  <c r="AI196" i="3"/>
  <c r="AJ196" i="3"/>
  <c r="AK196" i="3"/>
  <c r="AL196" i="3"/>
  <c r="AN196" i="3"/>
  <c r="AO196" i="3"/>
  <c r="AP196" i="3"/>
  <c r="AQ196" i="3"/>
  <c r="AR196" i="3"/>
  <c r="AS196" i="3"/>
  <c r="AT196" i="3"/>
  <c r="AU196" i="3"/>
  <c r="AV196" i="3"/>
  <c r="D198" i="3"/>
  <c r="E198" i="3"/>
  <c r="F198" i="3"/>
  <c r="G198" i="3"/>
  <c r="H198" i="3"/>
  <c r="I198" i="3"/>
  <c r="Q198" i="3"/>
  <c r="R198" i="3"/>
  <c r="S198" i="3"/>
  <c r="T198" i="3"/>
  <c r="U198" i="3"/>
  <c r="W198" i="3"/>
  <c r="X198" i="3"/>
  <c r="Y198" i="3"/>
  <c r="Z198" i="3"/>
  <c r="AC198" i="3"/>
  <c r="AD198" i="3"/>
  <c r="AE198" i="3"/>
  <c r="AF198" i="3"/>
  <c r="AG198" i="3"/>
  <c r="AH198" i="3"/>
  <c r="AI198" i="3"/>
  <c r="AJ198" i="3"/>
  <c r="AK198" i="3"/>
  <c r="AL198" i="3"/>
  <c r="AN198" i="3"/>
  <c r="AO198" i="3"/>
  <c r="AP198" i="3"/>
  <c r="AQ198" i="3"/>
  <c r="AR198" i="3"/>
  <c r="AS198" i="3"/>
  <c r="AT198" i="3"/>
  <c r="AU198" i="3"/>
  <c r="AV198" i="3"/>
  <c r="D199" i="3"/>
  <c r="E199" i="3"/>
  <c r="F199" i="3"/>
  <c r="G199" i="3"/>
  <c r="H199" i="3"/>
  <c r="I199" i="3"/>
  <c r="Q199" i="3"/>
  <c r="R199" i="3"/>
  <c r="S199" i="3"/>
  <c r="T199" i="3"/>
  <c r="U199" i="3"/>
  <c r="W199" i="3"/>
  <c r="X199" i="3"/>
  <c r="Y199" i="3"/>
  <c r="Z199" i="3"/>
  <c r="AC199" i="3"/>
  <c r="AD199" i="3"/>
  <c r="AE199" i="3"/>
  <c r="AF199" i="3"/>
  <c r="AG199" i="3"/>
  <c r="AH199" i="3"/>
  <c r="AI199" i="3"/>
  <c r="AJ199" i="3"/>
  <c r="AK199" i="3"/>
  <c r="AL199" i="3"/>
  <c r="AN199" i="3"/>
  <c r="AO199" i="3"/>
  <c r="AP199" i="3"/>
  <c r="AQ199" i="3"/>
  <c r="AR199" i="3"/>
  <c r="AS199" i="3"/>
  <c r="AT199" i="3"/>
  <c r="AU199" i="3"/>
  <c r="AV199" i="3"/>
  <c r="D200" i="3"/>
  <c r="E200" i="3"/>
  <c r="F200" i="3"/>
  <c r="G200" i="3"/>
  <c r="H200" i="3"/>
  <c r="I200" i="3"/>
  <c r="Q200" i="3"/>
  <c r="R200" i="3"/>
  <c r="S200" i="3"/>
  <c r="T200" i="3"/>
  <c r="U200" i="3"/>
  <c r="W200" i="3"/>
  <c r="X200" i="3"/>
  <c r="Y200" i="3"/>
  <c r="Z200" i="3"/>
  <c r="AC200" i="3"/>
  <c r="AD200" i="3"/>
  <c r="AE200" i="3"/>
  <c r="AF200" i="3"/>
  <c r="AG200" i="3"/>
  <c r="AH200" i="3"/>
  <c r="AI200" i="3"/>
  <c r="AJ200" i="3"/>
  <c r="AK200" i="3"/>
  <c r="AL200" i="3"/>
  <c r="AN200" i="3"/>
  <c r="AO200" i="3"/>
  <c r="AP200" i="3"/>
  <c r="AQ200" i="3"/>
  <c r="AR200" i="3"/>
  <c r="AS200" i="3"/>
  <c r="AT200" i="3"/>
  <c r="AU200" i="3"/>
  <c r="AV200" i="3"/>
  <c r="D201" i="3"/>
  <c r="E201" i="3"/>
  <c r="F201" i="3"/>
  <c r="G201" i="3"/>
  <c r="H201" i="3"/>
  <c r="I201" i="3"/>
  <c r="Q201" i="3"/>
  <c r="R201" i="3"/>
  <c r="S201" i="3"/>
  <c r="T201" i="3"/>
  <c r="U201" i="3"/>
  <c r="W201" i="3"/>
  <c r="X201" i="3"/>
  <c r="Y201" i="3"/>
  <c r="Z201" i="3"/>
  <c r="AC201" i="3"/>
  <c r="AD201" i="3"/>
  <c r="AE201" i="3"/>
  <c r="AF201" i="3"/>
  <c r="AG201" i="3"/>
  <c r="AH201" i="3"/>
  <c r="AI201" i="3"/>
  <c r="AJ201" i="3"/>
  <c r="AK201" i="3"/>
  <c r="AL201" i="3"/>
  <c r="AN201" i="3"/>
  <c r="AO201" i="3"/>
  <c r="AP201" i="3"/>
  <c r="AQ201" i="3"/>
  <c r="AR201" i="3"/>
  <c r="AS201" i="3"/>
  <c r="AT201" i="3"/>
  <c r="AU201" i="3"/>
  <c r="AV201" i="3"/>
  <c r="D202" i="3"/>
  <c r="E202" i="3"/>
  <c r="F202" i="3"/>
  <c r="G202" i="3"/>
  <c r="H202" i="3"/>
  <c r="I202" i="3"/>
  <c r="Q202" i="3"/>
  <c r="R202" i="3"/>
  <c r="S202" i="3"/>
  <c r="T202" i="3"/>
  <c r="U202" i="3"/>
  <c r="W202" i="3"/>
  <c r="X202" i="3"/>
  <c r="Y202" i="3"/>
  <c r="Z202" i="3"/>
  <c r="AC202" i="3"/>
  <c r="AD202" i="3"/>
  <c r="AE202" i="3"/>
  <c r="AF202" i="3"/>
  <c r="AG202" i="3"/>
  <c r="AH202" i="3"/>
  <c r="AI202" i="3"/>
  <c r="AJ202" i="3"/>
  <c r="AK202" i="3"/>
  <c r="AL202" i="3"/>
  <c r="AN202" i="3"/>
  <c r="AO202" i="3"/>
  <c r="AP202" i="3"/>
  <c r="AQ202" i="3"/>
  <c r="AR202" i="3"/>
  <c r="AS202" i="3"/>
  <c r="AT202" i="3"/>
  <c r="AU202" i="3"/>
  <c r="AV202" i="3"/>
  <c r="D203" i="3"/>
  <c r="E203" i="3"/>
  <c r="F203" i="3"/>
  <c r="G203" i="3"/>
  <c r="H203" i="3"/>
  <c r="I203" i="3"/>
  <c r="Q203" i="3"/>
  <c r="R203" i="3"/>
  <c r="S203" i="3"/>
  <c r="T203" i="3"/>
  <c r="U203" i="3"/>
  <c r="W203" i="3"/>
  <c r="X203" i="3"/>
  <c r="Y203" i="3"/>
  <c r="Z203" i="3"/>
  <c r="AC203" i="3"/>
  <c r="AD203" i="3"/>
  <c r="AE203" i="3"/>
  <c r="AF203" i="3"/>
  <c r="AG203" i="3"/>
  <c r="AH203" i="3"/>
  <c r="AI203" i="3"/>
  <c r="AJ203" i="3"/>
  <c r="AK203" i="3"/>
  <c r="AL203" i="3"/>
  <c r="AN203" i="3"/>
  <c r="AO203" i="3"/>
  <c r="AP203" i="3"/>
  <c r="AQ203" i="3"/>
  <c r="AR203" i="3"/>
  <c r="AS203" i="3"/>
  <c r="AT203" i="3"/>
  <c r="AU203" i="3"/>
  <c r="AV203" i="3"/>
  <c r="D204" i="3"/>
  <c r="E204" i="3"/>
  <c r="F204" i="3"/>
  <c r="G204" i="3"/>
  <c r="H204" i="3"/>
  <c r="I204" i="3"/>
  <c r="Q204" i="3"/>
  <c r="R204" i="3"/>
  <c r="S204" i="3"/>
  <c r="T204" i="3"/>
  <c r="U204" i="3"/>
  <c r="W204" i="3"/>
  <c r="X204" i="3"/>
  <c r="Y204" i="3"/>
  <c r="Z204" i="3"/>
  <c r="AC204" i="3"/>
  <c r="AD204" i="3"/>
  <c r="AE204" i="3"/>
  <c r="AF204" i="3"/>
  <c r="AG204" i="3"/>
  <c r="AH204" i="3"/>
  <c r="AI204" i="3"/>
  <c r="AJ204" i="3"/>
  <c r="AK204" i="3"/>
  <c r="AL204" i="3"/>
  <c r="AN204" i="3"/>
  <c r="AO204" i="3"/>
  <c r="AP204" i="3"/>
  <c r="AQ204" i="3"/>
  <c r="AR204" i="3"/>
  <c r="AS204" i="3"/>
  <c r="AT204" i="3"/>
  <c r="AU204" i="3"/>
  <c r="AV204" i="3"/>
  <c r="D205" i="3"/>
  <c r="E205" i="3"/>
  <c r="F205" i="3"/>
  <c r="G205" i="3"/>
  <c r="H205" i="3"/>
  <c r="I205" i="3"/>
  <c r="Q205" i="3"/>
  <c r="R205" i="3"/>
  <c r="S205" i="3"/>
  <c r="T205" i="3"/>
  <c r="U205" i="3"/>
  <c r="W205" i="3"/>
  <c r="X205" i="3"/>
  <c r="Y205" i="3"/>
  <c r="Z205" i="3"/>
  <c r="AC205" i="3"/>
  <c r="AD205" i="3"/>
  <c r="AE205" i="3"/>
  <c r="AF205" i="3"/>
  <c r="AG205" i="3"/>
  <c r="AH205" i="3"/>
  <c r="AI205" i="3"/>
  <c r="AJ205" i="3"/>
  <c r="AK205" i="3"/>
  <c r="AL205" i="3"/>
  <c r="AN205" i="3"/>
  <c r="AO205" i="3"/>
  <c r="AP205" i="3"/>
  <c r="AQ205" i="3"/>
  <c r="AR205" i="3"/>
  <c r="AS205" i="3"/>
  <c r="AT205" i="3"/>
  <c r="AU205" i="3"/>
  <c r="AV205" i="3"/>
  <c r="D206" i="3"/>
  <c r="E206" i="3"/>
  <c r="F206" i="3"/>
  <c r="G206" i="3"/>
  <c r="H206" i="3"/>
  <c r="I206" i="3"/>
  <c r="Q206" i="3"/>
  <c r="R206" i="3"/>
  <c r="S206" i="3"/>
  <c r="T206" i="3"/>
  <c r="U206" i="3"/>
  <c r="W206" i="3"/>
  <c r="X206" i="3"/>
  <c r="Y206" i="3"/>
  <c r="Z206" i="3"/>
  <c r="AC206" i="3"/>
  <c r="AD206" i="3"/>
  <c r="AE206" i="3"/>
  <c r="AF206" i="3"/>
  <c r="AG206" i="3"/>
  <c r="AH206" i="3"/>
  <c r="AI206" i="3"/>
  <c r="AJ206" i="3"/>
  <c r="AK206" i="3"/>
  <c r="AL206" i="3"/>
  <c r="AN206" i="3"/>
  <c r="AO206" i="3"/>
  <c r="AP206" i="3"/>
  <c r="AQ206" i="3"/>
  <c r="AR206" i="3"/>
  <c r="AS206" i="3"/>
  <c r="AT206" i="3"/>
  <c r="AU206" i="3"/>
  <c r="AV206" i="3"/>
  <c r="D207" i="3"/>
  <c r="E207" i="3"/>
  <c r="F207" i="3"/>
  <c r="G207" i="3"/>
  <c r="H207" i="3"/>
  <c r="I207" i="3"/>
  <c r="Q207" i="3"/>
  <c r="R207" i="3"/>
  <c r="S207" i="3"/>
  <c r="T207" i="3"/>
  <c r="U207" i="3"/>
  <c r="W207" i="3"/>
  <c r="X207" i="3"/>
  <c r="Y207" i="3"/>
  <c r="Z207" i="3"/>
  <c r="AC207" i="3"/>
  <c r="AD207" i="3"/>
  <c r="AE207" i="3"/>
  <c r="AF207" i="3"/>
  <c r="AG207" i="3"/>
  <c r="AH207" i="3"/>
  <c r="AI207" i="3"/>
  <c r="AJ207" i="3"/>
  <c r="AK207" i="3"/>
  <c r="AL207" i="3"/>
  <c r="AN207" i="3"/>
  <c r="AO207" i="3"/>
  <c r="AP207" i="3"/>
  <c r="AQ207" i="3"/>
  <c r="AR207" i="3"/>
  <c r="AS207" i="3"/>
  <c r="AT207" i="3"/>
  <c r="AU207" i="3"/>
  <c r="AV207" i="3"/>
  <c r="D208" i="3"/>
  <c r="E208" i="3"/>
  <c r="F208" i="3"/>
  <c r="G208" i="3"/>
  <c r="H208" i="3"/>
  <c r="I208" i="3"/>
  <c r="Q208" i="3"/>
  <c r="R208" i="3"/>
  <c r="S208" i="3"/>
  <c r="T208" i="3"/>
  <c r="U208" i="3"/>
  <c r="W208" i="3"/>
  <c r="X208" i="3"/>
  <c r="Y208" i="3"/>
  <c r="Z208" i="3"/>
  <c r="AC208" i="3"/>
  <c r="AD208" i="3"/>
  <c r="AE208" i="3"/>
  <c r="AF208" i="3"/>
  <c r="AG208" i="3"/>
  <c r="AH208" i="3"/>
  <c r="AI208" i="3"/>
  <c r="AJ208" i="3"/>
  <c r="AK208" i="3"/>
  <c r="AL208" i="3"/>
  <c r="AN208" i="3"/>
  <c r="AO208" i="3"/>
  <c r="AP208" i="3"/>
  <c r="AQ208" i="3"/>
  <c r="AR208" i="3"/>
  <c r="AS208" i="3"/>
  <c r="AT208" i="3"/>
  <c r="AU208" i="3"/>
  <c r="AV208" i="3"/>
  <c r="D209" i="3"/>
  <c r="E209" i="3"/>
  <c r="F209" i="3"/>
  <c r="G209" i="3"/>
  <c r="H209" i="3"/>
  <c r="I209" i="3"/>
  <c r="J209" i="3"/>
  <c r="P209" i="3"/>
  <c r="Q209" i="3"/>
  <c r="R209" i="3"/>
  <c r="S209" i="3"/>
  <c r="T209" i="3"/>
  <c r="U209" i="3"/>
  <c r="W209" i="3"/>
  <c r="X209" i="3"/>
  <c r="Y209" i="3"/>
  <c r="Z209" i="3"/>
  <c r="AC209" i="3"/>
  <c r="AD209" i="3"/>
  <c r="AE209" i="3"/>
  <c r="AF209" i="3"/>
  <c r="AG209" i="3"/>
  <c r="AH209" i="3"/>
  <c r="AI209" i="3"/>
  <c r="AJ209" i="3"/>
  <c r="AK209" i="3"/>
  <c r="AL209" i="3"/>
  <c r="AN209" i="3"/>
  <c r="AO209" i="3"/>
  <c r="AP209" i="3"/>
  <c r="AQ209" i="3"/>
  <c r="AR209" i="3"/>
  <c r="AS209" i="3"/>
  <c r="AT209" i="3"/>
  <c r="AU209" i="3"/>
  <c r="AV209" i="3"/>
  <c r="D210" i="3"/>
  <c r="E210" i="3"/>
  <c r="F210" i="3"/>
  <c r="G210" i="3"/>
  <c r="H210" i="3"/>
  <c r="I210" i="3"/>
  <c r="Q210" i="3"/>
  <c r="R210" i="3"/>
  <c r="S210" i="3"/>
  <c r="T210" i="3"/>
  <c r="U210" i="3"/>
  <c r="W210" i="3"/>
  <c r="X210" i="3"/>
  <c r="Y210" i="3"/>
  <c r="Z210" i="3"/>
  <c r="AC210" i="3"/>
  <c r="AD210" i="3"/>
  <c r="AE210" i="3"/>
  <c r="AF210" i="3"/>
  <c r="AG210" i="3"/>
  <c r="AH210" i="3"/>
  <c r="AI210" i="3"/>
  <c r="AJ210" i="3"/>
  <c r="AK210" i="3"/>
  <c r="AL210" i="3"/>
  <c r="AN210" i="3"/>
  <c r="AO210" i="3"/>
  <c r="AP210" i="3"/>
  <c r="AQ210" i="3"/>
  <c r="AR210" i="3"/>
  <c r="AS210" i="3"/>
  <c r="AT210" i="3"/>
  <c r="AU210" i="3"/>
  <c r="AV210" i="3"/>
  <c r="D211" i="3"/>
  <c r="E211" i="3"/>
  <c r="F211" i="3"/>
  <c r="G211" i="3"/>
  <c r="H211" i="3"/>
  <c r="I211" i="3"/>
  <c r="Q211" i="3"/>
  <c r="R211" i="3"/>
  <c r="S211" i="3"/>
  <c r="T211" i="3"/>
  <c r="U211" i="3"/>
  <c r="W211" i="3"/>
  <c r="X211" i="3"/>
  <c r="Y211" i="3"/>
  <c r="Z211" i="3"/>
  <c r="AC211" i="3"/>
  <c r="AD211" i="3"/>
  <c r="AE211" i="3"/>
  <c r="AF211" i="3"/>
  <c r="AG211" i="3"/>
  <c r="AH211" i="3"/>
  <c r="AI211" i="3"/>
  <c r="AJ211" i="3"/>
  <c r="AK211" i="3"/>
  <c r="AL211" i="3"/>
  <c r="AN211" i="3"/>
  <c r="AO211" i="3"/>
  <c r="AP211" i="3"/>
  <c r="AQ211" i="3"/>
  <c r="AR211" i="3"/>
  <c r="AS211" i="3"/>
  <c r="AT211" i="3"/>
  <c r="AU211" i="3"/>
  <c r="AV211" i="3"/>
  <c r="D212" i="3"/>
  <c r="E212" i="3"/>
  <c r="F212" i="3"/>
  <c r="G212" i="3"/>
  <c r="H212" i="3"/>
  <c r="I212" i="3"/>
  <c r="Q212" i="3"/>
  <c r="R212" i="3"/>
  <c r="S212" i="3"/>
  <c r="T212" i="3"/>
  <c r="U212" i="3"/>
  <c r="W212" i="3"/>
  <c r="X212" i="3"/>
  <c r="Y212" i="3"/>
  <c r="Z212" i="3"/>
  <c r="AC212" i="3"/>
  <c r="AD212" i="3"/>
  <c r="AE212" i="3"/>
  <c r="AF212" i="3"/>
  <c r="AG212" i="3"/>
  <c r="AH212" i="3"/>
  <c r="AI212" i="3"/>
  <c r="AJ212" i="3"/>
  <c r="AK212" i="3"/>
  <c r="AL212" i="3"/>
  <c r="AN212" i="3"/>
  <c r="AO212" i="3"/>
  <c r="AP212" i="3"/>
  <c r="AQ212" i="3"/>
  <c r="AR212" i="3"/>
  <c r="AS212" i="3"/>
  <c r="AT212" i="3"/>
  <c r="AU212" i="3"/>
  <c r="AV212" i="3"/>
  <c r="D213" i="3"/>
  <c r="E213" i="3"/>
  <c r="F213" i="3"/>
  <c r="G213" i="3"/>
  <c r="H213" i="3"/>
  <c r="I213" i="3"/>
  <c r="Q213" i="3"/>
  <c r="R213" i="3"/>
  <c r="S213" i="3"/>
  <c r="T213" i="3"/>
  <c r="U213" i="3"/>
  <c r="W213" i="3"/>
  <c r="X213" i="3"/>
  <c r="Y213" i="3"/>
  <c r="Z213" i="3"/>
  <c r="AC213" i="3"/>
  <c r="AD213" i="3"/>
  <c r="AE213" i="3"/>
  <c r="AF213" i="3"/>
  <c r="AG213" i="3"/>
  <c r="AH213" i="3"/>
  <c r="AI213" i="3"/>
  <c r="AJ213" i="3"/>
  <c r="AK213" i="3"/>
  <c r="AL213" i="3"/>
  <c r="AN213" i="3"/>
  <c r="AO213" i="3"/>
  <c r="AP213" i="3"/>
  <c r="AQ213" i="3"/>
  <c r="AR213" i="3"/>
  <c r="AS213" i="3"/>
  <c r="AT213" i="3"/>
  <c r="AU213" i="3"/>
  <c r="AV213" i="3"/>
  <c r="D214" i="3"/>
  <c r="E214" i="3"/>
  <c r="F214" i="3"/>
  <c r="G214" i="3"/>
  <c r="H214" i="3"/>
  <c r="I214" i="3"/>
  <c r="Q214" i="3"/>
  <c r="R214" i="3"/>
  <c r="S214" i="3"/>
  <c r="T214" i="3"/>
  <c r="U214" i="3"/>
  <c r="W214" i="3"/>
  <c r="X214" i="3"/>
  <c r="Y214" i="3"/>
  <c r="Z214" i="3"/>
  <c r="AC214" i="3"/>
  <c r="AD214" i="3"/>
  <c r="AE214" i="3"/>
  <c r="AF214" i="3"/>
  <c r="AG214" i="3"/>
  <c r="AH214" i="3"/>
  <c r="AI214" i="3"/>
  <c r="AJ214" i="3"/>
  <c r="AK214" i="3"/>
  <c r="AL214" i="3"/>
  <c r="AN214" i="3"/>
  <c r="AO214" i="3"/>
  <c r="AP214" i="3"/>
  <c r="AQ214" i="3"/>
  <c r="AR214" i="3"/>
  <c r="AS214" i="3"/>
  <c r="AT214" i="3"/>
  <c r="AU214" i="3"/>
  <c r="AV214" i="3"/>
  <c r="D215" i="3"/>
  <c r="E215" i="3"/>
  <c r="F215" i="3"/>
  <c r="G215" i="3"/>
  <c r="H215" i="3"/>
  <c r="I215" i="3"/>
  <c r="Q215" i="3"/>
  <c r="R215" i="3"/>
  <c r="S215" i="3"/>
  <c r="T215" i="3"/>
  <c r="U215" i="3"/>
  <c r="W215" i="3"/>
  <c r="X215" i="3"/>
  <c r="Y215" i="3"/>
  <c r="Z215" i="3"/>
  <c r="AC215" i="3"/>
  <c r="AD215" i="3"/>
  <c r="AE215" i="3"/>
  <c r="AF215" i="3"/>
  <c r="AG215" i="3"/>
  <c r="AH215" i="3"/>
  <c r="AI215" i="3"/>
  <c r="AJ215" i="3"/>
  <c r="AK215" i="3"/>
  <c r="AL215" i="3"/>
  <c r="AN215" i="3"/>
  <c r="AO215" i="3"/>
  <c r="AP215" i="3"/>
  <c r="AQ215" i="3"/>
  <c r="AR215" i="3"/>
  <c r="AS215" i="3"/>
  <c r="AT215" i="3"/>
  <c r="AU215" i="3"/>
  <c r="AV215" i="3"/>
  <c r="D217" i="3"/>
  <c r="E217" i="3"/>
  <c r="F217" i="3"/>
  <c r="G217" i="3"/>
  <c r="H217" i="3"/>
  <c r="I217" i="3"/>
  <c r="Q217" i="3"/>
  <c r="R217" i="3"/>
  <c r="S217" i="3"/>
  <c r="T217" i="3"/>
  <c r="U217" i="3"/>
  <c r="W217" i="3"/>
  <c r="X217" i="3"/>
  <c r="Y217" i="3"/>
  <c r="Z217" i="3"/>
  <c r="AC217" i="3"/>
  <c r="AD217" i="3"/>
  <c r="AE217" i="3"/>
  <c r="AF217" i="3"/>
  <c r="AG217" i="3"/>
  <c r="AH217" i="3"/>
  <c r="AI217" i="3"/>
  <c r="AJ217" i="3"/>
  <c r="AK217" i="3"/>
  <c r="AL217" i="3"/>
  <c r="AN217" i="3"/>
  <c r="AO217" i="3"/>
  <c r="AP217" i="3"/>
  <c r="AQ217" i="3"/>
  <c r="AR217" i="3"/>
  <c r="AS217" i="3"/>
  <c r="AT217" i="3"/>
  <c r="AU217" i="3"/>
  <c r="AV217" i="3"/>
  <c r="D218" i="3"/>
  <c r="E218" i="3"/>
  <c r="F218" i="3"/>
  <c r="G218" i="3"/>
  <c r="H218" i="3"/>
  <c r="I218" i="3"/>
  <c r="Q218" i="3"/>
  <c r="R218" i="3"/>
  <c r="S218" i="3"/>
  <c r="T218" i="3"/>
  <c r="U218" i="3"/>
  <c r="W218" i="3"/>
  <c r="X218" i="3"/>
  <c r="Y218" i="3"/>
  <c r="Z218" i="3"/>
  <c r="AC218" i="3"/>
  <c r="AD218" i="3"/>
  <c r="AE218" i="3"/>
  <c r="AF218" i="3"/>
  <c r="AG218" i="3"/>
  <c r="AH218" i="3"/>
  <c r="AI218" i="3"/>
  <c r="AJ218" i="3"/>
  <c r="AK218" i="3"/>
  <c r="AL218" i="3"/>
  <c r="AN218" i="3"/>
  <c r="AO218" i="3"/>
  <c r="AP218" i="3"/>
  <c r="AQ218" i="3"/>
  <c r="AR218" i="3"/>
  <c r="AS218" i="3"/>
  <c r="AT218" i="3"/>
  <c r="AU218" i="3"/>
  <c r="AV218" i="3"/>
  <c r="D219" i="3"/>
  <c r="E219" i="3"/>
  <c r="F219" i="3"/>
  <c r="G219" i="3"/>
  <c r="H219" i="3"/>
  <c r="I219" i="3"/>
  <c r="Q219" i="3"/>
  <c r="R219" i="3"/>
  <c r="S219" i="3"/>
  <c r="T219" i="3"/>
  <c r="U219" i="3"/>
  <c r="W219" i="3"/>
  <c r="X219" i="3"/>
  <c r="Y219" i="3"/>
  <c r="Z219" i="3"/>
  <c r="AC219" i="3"/>
  <c r="AD219" i="3"/>
  <c r="AE219" i="3"/>
  <c r="AF219" i="3"/>
  <c r="AG219" i="3"/>
  <c r="AH219" i="3"/>
  <c r="AI219" i="3"/>
  <c r="AJ219" i="3"/>
  <c r="AK219" i="3"/>
  <c r="AL219" i="3"/>
  <c r="AN219" i="3"/>
  <c r="AO219" i="3"/>
  <c r="AP219" i="3"/>
  <c r="AQ219" i="3"/>
  <c r="AR219" i="3"/>
  <c r="AS219" i="3"/>
  <c r="AT219" i="3"/>
  <c r="AU219" i="3"/>
  <c r="AV219" i="3"/>
  <c r="D220" i="3"/>
  <c r="E220" i="3"/>
  <c r="F220" i="3"/>
  <c r="G220" i="3"/>
  <c r="H220" i="3"/>
  <c r="I220" i="3"/>
  <c r="Q220" i="3"/>
  <c r="R220" i="3"/>
  <c r="S220" i="3"/>
  <c r="T220" i="3"/>
  <c r="U220" i="3"/>
  <c r="W220" i="3"/>
  <c r="X220" i="3"/>
  <c r="Y220" i="3"/>
  <c r="Z220" i="3"/>
  <c r="AC220" i="3"/>
  <c r="AD220" i="3"/>
  <c r="AE220" i="3"/>
  <c r="AF220" i="3"/>
  <c r="AG220" i="3"/>
  <c r="AH220" i="3"/>
  <c r="AI220" i="3"/>
  <c r="AJ220" i="3"/>
  <c r="AK220" i="3"/>
  <c r="AL220" i="3"/>
  <c r="AN220" i="3"/>
  <c r="AO220" i="3"/>
  <c r="AP220" i="3"/>
  <c r="AQ220" i="3"/>
  <c r="AR220" i="3"/>
  <c r="AS220" i="3"/>
  <c r="AT220" i="3"/>
  <c r="AU220" i="3"/>
  <c r="AV220" i="3"/>
  <c r="D221" i="3"/>
  <c r="E221" i="3"/>
  <c r="F221" i="3"/>
  <c r="G221" i="3"/>
  <c r="H221" i="3"/>
  <c r="I221" i="3"/>
  <c r="Q221" i="3"/>
  <c r="R221" i="3"/>
  <c r="S221" i="3"/>
  <c r="T221" i="3"/>
  <c r="U221" i="3"/>
  <c r="W221" i="3"/>
  <c r="X221" i="3"/>
  <c r="Y221" i="3"/>
  <c r="Z221" i="3"/>
  <c r="AC221" i="3"/>
  <c r="AD221" i="3"/>
  <c r="AE221" i="3"/>
  <c r="AF221" i="3"/>
  <c r="AG221" i="3"/>
  <c r="AH221" i="3"/>
  <c r="AI221" i="3"/>
  <c r="AJ221" i="3"/>
  <c r="AK221" i="3"/>
  <c r="AL221" i="3"/>
  <c r="AN221" i="3"/>
  <c r="AO221" i="3"/>
  <c r="AP221" i="3"/>
  <c r="AQ221" i="3"/>
  <c r="AR221" i="3"/>
  <c r="AS221" i="3"/>
  <c r="AT221" i="3"/>
  <c r="AU221" i="3"/>
  <c r="AV221" i="3"/>
  <c r="D222" i="3"/>
  <c r="E222" i="3"/>
  <c r="F222" i="3"/>
  <c r="G222" i="3"/>
  <c r="H222" i="3"/>
  <c r="I222" i="3"/>
  <c r="Q222" i="3"/>
  <c r="R222" i="3"/>
  <c r="S222" i="3"/>
  <c r="T222" i="3"/>
  <c r="U222" i="3"/>
  <c r="W222" i="3"/>
  <c r="X222" i="3"/>
  <c r="Y222" i="3"/>
  <c r="Z222" i="3"/>
  <c r="AC222" i="3"/>
  <c r="AD222" i="3"/>
  <c r="AE222" i="3"/>
  <c r="AF222" i="3"/>
  <c r="AG222" i="3"/>
  <c r="AH222" i="3"/>
  <c r="AI222" i="3"/>
  <c r="AJ222" i="3"/>
  <c r="AK222" i="3"/>
  <c r="AL222" i="3"/>
  <c r="AN222" i="3"/>
  <c r="AO222" i="3"/>
  <c r="AP222" i="3"/>
  <c r="AQ222" i="3"/>
  <c r="AR222" i="3"/>
  <c r="AS222" i="3"/>
  <c r="AT222" i="3"/>
  <c r="AU222" i="3"/>
  <c r="AV222" i="3"/>
  <c r="D224" i="3"/>
  <c r="E224" i="3"/>
  <c r="F224" i="3"/>
  <c r="G224" i="3"/>
  <c r="H224" i="3"/>
  <c r="I224" i="3"/>
  <c r="Q224" i="3"/>
  <c r="R224" i="3"/>
  <c r="S224" i="3"/>
  <c r="T224" i="3"/>
  <c r="U224" i="3"/>
  <c r="W224" i="3"/>
  <c r="X224" i="3"/>
  <c r="Y224" i="3"/>
  <c r="Z224" i="3"/>
  <c r="AC224" i="3"/>
  <c r="AD224" i="3"/>
  <c r="AE224" i="3"/>
  <c r="AF224" i="3"/>
  <c r="AG224" i="3"/>
  <c r="AH224" i="3"/>
  <c r="AI224" i="3"/>
  <c r="AJ224" i="3"/>
  <c r="AK224" i="3"/>
  <c r="AL224" i="3"/>
  <c r="AN224" i="3"/>
  <c r="AO224" i="3"/>
  <c r="AP224" i="3"/>
  <c r="AQ224" i="3"/>
  <c r="AR224" i="3"/>
  <c r="AS224" i="3"/>
  <c r="AT224" i="3"/>
  <c r="AU224" i="3"/>
  <c r="AV224" i="3"/>
  <c r="D225" i="3"/>
  <c r="E225" i="3"/>
  <c r="F225" i="3"/>
  <c r="G225" i="3"/>
  <c r="H225" i="3"/>
  <c r="I225" i="3"/>
  <c r="Q225" i="3"/>
  <c r="R225" i="3"/>
  <c r="S225" i="3"/>
  <c r="T225" i="3"/>
  <c r="U225" i="3"/>
  <c r="W225" i="3"/>
  <c r="X225" i="3"/>
  <c r="Y225" i="3"/>
  <c r="Z225" i="3"/>
  <c r="AC225" i="3"/>
  <c r="AD225" i="3"/>
  <c r="AE225" i="3"/>
  <c r="AF225" i="3"/>
  <c r="AG225" i="3"/>
  <c r="AH225" i="3"/>
  <c r="AI225" i="3"/>
  <c r="AJ225" i="3"/>
  <c r="AK225" i="3"/>
  <c r="AL225" i="3"/>
  <c r="AN225" i="3"/>
  <c r="AO225" i="3"/>
  <c r="AP225" i="3"/>
  <c r="AQ225" i="3"/>
  <c r="AR225" i="3"/>
  <c r="AS225" i="3"/>
  <c r="AT225" i="3"/>
  <c r="AU225" i="3"/>
  <c r="AV225" i="3"/>
  <c r="D227" i="3"/>
  <c r="E227" i="3"/>
  <c r="F227" i="3"/>
  <c r="G227" i="3"/>
  <c r="H227" i="3"/>
  <c r="I227" i="3"/>
  <c r="Q227" i="3"/>
  <c r="R227" i="3"/>
  <c r="S227" i="3"/>
  <c r="T227" i="3"/>
  <c r="U227" i="3"/>
  <c r="W227" i="3"/>
  <c r="X227" i="3"/>
  <c r="Y227" i="3"/>
  <c r="Z227" i="3"/>
  <c r="AC227" i="3"/>
  <c r="AD227" i="3"/>
  <c r="AE227" i="3"/>
  <c r="AF227" i="3"/>
  <c r="AG227" i="3"/>
  <c r="AH227" i="3"/>
  <c r="AI227" i="3"/>
  <c r="AJ227" i="3"/>
  <c r="AK227" i="3"/>
  <c r="AL227" i="3"/>
  <c r="AN227" i="3"/>
  <c r="AO227" i="3"/>
  <c r="AP227" i="3"/>
  <c r="AQ227" i="3"/>
  <c r="AR227" i="3"/>
  <c r="AS227" i="3"/>
  <c r="AT227" i="3"/>
  <c r="AU227" i="3"/>
  <c r="AV227" i="3"/>
  <c r="D228" i="3"/>
  <c r="E228" i="3"/>
  <c r="F228" i="3"/>
  <c r="G228" i="3"/>
  <c r="H228" i="3"/>
  <c r="I228" i="3"/>
  <c r="Q228" i="3"/>
  <c r="R228" i="3"/>
  <c r="S228" i="3"/>
  <c r="T228" i="3"/>
  <c r="U228" i="3"/>
  <c r="W228" i="3"/>
  <c r="X228" i="3"/>
  <c r="Y228" i="3"/>
  <c r="Z228" i="3"/>
  <c r="AC228" i="3"/>
  <c r="AD228" i="3"/>
  <c r="AE228" i="3"/>
  <c r="AF228" i="3"/>
  <c r="AG228" i="3"/>
  <c r="AH228" i="3"/>
  <c r="AI228" i="3"/>
  <c r="AJ228" i="3"/>
  <c r="AK228" i="3"/>
  <c r="AL228" i="3"/>
  <c r="AN228" i="3"/>
  <c r="AO228" i="3"/>
  <c r="AP228" i="3"/>
  <c r="AQ228" i="3"/>
  <c r="AR228" i="3"/>
  <c r="AS228" i="3"/>
  <c r="AT228" i="3"/>
  <c r="AU228" i="3"/>
  <c r="AV228" i="3"/>
  <c r="D229" i="3"/>
  <c r="E229" i="3"/>
  <c r="F229" i="3"/>
  <c r="G229" i="3"/>
  <c r="H229" i="3"/>
  <c r="I229" i="3"/>
  <c r="Q229" i="3"/>
  <c r="R229" i="3"/>
  <c r="S229" i="3"/>
  <c r="T229" i="3"/>
  <c r="U229" i="3"/>
  <c r="W229" i="3"/>
  <c r="X229" i="3"/>
  <c r="Y229" i="3"/>
  <c r="Z229" i="3"/>
  <c r="AC229" i="3"/>
  <c r="AD229" i="3"/>
  <c r="AE229" i="3"/>
  <c r="AF229" i="3"/>
  <c r="AG229" i="3"/>
  <c r="AH229" i="3"/>
  <c r="AI229" i="3"/>
  <c r="AJ229" i="3"/>
  <c r="AK229" i="3"/>
  <c r="AL229" i="3"/>
  <c r="AN229" i="3"/>
  <c r="AO229" i="3"/>
  <c r="AP229" i="3"/>
  <c r="AQ229" i="3"/>
  <c r="AR229" i="3"/>
  <c r="AS229" i="3"/>
  <c r="AT229" i="3"/>
  <c r="AU229" i="3"/>
  <c r="AV229" i="3"/>
  <c r="D230" i="3"/>
  <c r="E230" i="3"/>
  <c r="F230" i="3"/>
  <c r="G230" i="3"/>
  <c r="H230" i="3"/>
  <c r="I230" i="3"/>
  <c r="Q230" i="3"/>
  <c r="R230" i="3"/>
  <c r="S230" i="3"/>
  <c r="T230" i="3"/>
  <c r="U230" i="3"/>
  <c r="W230" i="3"/>
  <c r="X230" i="3"/>
  <c r="Y230" i="3"/>
  <c r="Z230" i="3"/>
  <c r="AC230" i="3"/>
  <c r="AD230" i="3"/>
  <c r="AE230" i="3"/>
  <c r="AF230" i="3"/>
  <c r="AG230" i="3"/>
  <c r="AH230" i="3"/>
  <c r="AI230" i="3"/>
  <c r="AJ230" i="3"/>
  <c r="AK230" i="3"/>
  <c r="AL230" i="3"/>
  <c r="AN230" i="3"/>
  <c r="AO230" i="3"/>
  <c r="AP230" i="3"/>
  <c r="AQ230" i="3"/>
  <c r="AR230" i="3"/>
  <c r="AS230" i="3"/>
  <c r="AT230" i="3"/>
  <c r="AU230" i="3"/>
  <c r="AV230" i="3"/>
  <c r="D231" i="3"/>
  <c r="E231" i="3"/>
  <c r="F231" i="3"/>
  <c r="G231" i="3"/>
  <c r="H231" i="3"/>
  <c r="I231" i="3"/>
  <c r="Q231" i="3"/>
  <c r="R231" i="3"/>
  <c r="S231" i="3"/>
  <c r="T231" i="3"/>
  <c r="U231" i="3"/>
  <c r="W231" i="3"/>
  <c r="X231" i="3"/>
  <c r="Y231" i="3"/>
  <c r="Z231" i="3"/>
  <c r="AC231" i="3"/>
  <c r="AD231" i="3"/>
  <c r="AE231" i="3"/>
  <c r="AF231" i="3"/>
  <c r="AG231" i="3"/>
  <c r="AH231" i="3"/>
  <c r="AI231" i="3"/>
  <c r="AJ231" i="3"/>
  <c r="AK231" i="3"/>
  <c r="AL231" i="3"/>
  <c r="AN231" i="3"/>
  <c r="AO231" i="3"/>
  <c r="AP231" i="3"/>
  <c r="AQ231" i="3"/>
  <c r="AR231" i="3"/>
  <c r="AS231" i="3"/>
  <c r="AT231" i="3"/>
  <c r="AU231" i="3"/>
  <c r="AV231" i="3"/>
  <c r="D232" i="3"/>
  <c r="E232" i="3"/>
  <c r="F232" i="3"/>
  <c r="G232" i="3"/>
  <c r="H232" i="3"/>
  <c r="I232" i="3"/>
  <c r="Q232" i="3"/>
  <c r="R232" i="3"/>
  <c r="S232" i="3"/>
  <c r="T232" i="3"/>
  <c r="U232" i="3"/>
  <c r="W232" i="3"/>
  <c r="X232" i="3"/>
  <c r="Y232" i="3"/>
  <c r="Z232" i="3"/>
  <c r="AC232" i="3"/>
  <c r="AD232" i="3"/>
  <c r="AE232" i="3"/>
  <c r="AF232" i="3"/>
  <c r="AG232" i="3"/>
  <c r="AH232" i="3"/>
  <c r="AI232" i="3"/>
  <c r="AJ232" i="3"/>
  <c r="AK232" i="3"/>
  <c r="AL232" i="3"/>
  <c r="AN232" i="3"/>
  <c r="AO232" i="3"/>
  <c r="AP232" i="3"/>
  <c r="AQ232" i="3"/>
  <c r="AR232" i="3"/>
  <c r="AS232" i="3"/>
  <c r="AT232" i="3"/>
  <c r="AU232" i="3"/>
  <c r="AV232" i="3"/>
  <c r="D233" i="3"/>
  <c r="E233" i="3"/>
  <c r="F233" i="3"/>
  <c r="G233" i="3"/>
  <c r="H233" i="3"/>
  <c r="I233" i="3"/>
  <c r="Q233" i="3"/>
  <c r="R233" i="3"/>
  <c r="S233" i="3"/>
  <c r="T233" i="3"/>
  <c r="U233" i="3"/>
  <c r="W233" i="3"/>
  <c r="X233" i="3"/>
  <c r="Y233" i="3"/>
  <c r="Z233" i="3"/>
  <c r="AC233" i="3"/>
  <c r="AD233" i="3"/>
  <c r="AE233" i="3"/>
  <c r="AF233" i="3"/>
  <c r="AG233" i="3"/>
  <c r="AH233" i="3"/>
  <c r="AI233" i="3"/>
  <c r="AJ233" i="3"/>
  <c r="AK233" i="3"/>
  <c r="AL233" i="3"/>
  <c r="AN233" i="3"/>
  <c r="AO233" i="3"/>
  <c r="AP233" i="3"/>
  <c r="AQ233" i="3"/>
  <c r="AR233" i="3"/>
  <c r="AS233" i="3"/>
  <c r="AT233" i="3"/>
  <c r="AU233" i="3"/>
  <c r="AV233" i="3"/>
  <c r="D234" i="3"/>
  <c r="E234" i="3"/>
  <c r="F234" i="3"/>
  <c r="G234" i="3"/>
  <c r="H234" i="3"/>
  <c r="I234" i="3"/>
  <c r="Q234" i="3"/>
  <c r="R234" i="3"/>
  <c r="S234" i="3"/>
  <c r="T234" i="3"/>
  <c r="U234" i="3"/>
  <c r="W234" i="3"/>
  <c r="X234" i="3"/>
  <c r="Y234" i="3"/>
  <c r="Z234" i="3"/>
  <c r="AC234" i="3"/>
  <c r="AD234" i="3"/>
  <c r="AE234" i="3"/>
  <c r="AF234" i="3"/>
  <c r="AG234" i="3"/>
  <c r="AH234" i="3"/>
  <c r="AI234" i="3"/>
  <c r="AJ234" i="3"/>
  <c r="AK234" i="3"/>
  <c r="AL234" i="3"/>
  <c r="AN234" i="3"/>
  <c r="AO234" i="3"/>
  <c r="AP234" i="3"/>
  <c r="AQ234" i="3"/>
  <c r="AR234" i="3"/>
  <c r="AS234" i="3"/>
  <c r="AT234" i="3"/>
  <c r="AU234" i="3"/>
  <c r="AV234" i="3"/>
  <c r="D235" i="3"/>
  <c r="E235" i="3"/>
  <c r="F235" i="3"/>
  <c r="G235" i="3"/>
  <c r="H235" i="3"/>
  <c r="I235" i="3"/>
  <c r="Q235" i="3"/>
  <c r="R235" i="3"/>
  <c r="S235" i="3"/>
  <c r="T235" i="3"/>
  <c r="U235" i="3"/>
  <c r="W235" i="3"/>
  <c r="X235" i="3"/>
  <c r="Y235" i="3"/>
  <c r="Z235" i="3"/>
  <c r="AC235" i="3"/>
  <c r="AD235" i="3"/>
  <c r="AE235" i="3"/>
  <c r="AF235" i="3"/>
  <c r="AG235" i="3"/>
  <c r="AH235" i="3"/>
  <c r="AI235" i="3"/>
  <c r="AJ235" i="3"/>
  <c r="AK235" i="3"/>
  <c r="AL235" i="3"/>
  <c r="AN235" i="3"/>
  <c r="AO235" i="3"/>
  <c r="AP235" i="3"/>
  <c r="AQ235" i="3"/>
  <c r="AR235" i="3"/>
  <c r="AS235" i="3"/>
  <c r="AT235" i="3"/>
  <c r="AU235" i="3"/>
  <c r="AV235" i="3"/>
  <c r="D236" i="3"/>
  <c r="E236" i="3"/>
  <c r="F236" i="3"/>
  <c r="G236" i="3"/>
  <c r="H236" i="3"/>
  <c r="I236" i="3"/>
  <c r="Q236" i="3"/>
  <c r="R236" i="3"/>
  <c r="S236" i="3"/>
  <c r="T236" i="3"/>
  <c r="U236" i="3"/>
  <c r="W236" i="3"/>
  <c r="X236" i="3"/>
  <c r="Y236" i="3"/>
  <c r="Z236" i="3"/>
  <c r="AC236" i="3"/>
  <c r="AD236" i="3"/>
  <c r="AE236" i="3"/>
  <c r="AF236" i="3"/>
  <c r="AG236" i="3"/>
  <c r="AH236" i="3"/>
  <c r="AI236" i="3"/>
  <c r="AJ236" i="3"/>
  <c r="AK236" i="3"/>
  <c r="AL236" i="3"/>
  <c r="AN236" i="3"/>
  <c r="AO236" i="3"/>
  <c r="AP236" i="3"/>
  <c r="AQ236" i="3"/>
  <c r="AR236" i="3"/>
  <c r="AS236" i="3"/>
  <c r="AT236" i="3"/>
  <c r="AU236" i="3"/>
  <c r="AV236" i="3"/>
  <c r="D237" i="3"/>
  <c r="E237" i="3"/>
  <c r="F237" i="3"/>
  <c r="G237" i="3"/>
  <c r="H237" i="3"/>
  <c r="I237" i="3"/>
  <c r="Q237" i="3"/>
  <c r="R237" i="3"/>
  <c r="S237" i="3"/>
  <c r="T237" i="3"/>
  <c r="U237" i="3"/>
  <c r="W237" i="3"/>
  <c r="X237" i="3"/>
  <c r="Y237" i="3"/>
  <c r="Z237" i="3"/>
  <c r="AC237" i="3"/>
  <c r="AD237" i="3"/>
  <c r="AE237" i="3"/>
  <c r="AF237" i="3"/>
  <c r="AG237" i="3"/>
  <c r="AH237" i="3"/>
  <c r="AI237" i="3"/>
  <c r="AJ237" i="3"/>
  <c r="AK237" i="3"/>
  <c r="AL237" i="3"/>
  <c r="AN237" i="3"/>
  <c r="AO237" i="3"/>
  <c r="AP237" i="3"/>
  <c r="AQ237" i="3"/>
  <c r="AR237" i="3"/>
  <c r="AS237" i="3"/>
  <c r="AT237" i="3"/>
  <c r="AU237" i="3"/>
  <c r="AV237" i="3"/>
  <c r="D238" i="3"/>
  <c r="E238" i="3"/>
  <c r="F238" i="3"/>
  <c r="G238" i="3"/>
  <c r="H238" i="3"/>
  <c r="I238" i="3"/>
  <c r="Q238" i="3"/>
  <c r="R238" i="3"/>
  <c r="S238" i="3"/>
  <c r="T238" i="3"/>
  <c r="U238" i="3"/>
  <c r="W238" i="3"/>
  <c r="X238" i="3"/>
  <c r="Y238" i="3"/>
  <c r="Z238" i="3"/>
  <c r="AC238" i="3"/>
  <c r="AD238" i="3"/>
  <c r="AE238" i="3"/>
  <c r="AF238" i="3"/>
  <c r="AG238" i="3"/>
  <c r="AH238" i="3"/>
  <c r="AI238" i="3"/>
  <c r="AJ238" i="3"/>
  <c r="AK238" i="3"/>
  <c r="AL238" i="3"/>
  <c r="AN238" i="3"/>
  <c r="AO238" i="3"/>
  <c r="AP238" i="3"/>
  <c r="AQ238" i="3"/>
  <c r="AR238" i="3"/>
  <c r="AS238" i="3"/>
  <c r="AT238" i="3"/>
  <c r="AU238" i="3"/>
  <c r="AV238" i="3"/>
  <c r="D239" i="3"/>
  <c r="E239" i="3"/>
  <c r="F239" i="3"/>
  <c r="G239" i="3"/>
  <c r="H239" i="3"/>
  <c r="I239" i="3"/>
  <c r="Q239" i="3"/>
  <c r="R239" i="3"/>
  <c r="S239" i="3"/>
  <c r="T239" i="3"/>
  <c r="U239" i="3"/>
  <c r="W239" i="3"/>
  <c r="X239" i="3"/>
  <c r="Y239" i="3"/>
  <c r="Z239" i="3"/>
  <c r="AC239" i="3"/>
  <c r="AD239" i="3"/>
  <c r="AE239" i="3"/>
  <c r="AF239" i="3"/>
  <c r="AG239" i="3"/>
  <c r="AH239" i="3"/>
  <c r="AI239" i="3"/>
  <c r="AJ239" i="3"/>
  <c r="AK239" i="3"/>
  <c r="AL239" i="3"/>
  <c r="AN239" i="3"/>
  <c r="AO239" i="3"/>
  <c r="AP239" i="3"/>
  <c r="AQ239" i="3"/>
  <c r="AR239" i="3"/>
  <c r="AS239" i="3"/>
  <c r="AT239" i="3"/>
  <c r="AU239" i="3"/>
  <c r="AV239" i="3"/>
  <c r="D240" i="3"/>
  <c r="E240" i="3"/>
  <c r="F240" i="3"/>
  <c r="G240" i="3"/>
  <c r="H240" i="3"/>
  <c r="I240" i="3"/>
  <c r="Q240" i="3"/>
  <c r="R240" i="3"/>
  <c r="S240" i="3"/>
  <c r="T240" i="3"/>
  <c r="U240" i="3"/>
  <c r="W240" i="3"/>
  <c r="X240" i="3"/>
  <c r="Y240" i="3"/>
  <c r="Z240" i="3"/>
  <c r="AC240" i="3"/>
  <c r="AD240" i="3"/>
  <c r="AE240" i="3"/>
  <c r="AF240" i="3"/>
  <c r="AG240" i="3"/>
  <c r="AH240" i="3"/>
  <c r="AI240" i="3"/>
  <c r="AJ240" i="3"/>
  <c r="AK240" i="3"/>
  <c r="AL240" i="3"/>
  <c r="AN240" i="3"/>
  <c r="AO240" i="3"/>
  <c r="AP240" i="3"/>
  <c r="AQ240" i="3"/>
  <c r="AR240" i="3"/>
  <c r="AS240" i="3"/>
  <c r="AT240" i="3"/>
  <c r="AU240" i="3"/>
  <c r="AV240" i="3"/>
  <c r="D241" i="3"/>
  <c r="E241" i="3"/>
  <c r="F241" i="3"/>
  <c r="G241" i="3"/>
  <c r="H241" i="3"/>
  <c r="I241" i="3"/>
  <c r="Q241" i="3"/>
  <c r="R241" i="3"/>
  <c r="S241" i="3"/>
  <c r="T241" i="3"/>
  <c r="U241" i="3"/>
  <c r="W241" i="3"/>
  <c r="X241" i="3"/>
  <c r="Y241" i="3"/>
  <c r="Z241" i="3"/>
  <c r="AC241" i="3"/>
  <c r="AD241" i="3"/>
  <c r="AE241" i="3"/>
  <c r="AF241" i="3"/>
  <c r="AG241" i="3"/>
  <c r="AH241" i="3"/>
  <c r="AI241" i="3"/>
  <c r="AJ241" i="3"/>
  <c r="AK241" i="3"/>
  <c r="AL241" i="3"/>
  <c r="AN241" i="3"/>
  <c r="AO241" i="3"/>
  <c r="AP241" i="3"/>
  <c r="AQ241" i="3"/>
  <c r="AR241" i="3"/>
  <c r="AS241" i="3"/>
  <c r="AT241" i="3"/>
  <c r="AU241" i="3"/>
  <c r="AV241" i="3"/>
  <c r="D243" i="3"/>
  <c r="E243" i="3"/>
  <c r="F243" i="3"/>
  <c r="G243" i="3"/>
  <c r="H243" i="3"/>
  <c r="I243" i="3"/>
  <c r="Q243" i="3"/>
  <c r="R243" i="3"/>
  <c r="S243" i="3"/>
  <c r="T243" i="3"/>
  <c r="U243" i="3"/>
  <c r="W243" i="3"/>
  <c r="X243" i="3"/>
  <c r="Y243" i="3"/>
  <c r="Z243" i="3"/>
  <c r="AC243" i="3"/>
  <c r="AD243" i="3"/>
  <c r="AE243" i="3"/>
  <c r="AF243" i="3"/>
  <c r="AG243" i="3"/>
  <c r="AH243" i="3"/>
  <c r="AI243" i="3"/>
  <c r="AJ243" i="3"/>
  <c r="AK243" i="3"/>
  <c r="AL243" i="3"/>
  <c r="AN243" i="3"/>
  <c r="AO243" i="3"/>
  <c r="AP243" i="3"/>
  <c r="AQ243" i="3"/>
  <c r="AR243" i="3"/>
  <c r="AS243" i="3"/>
  <c r="AT243" i="3"/>
  <c r="AU243" i="3"/>
  <c r="AV243" i="3"/>
  <c r="D244" i="3"/>
  <c r="E244" i="3"/>
  <c r="F244" i="3"/>
  <c r="G244" i="3"/>
  <c r="H244" i="3"/>
  <c r="I244" i="3"/>
  <c r="Q244" i="3"/>
  <c r="R244" i="3"/>
  <c r="S244" i="3"/>
  <c r="T244" i="3"/>
  <c r="U244" i="3"/>
  <c r="W244" i="3"/>
  <c r="X244" i="3"/>
  <c r="Y244" i="3"/>
  <c r="Z244" i="3"/>
  <c r="AC244" i="3"/>
  <c r="AD244" i="3"/>
  <c r="AE244" i="3"/>
  <c r="AF244" i="3"/>
  <c r="AG244" i="3"/>
  <c r="AH244" i="3"/>
  <c r="AI244" i="3"/>
  <c r="AJ244" i="3"/>
  <c r="AK244" i="3"/>
  <c r="AL244" i="3"/>
  <c r="AN244" i="3"/>
  <c r="AO244" i="3"/>
  <c r="AP244" i="3"/>
  <c r="AQ244" i="3"/>
  <c r="AR244" i="3"/>
  <c r="AS244" i="3"/>
  <c r="AT244" i="3"/>
  <c r="AU244" i="3"/>
  <c r="AV244" i="3"/>
  <c r="D245" i="3"/>
  <c r="E245" i="3"/>
  <c r="F245" i="3"/>
  <c r="G245" i="3"/>
  <c r="H245" i="3"/>
  <c r="I245" i="3"/>
  <c r="Q245" i="3"/>
  <c r="R245" i="3"/>
  <c r="S245" i="3"/>
  <c r="T245" i="3"/>
  <c r="U245" i="3"/>
  <c r="W245" i="3"/>
  <c r="X245" i="3"/>
  <c r="Y245" i="3"/>
  <c r="Z245" i="3"/>
  <c r="AC245" i="3"/>
  <c r="AD245" i="3"/>
  <c r="AE245" i="3"/>
  <c r="AF245" i="3"/>
  <c r="AG245" i="3"/>
  <c r="AH245" i="3"/>
  <c r="AI245" i="3"/>
  <c r="AJ245" i="3"/>
  <c r="AK245" i="3"/>
  <c r="AL245" i="3"/>
  <c r="AN245" i="3"/>
  <c r="AO245" i="3"/>
  <c r="AP245" i="3"/>
  <c r="AQ245" i="3"/>
  <c r="AR245" i="3"/>
  <c r="AS245" i="3"/>
  <c r="AT245" i="3"/>
  <c r="AU245" i="3"/>
  <c r="AV245" i="3"/>
  <c r="D246" i="3"/>
  <c r="E246" i="3"/>
  <c r="F246" i="3"/>
  <c r="G246" i="3"/>
  <c r="H246" i="3"/>
  <c r="I246" i="3"/>
  <c r="Q246" i="3"/>
  <c r="R246" i="3"/>
  <c r="S246" i="3"/>
  <c r="T246" i="3"/>
  <c r="U246" i="3"/>
  <c r="W246" i="3"/>
  <c r="X246" i="3"/>
  <c r="Y246" i="3"/>
  <c r="Z246" i="3"/>
  <c r="AC246" i="3"/>
  <c r="AD246" i="3"/>
  <c r="AE246" i="3"/>
  <c r="AF246" i="3"/>
  <c r="AG246" i="3"/>
  <c r="AH246" i="3"/>
  <c r="AI246" i="3"/>
  <c r="AJ246" i="3"/>
  <c r="AK246" i="3"/>
  <c r="AL246" i="3"/>
  <c r="AN246" i="3"/>
  <c r="AO246" i="3"/>
  <c r="AP246" i="3"/>
  <c r="AQ246" i="3"/>
  <c r="AR246" i="3"/>
  <c r="AS246" i="3"/>
  <c r="AT246" i="3"/>
  <c r="AU246" i="3"/>
  <c r="AV246" i="3"/>
  <c r="D247" i="3"/>
  <c r="E247" i="3"/>
  <c r="F247" i="3"/>
  <c r="G247" i="3"/>
  <c r="H247" i="3"/>
  <c r="I247" i="3"/>
  <c r="Q247" i="3"/>
  <c r="R247" i="3"/>
  <c r="S247" i="3"/>
  <c r="T247" i="3"/>
  <c r="U247" i="3"/>
  <c r="W247" i="3"/>
  <c r="X247" i="3"/>
  <c r="Y247" i="3"/>
  <c r="Z247" i="3"/>
  <c r="AC247" i="3"/>
  <c r="AD247" i="3"/>
  <c r="AE247" i="3"/>
  <c r="AF247" i="3"/>
  <c r="AG247" i="3"/>
  <c r="AH247" i="3"/>
  <c r="AI247" i="3"/>
  <c r="AJ247" i="3"/>
  <c r="AK247" i="3"/>
  <c r="AL247" i="3"/>
  <c r="AN247" i="3"/>
  <c r="AO247" i="3"/>
  <c r="AP247" i="3"/>
  <c r="AQ247" i="3"/>
  <c r="AR247" i="3"/>
  <c r="AS247" i="3"/>
  <c r="AT247" i="3"/>
  <c r="AU247" i="3"/>
  <c r="AV247" i="3"/>
  <c r="D248" i="3"/>
  <c r="E248" i="3"/>
  <c r="F248" i="3"/>
  <c r="G248" i="3"/>
  <c r="H248" i="3"/>
  <c r="I248" i="3"/>
  <c r="Q248" i="3"/>
  <c r="R248" i="3"/>
  <c r="S248" i="3"/>
  <c r="T248" i="3"/>
  <c r="U248" i="3"/>
  <c r="W248" i="3"/>
  <c r="X248" i="3"/>
  <c r="Y248" i="3"/>
  <c r="Z248" i="3"/>
  <c r="AC248" i="3"/>
  <c r="AD248" i="3"/>
  <c r="AE248" i="3"/>
  <c r="AF248" i="3"/>
  <c r="AG248" i="3"/>
  <c r="AH248" i="3"/>
  <c r="AI248" i="3"/>
  <c r="AJ248" i="3"/>
  <c r="AK248" i="3"/>
  <c r="AL248" i="3"/>
  <c r="AN248" i="3"/>
  <c r="AO248" i="3"/>
  <c r="AP248" i="3"/>
  <c r="AQ248" i="3"/>
  <c r="AR248" i="3"/>
  <c r="AS248" i="3"/>
  <c r="AT248" i="3"/>
  <c r="AU248" i="3"/>
  <c r="AV248" i="3"/>
  <c r="D250" i="3"/>
  <c r="E250" i="3"/>
  <c r="F250" i="3"/>
  <c r="G250" i="3"/>
  <c r="H250" i="3"/>
  <c r="I250" i="3"/>
  <c r="Q250" i="3"/>
  <c r="R250" i="3"/>
  <c r="S250" i="3"/>
  <c r="T250" i="3"/>
  <c r="U250" i="3"/>
  <c r="W250" i="3"/>
  <c r="X250" i="3"/>
  <c r="Y250" i="3"/>
  <c r="Z250" i="3"/>
  <c r="AC250" i="3"/>
  <c r="AD250" i="3"/>
  <c r="AE250" i="3"/>
  <c r="AF250" i="3"/>
  <c r="AG250" i="3"/>
  <c r="AH250" i="3"/>
  <c r="AI250" i="3"/>
  <c r="AJ250" i="3"/>
  <c r="AK250" i="3"/>
  <c r="AL250" i="3"/>
  <c r="AN250" i="3"/>
  <c r="AO250" i="3"/>
  <c r="AP250" i="3"/>
  <c r="AQ250" i="3"/>
  <c r="AR250" i="3"/>
  <c r="AS250" i="3"/>
  <c r="AT250" i="3"/>
  <c r="AU250" i="3"/>
  <c r="AV250" i="3"/>
  <c r="C252" i="3"/>
  <c r="D252" i="3"/>
  <c r="E252" i="3"/>
  <c r="F252" i="3"/>
  <c r="G252" i="3"/>
  <c r="I252" i="3"/>
  <c r="Q252" i="3"/>
  <c r="R252" i="3"/>
  <c r="S252" i="3"/>
  <c r="T252" i="3"/>
  <c r="U252" i="3"/>
  <c r="W252" i="3"/>
  <c r="X252" i="3"/>
  <c r="Y252" i="3"/>
  <c r="Z252" i="3"/>
  <c r="AC252" i="3"/>
  <c r="AD252" i="3"/>
  <c r="AE252" i="3"/>
  <c r="AF252" i="3"/>
  <c r="AG252" i="3"/>
  <c r="AH252" i="3"/>
  <c r="AI252" i="3"/>
  <c r="AJ252" i="3"/>
  <c r="AK252" i="3"/>
  <c r="AL252" i="3"/>
  <c r="AN252" i="3"/>
  <c r="AO252" i="3"/>
  <c r="AP252" i="3"/>
  <c r="AQ252" i="3"/>
  <c r="AR252" i="3"/>
  <c r="AS252" i="3"/>
  <c r="AT252" i="3"/>
  <c r="AU252" i="3"/>
  <c r="AV252" i="3"/>
  <c r="C253" i="3"/>
  <c r="D253" i="3"/>
  <c r="E253" i="3"/>
  <c r="F253" i="3"/>
  <c r="G253" i="3"/>
  <c r="I253" i="3"/>
  <c r="Q253" i="3"/>
  <c r="R253" i="3"/>
  <c r="S253" i="3"/>
  <c r="T253" i="3"/>
  <c r="U253" i="3"/>
  <c r="W253" i="3"/>
  <c r="X253" i="3"/>
  <c r="Y253" i="3"/>
  <c r="Z253" i="3"/>
  <c r="AC253" i="3"/>
  <c r="AD253" i="3"/>
  <c r="AE253" i="3"/>
  <c r="AF253" i="3"/>
  <c r="AG253" i="3"/>
  <c r="AH253" i="3"/>
  <c r="AI253" i="3"/>
  <c r="AJ253" i="3"/>
  <c r="AK253" i="3"/>
  <c r="AL253" i="3"/>
  <c r="AN253" i="3"/>
  <c r="AO253" i="3"/>
  <c r="AP253" i="3"/>
  <c r="AQ253" i="3"/>
  <c r="AR253" i="3"/>
  <c r="AS253" i="3"/>
  <c r="AT253" i="3"/>
  <c r="AU253" i="3"/>
  <c r="AV253" i="3"/>
  <c r="C254" i="3"/>
  <c r="D254" i="3"/>
  <c r="E254" i="3"/>
  <c r="F254" i="3"/>
  <c r="G254" i="3"/>
  <c r="I254" i="3"/>
  <c r="Q254" i="3"/>
  <c r="R254" i="3"/>
  <c r="S254" i="3"/>
  <c r="T254" i="3"/>
  <c r="U254" i="3"/>
  <c r="W254" i="3"/>
  <c r="X254" i="3"/>
  <c r="Y254" i="3"/>
  <c r="Z254" i="3"/>
  <c r="AC254" i="3"/>
  <c r="AD254" i="3"/>
  <c r="AE254" i="3"/>
  <c r="AF254" i="3"/>
  <c r="AG254" i="3"/>
  <c r="AH254" i="3"/>
  <c r="AI254" i="3"/>
  <c r="AJ254" i="3"/>
  <c r="AK254" i="3"/>
  <c r="AL254" i="3"/>
  <c r="AN254" i="3"/>
  <c r="AO254" i="3"/>
  <c r="AP254" i="3"/>
  <c r="AQ254" i="3"/>
  <c r="AR254" i="3"/>
  <c r="AS254" i="3"/>
  <c r="AT254" i="3"/>
  <c r="AU254" i="3"/>
  <c r="AV254" i="3"/>
  <c r="C255" i="3"/>
  <c r="D255" i="3"/>
  <c r="E255" i="3"/>
  <c r="F255" i="3"/>
  <c r="G255" i="3"/>
  <c r="I255" i="3"/>
  <c r="Q255" i="3"/>
  <c r="R255" i="3"/>
  <c r="S255" i="3"/>
  <c r="T255" i="3"/>
  <c r="U255" i="3"/>
  <c r="W255" i="3"/>
  <c r="X255" i="3"/>
  <c r="Y255" i="3"/>
  <c r="Z255" i="3"/>
  <c r="AC255" i="3"/>
  <c r="AD255" i="3"/>
  <c r="AE255" i="3"/>
  <c r="AF255" i="3"/>
  <c r="AG255" i="3"/>
  <c r="AH255" i="3"/>
  <c r="AI255" i="3"/>
  <c r="AJ255" i="3"/>
  <c r="AK255" i="3"/>
  <c r="AL255" i="3"/>
  <c r="AN255" i="3"/>
  <c r="AO255" i="3"/>
  <c r="AP255" i="3"/>
  <c r="AQ255" i="3"/>
  <c r="AR255" i="3"/>
  <c r="AS255" i="3"/>
  <c r="AT255" i="3"/>
  <c r="AU255" i="3"/>
  <c r="AV255" i="3"/>
  <c r="C256" i="3"/>
  <c r="D256" i="3"/>
  <c r="E256" i="3"/>
  <c r="F256" i="3"/>
  <c r="G256" i="3"/>
  <c r="I256" i="3"/>
  <c r="Q256" i="3"/>
  <c r="R256" i="3"/>
  <c r="S256" i="3"/>
  <c r="T256" i="3"/>
  <c r="U256" i="3"/>
  <c r="W256" i="3"/>
  <c r="X256" i="3"/>
  <c r="Y256" i="3"/>
  <c r="Z256" i="3"/>
  <c r="AC256" i="3"/>
  <c r="AD256" i="3"/>
  <c r="AE256" i="3"/>
  <c r="AF256" i="3"/>
  <c r="AG256" i="3"/>
  <c r="AH256" i="3"/>
  <c r="AI256" i="3"/>
  <c r="AJ256" i="3"/>
  <c r="AK256" i="3"/>
  <c r="AL256" i="3"/>
  <c r="AN256" i="3"/>
  <c r="AO256" i="3"/>
  <c r="AP256" i="3"/>
  <c r="AQ256" i="3"/>
  <c r="AR256" i="3"/>
  <c r="AS256" i="3"/>
  <c r="AT256" i="3"/>
  <c r="AU256" i="3"/>
  <c r="AV256" i="3"/>
  <c r="C257" i="3"/>
  <c r="D257" i="3"/>
  <c r="E257" i="3"/>
  <c r="F257" i="3"/>
  <c r="G257" i="3"/>
  <c r="I257" i="3"/>
  <c r="Q257" i="3"/>
  <c r="R257" i="3"/>
  <c r="S257" i="3"/>
  <c r="T257" i="3"/>
  <c r="U257" i="3"/>
  <c r="W257" i="3"/>
  <c r="X257" i="3"/>
  <c r="Y257" i="3"/>
  <c r="Z257" i="3"/>
  <c r="AC257" i="3"/>
  <c r="AD257" i="3"/>
  <c r="AE257" i="3"/>
  <c r="AF257" i="3"/>
  <c r="AG257" i="3"/>
  <c r="AH257" i="3"/>
  <c r="AI257" i="3"/>
  <c r="AJ257" i="3"/>
  <c r="AK257" i="3"/>
  <c r="AL257" i="3"/>
  <c r="AN257" i="3"/>
  <c r="AO257" i="3"/>
  <c r="AP257" i="3"/>
  <c r="AQ257" i="3"/>
  <c r="AR257" i="3"/>
  <c r="AS257" i="3"/>
  <c r="AT257" i="3"/>
  <c r="AU257" i="3"/>
  <c r="AV257" i="3"/>
  <c r="D258" i="3"/>
  <c r="E258" i="3"/>
  <c r="F258" i="3"/>
  <c r="G258" i="3"/>
  <c r="H258" i="3"/>
  <c r="I258" i="3"/>
  <c r="Q258" i="3"/>
  <c r="R258" i="3"/>
  <c r="S258" i="3"/>
  <c r="T258" i="3"/>
  <c r="U258" i="3"/>
  <c r="W258" i="3"/>
  <c r="X258" i="3"/>
  <c r="Y258" i="3"/>
  <c r="Z258" i="3"/>
  <c r="AC258" i="3"/>
  <c r="AD258" i="3"/>
  <c r="AE258" i="3"/>
  <c r="AF258" i="3"/>
  <c r="AG258" i="3"/>
  <c r="AH258" i="3"/>
  <c r="AI258" i="3"/>
  <c r="AJ258" i="3"/>
  <c r="AK258" i="3"/>
  <c r="AL258" i="3"/>
  <c r="AN258" i="3"/>
  <c r="AO258" i="3"/>
  <c r="AP258" i="3"/>
  <c r="AQ258" i="3"/>
  <c r="AR258" i="3"/>
  <c r="AS258" i="3"/>
  <c r="AT258" i="3"/>
  <c r="AU258" i="3"/>
  <c r="AV258" i="3"/>
  <c r="D259" i="3"/>
  <c r="E259" i="3"/>
  <c r="F259" i="3"/>
  <c r="G259" i="3"/>
  <c r="H259" i="3"/>
  <c r="I259" i="3"/>
  <c r="Q259" i="3"/>
  <c r="R259" i="3"/>
  <c r="S259" i="3"/>
  <c r="T259" i="3"/>
  <c r="U259" i="3"/>
  <c r="W259" i="3"/>
  <c r="X259" i="3"/>
  <c r="Y259" i="3"/>
  <c r="Z259" i="3"/>
  <c r="AC259" i="3"/>
  <c r="AD259" i="3"/>
  <c r="AE259" i="3"/>
  <c r="AF259" i="3"/>
  <c r="AG259" i="3"/>
  <c r="AH259" i="3"/>
  <c r="AI259" i="3"/>
  <c r="AJ259" i="3"/>
  <c r="AK259" i="3"/>
  <c r="AL259" i="3"/>
  <c r="AN259" i="3"/>
  <c r="AO259" i="3"/>
  <c r="AP259" i="3"/>
  <c r="AQ259" i="3"/>
  <c r="AR259" i="3"/>
  <c r="AS259" i="3"/>
  <c r="AT259" i="3"/>
  <c r="AU259" i="3"/>
  <c r="AV259" i="3"/>
  <c r="D260" i="3"/>
  <c r="E260" i="3"/>
  <c r="F260" i="3"/>
  <c r="G260" i="3"/>
  <c r="H260" i="3"/>
  <c r="I260" i="3"/>
  <c r="Q260" i="3"/>
  <c r="R260" i="3"/>
  <c r="S260" i="3"/>
  <c r="T260" i="3"/>
  <c r="U260" i="3"/>
  <c r="W260" i="3"/>
  <c r="X260" i="3"/>
  <c r="Y260" i="3"/>
  <c r="Z260" i="3"/>
  <c r="AC260" i="3"/>
  <c r="AD260" i="3"/>
  <c r="AE260" i="3"/>
  <c r="AF260" i="3"/>
  <c r="AG260" i="3"/>
  <c r="AH260" i="3"/>
  <c r="AI260" i="3"/>
  <c r="AJ260" i="3"/>
  <c r="AK260" i="3"/>
  <c r="AL260" i="3"/>
  <c r="AN260" i="3"/>
  <c r="AO260" i="3"/>
  <c r="AP260" i="3"/>
  <c r="AQ260" i="3"/>
  <c r="AR260" i="3"/>
  <c r="AS260" i="3"/>
  <c r="AT260" i="3"/>
  <c r="AU260" i="3"/>
  <c r="AV260" i="3"/>
  <c r="D261" i="3"/>
  <c r="E261" i="3"/>
  <c r="F261" i="3"/>
  <c r="G261" i="3"/>
  <c r="H261" i="3"/>
  <c r="I261" i="3"/>
  <c r="Q261" i="3"/>
  <c r="R261" i="3"/>
  <c r="S261" i="3"/>
  <c r="T261" i="3"/>
  <c r="U261" i="3"/>
  <c r="W261" i="3"/>
  <c r="X261" i="3"/>
  <c r="Y261" i="3"/>
  <c r="Z261" i="3"/>
  <c r="AC261" i="3"/>
  <c r="AD261" i="3"/>
  <c r="AE261" i="3"/>
  <c r="AF261" i="3"/>
  <c r="AG261" i="3"/>
  <c r="AH261" i="3"/>
  <c r="AI261" i="3"/>
  <c r="AJ261" i="3"/>
  <c r="AK261" i="3"/>
  <c r="AL261" i="3"/>
  <c r="AN261" i="3"/>
  <c r="AO261" i="3"/>
  <c r="AP261" i="3"/>
  <c r="AQ261" i="3"/>
  <c r="AR261" i="3"/>
  <c r="AS261" i="3"/>
  <c r="AT261" i="3"/>
  <c r="AU261" i="3"/>
  <c r="AV261" i="3"/>
  <c r="D262" i="3"/>
  <c r="E262" i="3"/>
  <c r="F262" i="3"/>
  <c r="G262" i="3"/>
  <c r="H262" i="3"/>
  <c r="I262" i="3"/>
  <c r="Q262" i="3"/>
  <c r="R262" i="3"/>
  <c r="S262" i="3"/>
  <c r="T262" i="3"/>
  <c r="U262" i="3"/>
  <c r="W262" i="3"/>
  <c r="X262" i="3"/>
  <c r="Y262" i="3"/>
  <c r="Z262" i="3"/>
  <c r="AC262" i="3"/>
  <c r="AD262" i="3"/>
  <c r="AE262" i="3"/>
  <c r="AF262" i="3"/>
  <c r="AG262" i="3"/>
  <c r="AH262" i="3"/>
  <c r="AI262" i="3"/>
  <c r="AJ262" i="3"/>
  <c r="AK262" i="3"/>
  <c r="AL262" i="3"/>
  <c r="AN262" i="3"/>
  <c r="AO262" i="3"/>
  <c r="AP262" i="3"/>
  <c r="AQ262" i="3"/>
  <c r="AR262" i="3"/>
  <c r="AS262" i="3"/>
  <c r="AT262" i="3"/>
  <c r="AU262" i="3"/>
  <c r="AV262" i="3"/>
  <c r="D263" i="3"/>
  <c r="E263" i="3"/>
  <c r="F263" i="3"/>
  <c r="G263" i="3"/>
  <c r="H263" i="3"/>
  <c r="I263" i="3"/>
  <c r="Q263" i="3"/>
  <c r="R263" i="3"/>
  <c r="S263" i="3"/>
  <c r="T263" i="3"/>
  <c r="U263" i="3"/>
  <c r="W263" i="3"/>
  <c r="X263" i="3"/>
  <c r="Y263" i="3"/>
  <c r="Z263" i="3"/>
  <c r="AC263" i="3"/>
  <c r="AD263" i="3"/>
  <c r="AE263" i="3"/>
  <c r="AF263" i="3"/>
  <c r="AG263" i="3"/>
  <c r="AH263" i="3"/>
  <c r="AI263" i="3"/>
  <c r="AJ263" i="3"/>
  <c r="AK263" i="3"/>
  <c r="AL263" i="3"/>
  <c r="AN263" i="3"/>
  <c r="AO263" i="3"/>
  <c r="AP263" i="3"/>
  <c r="AQ263" i="3"/>
  <c r="AR263" i="3"/>
  <c r="AS263" i="3"/>
  <c r="AT263" i="3"/>
  <c r="AU263" i="3"/>
  <c r="AV263" i="3"/>
  <c r="D264" i="3"/>
  <c r="E264" i="3"/>
  <c r="F264" i="3"/>
  <c r="G264" i="3"/>
  <c r="H264" i="3"/>
  <c r="I264" i="3"/>
  <c r="Q264" i="3"/>
  <c r="R264" i="3"/>
  <c r="S264" i="3"/>
  <c r="T264" i="3"/>
  <c r="U264" i="3"/>
  <c r="W264" i="3"/>
  <c r="X264" i="3"/>
  <c r="Y264" i="3"/>
  <c r="Z264" i="3"/>
  <c r="AC264" i="3"/>
  <c r="AD264" i="3"/>
  <c r="AE264" i="3"/>
  <c r="AF264" i="3"/>
  <c r="AG264" i="3"/>
  <c r="AH264" i="3"/>
  <c r="AI264" i="3"/>
  <c r="AJ264" i="3"/>
  <c r="AK264" i="3"/>
  <c r="AL264" i="3"/>
  <c r="AN264" i="3"/>
  <c r="AO264" i="3"/>
  <c r="AP264" i="3"/>
  <c r="AQ264" i="3"/>
  <c r="AR264" i="3"/>
  <c r="AS264" i="3"/>
  <c r="AT264" i="3"/>
  <c r="AU264" i="3"/>
  <c r="AV264" i="3"/>
  <c r="D265" i="3"/>
  <c r="E265" i="3"/>
  <c r="F265" i="3"/>
  <c r="G265" i="3"/>
  <c r="H265" i="3"/>
  <c r="I265" i="3"/>
  <c r="Q265" i="3"/>
  <c r="R265" i="3"/>
  <c r="S265" i="3"/>
  <c r="T265" i="3"/>
  <c r="U265" i="3"/>
  <c r="W265" i="3"/>
  <c r="X265" i="3"/>
  <c r="Y265" i="3"/>
  <c r="Z265" i="3"/>
  <c r="AC265" i="3"/>
  <c r="AD265" i="3"/>
  <c r="AE265" i="3"/>
  <c r="AF265" i="3"/>
  <c r="AG265" i="3"/>
  <c r="AH265" i="3"/>
  <c r="AI265" i="3"/>
  <c r="AJ265" i="3"/>
  <c r="AK265" i="3"/>
  <c r="AL265" i="3"/>
  <c r="AN265" i="3"/>
  <c r="AO265" i="3"/>
  <c r="AP265" i="3"/>
  <c r="AQ265" i="3"/>
  <c r="AR265" i="3"/>
  <c r="AS265" i="3"/>
  <c r="AT265" i="3"/>
  <c r="AU265" i="3"/>
  <c r="AV265" i="3"/>
  <c r="D266" i="3"/>
  <c r="E266" i="3"/>
  <c r="F266" i="3"/>
  <c r="G266" i="3"/>
  <c r="H266" i="3"/>
  <c r="I266" i="3"/>
  <c r="Q266" i="3"/>
  <c r="R266" i="3"/>
  <c r="S266" i="3"/>
  <c r="T266" i="3"/>
  <c r="U266" i="3"/>
  <c r="W266" i="3"/>
  <c r="X266" i="3"/>
  <c r="Y266" i="3"/>
  <c r="Z266" i="3"/>
  <c r="AC266" i="3"/>
  <c r="AD266" i="3"/>
  <c r="AE266" i="3"/>
  <c r="AF266" i="3"/>
  <c r="AG266" i="3"/>
  <c r="AH266" i="3"/>
  <c r="AI266" i="3"/>
  <c r="AJ266" i="3"/>
  <c r="AK266" i="3"/>
  <c r="AL266" i="3"/>
  <c r="AN266" i="3"/>
  <c r="AO266" i="3"/>
  <c r="AP266" i="3"/>
  <c r="AQ266" i="3"/>
  <c r="AR266" i="3"/>
  <c r="AS266" i="3"/>
  <c r="AT266" i="3"/>
  <c r="AU266" i="3"/>
  <c r="AV266" i="3"/>
  <c r="D267" i="3"/>
  <c r="E267" i="3"/>
  <c r="F267" i="3"/>
  <c r="G267" i="3"/>
  <c r="H267" i="3"/>
  <c r="I267" i="3"/>
  <c r="Q267" i="3"/>
  <c r="R267" i="3"/>
  <c r="S267" i="3"/>
  <c r="T267" i="3"/>
  <c r="U267" i="3"/>
  <c r="W267" i="3"/>
  <c r="X267" i="3"/>
  <c r="Y267" i="3"/>
  <c r="Z267" i="3"/>
  <c r="AC267" i="3"/>
  <c r="AD267" i="3"/>
  <c r="AE267" i="3"/>
  <c r="AF267" i="3"/>
  <c r="AG267" i="3"/>
  <c r="AH267" i="3"/>
  <c r="AI267" i="3"/>
  <c r="AJ267" i="3"/>
  <c r="AK267" i="3"/>
  <c r="AL267" i="3"/>
  <c r="AN267" i="3"/>
  <c r="AO267" i="3"/>
  <c r="AP267" i="3"/>
  <c r="AQ267" i="3"/>
  <c r="AR267" i="3"/>
  <c r="AS267" i="3"/>
  <c r="AT267" i="3"/>
  <c r="AU267" i="3"/>
  <c r="AV267" i="3"/>
  <c r="D268" i="3"/>
  <c r="E268" i="3"/>
  <c r="F268" i="3"/>
  <c r="G268" i="3"/>
  <c r="H268" i="3"/>
  <c r="I268" i="3"/>
  <c r="Q268" i="3"/>
  <c r="R268" i="3"/>
  <c r="S268" i="3"/>
  <c r="T268" i="3"/>
  <c r="U268" i="3"/>
  <c r="W268" i="3"/>
  <c r="X268" i="3"/>
  <c r="Y268" i="3"/>
  <c r="Z268" i="3"/>
  <c r="AC268" i="3"/>
  <c r="AD268" i="3"/>
  <c r="AE268" i="3"/>
  <c r="AF268" i="3"/>
  <c r="AG268" i="3"/>
  <c r="AH268" i="3"/>
  <c r="AI268" i="3"/>
  <c r="AJ268" i="3"/>
  <c r="AK268" i="3"/>
  <c r="AL268" i="3"/>
  <c r="AN268" i="3"/>
  <c r="AO268" i="3"/>
  <c r="AP268" i="3"/>
  <c r="AQ268" i="3"/>
  <c r="AR268" i="3"/>
  <c r="AS268" i="3"/>
  <c r="AT268" i="3"/>
  <c r="AU268" i="3"/>
  <c r="AV268" i="3"/>
  <c r="D269" i="3"/>
  <c r="E269" i="3"/>
  <c r="F269" i="3"/>
  <c r="G269" i="3"/>
  <c r="H269" i="3"/>
  <c r="I269" i="3"/>
  <c r="Q269" i="3"/>
  <c r="R269" i="3"/>
  <c r="S269" i="3"/>
  <c r="T269" i="3"/>
  <c r="U269" i="3"/>
  <c r="W269" i="3"/>
  <c r="X269" i="3"/>
  <c r="Y269" i="3"/>
  <c r="Z269" i="3"/>
  <c r="AC269" i="3"/>
  <c r="AD269" i="3"/>
  <c r="AE269" i="3"/>
  <c r="AF269" i="3"/>
  <c r="AG269" i="3"/>
  <c r="AH269" i="3"/>
  <c r="AI269" i="3"/>
  <c r="AJ269" i="3"/>
  <c r="AK269" i="3"/>
  <c r="AL269" i="3"/>
  <c r="AN269" i="3"/>
  <c r="AO269" i="3"/>
  <c r="AP269" i="3"/>
  <c r="AQ269" i="3"/>
  <c r="AR269" i="3"/>
  <c r="AS269" i="3"/>
  <c r="AT269" i="3"/>
  <c r="AU269" i="3"/>
  <c r="AV269" i="3"/>
  <c r="D270" i="3"/>
  <c r="E270" i="3"/>
  <c r="F270" i="3"/>
  <c r="G270" i="3"/>
  <c r="H270" i="3"/>
  <c r="I270" i="3"/>
  <c r="Q270" i="3"/>
  <c r="R270" i="3"/>
  <c r="S270" i="3"/>
  <c r="T270" i="3"/>
  <c r="U270" i="3"/>
  <c r="W270" i="3"/>
  <c r="X270" i="3"/>
  <c r="Y270" i="3"/>
  <c r="Z270" i="3"/>
  <c r="AC270" i="3"/>
  <c r="AD270" i="3"/>
  <c r="AE270" i="3"/>
  <c r="AF270" i="3"/>
  <c r="AG270" i="3"/>
  <c r="AH270" i="3"/>
  <c r="AI270" i="3"/>
  <c r="AJ270" i="3"/>
  <c r="AK270" i="3"/>
  <c r="AL270" i="3"/>
  <c r="AN270" i="3"/>
  <c r="AO270" i="3"/>
  <c r="AP270" i="3"/>
  <c r="AQ270" i="3"/>
  <c r="AR270" i="3"/>
  <c r="AS270" i="3"/>
  <c r="AT270" i="3"/>
  <c r="AU270" i="3"/>
  <c r="AV270" i="3"/>
  <c r="D271" i="3"/>
  <c r="E271" i="3"/>
  <c r="F271" i="3"/>
  <c r="G271" i="3"/>
  <c r="H271" i="3"/>
  <c r="I271" i="3"/>
  <c r="Q271" i="3"/>
  <c r="R271" i="3"/>
  <c r="S271" i="3"/>
  <c r="T271" i="3"/>
  <c r="U271" i="3"/>
  <c r="W271" i="3"/>
  <c r="X271" i="3"/>
  <c r="Y271" i="3"/>
  <c r="Z271" i="3"/>
  <c r="AC271" i="3"/>
  <c r="AD271" i="3"/>
  <c r="AE271" i="3"/>
  <c r="AF271" i="3"/>
  <c r="AG271" i="3"/>
  <c r="AH271" i="3"/>
  <c r="AI271" i="3"/>
  <c r="AJ271" i="3"/>
  <c r="AK271" i="3"/>
  <c r="AL271" i="3"/>
  <c r="AN271" i="3"/>
  <c r="AO271" i="3"/>
  <c r="AP271" i="3"/>
  <c r="AQ271" i="3"/>
  <c r="AR271" i="3"/>
  <c r="AS271" i="3"/>
  <c r="AT271" i="3"/>
  <c r="AU271" i="3"/>
  <c r="AV271" i="3"/>
  <c r="D272" i="3"/>
  <c r="E272" i="3"/>
  <c r="F272" i="3"/>
  <c r="G272" i="3"/>
  <c r="I272" i="3"/>
  <c r="Q272" i="3"/>
  <c r="R272" i="3"/>
  <c r="S272" i="3"/>
  <c r="T272" i="3"/>
  <c r="U272" i="3"/>
  <c r="W272" i="3"/>
  <c r="X272" i="3"/>
  <c r="Y272" i="3"/>
  <c r="Z272" i="3"/>
  <c r="AC272" i="3"/>
  <c r="AD272" i="3"/>
  <c r="AE272" i="3"/>
  <c r="AF272" i="3"/>
  <c r="AG272" i="3"/>
  <c r="AH272" i="3"/>
  <c r="AI272" i="3"/>
  <c r="AJ272" i="3"/>
  <c r="AK272" i="3"/>
  <c r="AL272" i="3"/>
  <c r="AN272" i="3"/>
  <c r="AO272" i="3"/>
  <c r="AP272" i="3"/>
  <c r="AQ272" i="3"/>
  <c r="AR272" i="3"/>
  <c r="AS272" i="3"/>
  <c r="AT272" i="3"/>
  <c r="AU272" i="3"/>
  <c r="AV272" i="3"/>
  <c r="D273" i="3"/>
  <c r="E273" i="3"/>
  <c r="F273" i="3"/>
  <c r="G273" i="3"/>
  <c r="I273" i="3"/>
  <c r="Q273" i="3"/>
  <c r="R273" i="3"/>
  <c r="S273" i="3"/>
  <c r="T273" i="3"/>
  <c r="U273" i="3"/>
  <c r="W273" i="3"/>
  <c r="X273" i="3"/>
  <c r="Y273" i="3"/>
  <c r="Z273" i="3"/>
  <c r="AC273" i="3"/>
  <c r="AD273" i="3"/>
  <c r="AE273" i="3"/>
  <c r="AF273" i="3"/>
  <c r="AG273" i="3"/>
  <c r="AH273" i="3"/>
  <c r="AI273" i="3"/>
  <c r="AJ273" i="3"/>
  <c r="AK273" i="3"/>
  <c r="AL273" i="3"/>
  <c r="AN273" i="3"/>
  <c r="AO273" i="3"/>
  <c r="AP273" i="3"/>
  <c r="AQ273" i="3"/>
  <c r="AR273" i="3"/>
  <c r="AS273" i="3"/>
  <c r="AT273" i="3"/>
  <c r="AU273" i="3"/>
  <c r="AV273" i="3"/>
  <c r="D274" i="3"/>
  <c r="E274" i="3"/>
  <c r="F274" i="3"/>
  <c r="G274" i="3"/>
  <c r="I274" i="3"/>
  <c r="Q274" i="3"/>
  <c r="R274" i="3"/>
  <c r="S274" i="3"/>
  <c r="T274" i="3"/>
  <c r="U274" i="3"/>
  <c r="W274" i="3"/>
  <c r="X274" i="3"/>
  <c r="Y274" i="3"/>
  <c r="Z274" i="3"/>
  <c r="AC274" i="3"/>
  <c r="AD274" i="3"/>
  <c r="AE274" i="3"/>
  <c r="AF274" i="3"/>
  <c r="AG274" i="3"/>
  <c r="AH274" i="3"/>
  <c r="AI274" i="3"/>
  <c r="AJ274" i="3"/>
  <c r="AK274" i="3"/>
  <c r="AL274" i="3"/>
  <c r="AN274" i="3"/>
  <c r="AO274" i="3"/>
  <c r="AP274" i="3"/>
  <c r="AQ274" i="3"/>
  <c r="AR274" i="3"/>
  <c r="AS274" i="3"/>
  <c r="AT274" i="3"/>
  <c r="AU274" i="3"/>
  <c r="AV274" i="3"/>
  <c r="D275" i="3"/>
  <c r="E275" i="3"/>
  <c r="F275" i="3"/>
  <c r="G275" i="3"/>
  <c r="I275" i="3"/>
  <c r="Q275" i="3"/>
  <c r="R275" i="3"/>
  <c r="S275" i="3"/>
  <c r="T275" i="3"/>
  <c r="U275" i="3"/>
  <c r="W275" i="3"/>
  <c r="X275" i="3"/>
  <c r="Y275" i="3"/>
  <c r="Z275" i="3"/>
  <c r="AC275" i="3"/>
  <c r="AD275" i="3"/>
  <c r="AE275" i="3"/>
  <c r="AF275" i="3"/>
  <c r="AG275" i="3"/>
  <c r="AH275" i="3"/>
  <c r="AI275" i="3"/>
  <c r="AJ275" i="3"/>
  <c r="AK275" i="3"/>
  <c r="AL275" i="3"/>
  <c r="AN275" i="3"/>
  <c r="AO275" i="3"/>
  <c r="AP275" i="3"/>
  <c r="AQ275" i="3"/>
  <c r="AR275" i="3"/>
  <c r="AS275" i="3"/>
  <c r="AT275" i="3"/>
  <c r="AU275" i="3"/>
  <c r="AV275" i="3"/>
  <c r="D276" i="3"/>
  <c r="E276" i="3"/>
  <c r="F276" i="3"/>
  <c r="G276" i="3"/>
  <c r="I276" i="3"/>
  <c r="Q276" i="3"/>
  <c r="R276" i="3"/>
  <c r="S276" i="3"/>
  <c r="T276" i="3"/>
  <c r="U276" i="3"/>
  <c r="W276" i="3"/>
  <c r="X276" i="3"/>
  <c r="Y276" i="3"/>
  <c r="Z276" i="3"/>
  <c r="AC276" i="3"/>
  <c r="AD276" i="3"/>
  <c r="AE276" i="3"/>
  <c r="AF276" i="3"/>
  <c r="AG276" i="3"/>
  <c r="AH276" i="3"/>
  <c r="AI276" i="3"/>
  <c r="AJ276" i="3"/>
  <c r="AK276" i="3"/>
  <c r="AL276" i="3"/>
  <c r="AN276" i="3"/>
  <c r="AO276" i="3"/>
  <c r="AP276" i="3"/>
  <c r="AQ276" i="3"/>
  <c r="AR276" i="3"/>
  <c r="AS276" i="3"/>
  <c r="AT276" i="3"/>
  <c r="AU276" i="3"/>
  <c r="AV276" i="3"/>
  <c r="D277" i="3"/>
  <c r="E277" i="3"/>
  <c r="F277" i="3"/>
  <c r="G277" i="3"/>
  <c r="I277" i="3"/>
  <c r="Q277" i="3"/>
  <c r="R277" i="3"/>
  <c r="S277" i="3"/>
  <c r="T277" i="3"/>
  <c r="U277" i="3"/>
  <c r="W277" i="3"/>
  <c r="X277" i="3"/>
  <c r="Y277" i="3"/>
  <c r="Z277" i="3"/>
  <c r="AC277" i="3"/>
  <c r="AD277" i="3"/>
  <c r="AE277" i="3"/>
  <c r="AF277" i="3"/>
  <c r="AG277" i="3"/>
  <c r="AH277" i="3"/>
  <c r="AI277" i="3"/>
  <c r="AJ277" i="3"/>
  <c r="AK277" i="3"/>
  <c r="AL277" i="3"/>
  <c r="AN277" i="3"/>
  <c r="AO277" i="3"/>
  <c r="AP277" i="3"/>
  <c r="AQ277" i="3"/>
  <c r="AR277" i="3"/>
  <c r="AS277" i="3"/>
  <c r="AT277" i="3"/>
  <c r="AU277" i="3"/>
  <c r="AV277" i="3"/>
  <c r="D278" i="3"/>
  <c r="E278" i="3"/>
  <c r="F278" i="3"/>
  <c r="G278" i="3"/>
  <c r="I278" i="3"/>
  <c r="Q278" i="3"/>
  <c r="R278" i="3"/>
  <c r="S278" i="3"/>
  <c r="T278" i="3"/>
  <c r="U278" i="3"/>
  <c r="W278" i="3"/>
  <c r="X278" i="3"/>
  <c r="Y278" i="3"/>
  <c r="Z278" i="3"/>
  <c r="AC278" i="3"/>
  <c r="AD278" i="3"/>
  <c r="AE278" i="3"/>
  <c r="AF278" i="3"/>
  <c r="AG278" i="3"/>
  <c r="AH278" i="3"/>
  <c r="AI278" i="3"/>
  <c r="AJ278" i="3"/>
  <c r="AK278" i="3"/>
  <c r="AL278" i="3"/>
  <c r="AN278" i="3"/>
  <c r="AO278" i="3"/>
  <c r="AP278" i="3"/>
  <c r="AQ278" i="3"/>
  <c r="AR278" i="3"/>
  <c r="AS278" i="3"/>
  <c r="AT278" i="3"/>
  <c r="AU278" i="3"/>
  <c r="AV278" i="3"/>
  <c r="D279" i="3"/>
  <c r="E279" i="3"/>
  <c r="F279" i="3"/>
  <c r="G279" i="3"/>
  <c r="I279" i="3"/>
  <c r="Q279" i="3"/>
  <c r="R279" i="3"/>
  <c r="S279" i="3"/>
  <c r="T279" i="3"/>
  <c r="U279" i="3"/>
  <c r="W279" i="3"/>
  <c r="X279" i="3"/>
  <c r="Y279" i="3"/>
  <c r="Z279" i="3"/>
  <c r="AC279" i="3"/>
  <c r="AD279" i="3"/>
  <c r="AE279" i="3"/>
  <c r="AF279" i="3"/>
  <c r="AG279" i="3"/>
  <c r="AH279" i="3"/>
  <c r="AI279" i="3"/>
  <c r="AJ279" i="3"/>
  <c r="AK279" i="3"/>
  <c r="AL279" i="3"/>
  <c r="AN279" i="3"/>
  <c r="AO279" i="3"/>
  <c r="AP279" i="3"/>
  <c r="AQ279" i="3"/>
  <c r="AR279" i="3"/>
  <c r="AS279" i="3"/>
  <c r="AT279" i="3"/>
  <c r="AU279" i="3"/>
  <c r="AV279" i="3"/>
  <c r="D280" i="3"/>
  <c r="E280" i="3"/>
  <c r="F280" i="3"/>
  <c r="G280" i="3"/>
  <c r="I280" i="3"/>
  <c r="Q280" i="3"/>
  <c r="R280" i="3"/>
  <c r="S280" i="3"/>
  <c r="T280" i="3"/>
  <c r="U280" i="3"/>
  <c r="W280" i="3"/>
  <c r="X280" i="3"/>
  <c r="Y280" i="3"/>
  <c r="Z280" i="3"/>
  <c r="AC280" i="3"/>
  <c r="AD280" i="3"/>
  <c r="AE280" i="3"/>
  <c r="AF280" i="3"/>
  <c r="AG280" i="3"/>
  <c r="AH280" i="3"/>
  <c r="AI280" i="3"/>
  <c r="AJ280" i="3"/>
  <c r="AK280" i="3"/>
  <c r="AL280" i="3"/>
  <c r="AN280" i="3"/>
  <c r="AO280" i="3"/>
  <c r="AP280" i="3"/>
  <c r="AQ280" i="3"/>
  <c r="AR280" i="3"/>
  <c r="AS280" i="3"/>
  <c r="AT280" i="3"/>
  <c r="AU280" i="3"/>
  <c r="AV280" i="3"/>
  <c r="D281" i="3"/>
  <c r="E281" i="3"/>
  <c r="F281" i="3"/>
  <c r="G281" i="3"/>
  <c r="I281" i="3"/>
  <c r="Q281" i="3"/>
  <c r="R281" i="3"/>
  <c r="S281" i="3"/>
  <c r="T281" i="3"/>
  <c r="U281" i="3"/>
  <c r="W281" i="3"/>
  <c r="X281" i="3"/>
  <c r="Y281" i="3"/>
  <c r="Z281" i="3"/>
  <c r="AC281" i="3"/>
  <c r="AD281" i="3"/>
  <c r="AE281" i="3"/>
  <c r="AF281" i="3"/>
  <c r="AG281" i="3"/>
  <c r="AH281" i="3"/>
  <c r="AI281" i="3"/>
  <c r="AJ281" i="3"/>
  <c r="AK281" i="3"/>
  <c r="AL281" i="3"/>
  <c r="AN281" i="3"/>
  <c r="AO281" i="3"/>
  <c r="AP281" i="3"/>
  <c r="AQ281" i="3"/>
  <c r="AR281" i="3"/>
  <c r="AS281" i="3"/>
  <c r="AT281" i="3"/>
  <c r="AU281" i="3"/>
  <c r="AV281" i="3"/>
  <c r="D282" i="3"/>
  <c r="E282" i="3"/>
  <c r="F282" i="3"/>
  <c r="G282" i="3"/>
  <c r="I282" i="3"/>
  <c r="Q282" i="3"/>
  <c r="R282" i="3"/>
  <c r="S282" i="3"/>
  <c r="T282" i="3"/>
  <c r="U282" i="3"/>
  <c r="W282" i="3"/>
  <c r="X282" i="3"/>
  <c r="Y282" i="3"/>
  <c r="Z282" i="3"/>
  <c r="AC282" i="3"/>
  <c r="AD282" i="3"/>
  <c r="AE282" i="3"/>
  <c r="AF282" i="3"/>
  <c r="AG282" i="3"/>
  <c r="AH282" i="3"/>
  <c r="AI282" i="3"/>
  <c r="AJ282" i="3"/>
  <c r="AK282" i="3"/>
  <c r="AL282" i="3"/>
  <c r="AN282" i="3"/>
  <c r="AO282" i="3"/>
  <c r="AP282" i="3"/>
  <c r="AQ282" i="3"/>
  <c r="AR282" i="3"/>
  <c r="AS282" i="3"/>
  <c r="AT282" i="3"/>
  <c r="AU282" i="3"/>
  <c r="AV282" i="3"/>
  <c r="D283" i="3"/>
  <c r="E283" i="3"/>
  <c r="F283" i="3"/>
  <c r="G283" i="3"/>
  <c r="I283" i="3"/>
  <c r="Q283" i="3"/>
  <c r="R283" i="3"/>
  <c r="S283" i="3"/>
  <c r="T283" i="3"/>
  <c r="U283" i="3"/>
  <c r="W283" i="3"/>
  <c r="X283" i="3"/>
  <c r="Y283" i="3"/>
  <c r="Z283" i="3"/>
  <c r="AC283" i="3"/>
  <c r="AD283" i="3"/>
  <c r="AE283" i="3"/>
  <c r="AF283" i="3"/>
  <c r="AG283" i="3"/>
  <c r="AH283" i="3"/>
  <c r="AI283" i="3"/>
  <c r="AJ283" i="3"/>
  <c r="AK283" i="3"/>
  <c r="AL283" i="3"/>
  <c r="AN283" i="3"/>
  <c r="AO283" i="3"/>
  <c r="AP283" i="3"/>
  <c r="AQ283" i="3"/>
  <c r="AR283" i="3"/>
  <c r="AS283" i="3"/>
  <c r="AT283" i="3"/>
  <c r="AU283" i="3"/>
  <c r="AV283" i="3"/>
  <c r="D284" i="3"/>
  <c r="E284" i="3"/>
  <c r="F284" i="3"/>
  <c r="G284" i="3"/>
  <c r="I284" i="3"/>
  <c r="Q284" i="3"/>
  <c r="R284" i="3"/>
  <c r="S284" i="3"/>
  <c r="T284" i="3"/>
  <c r="U284" i="3"/>
  <c r="W284" i="3"/>
  <c r="X284" i="3"/>
  <c r="Y284" i="3"/>
  <c r="Z284" i="3"/>
  <c r="AC284" i="3"/>
  <c r="AD284" i="3"/>
  <c r="AE284" i="3"/>
  <c r="AF284" i="3"/>
  <c r="AG284" i="3"/>
  <c r="AH284" i="3"/>
  <c r="AI284" i="3"/>
  <c r="AJ284" i="3"/>
  <c r="AK284" i="3"/>
  <c r="AL284" i="3"/>
  <c r="AN284" i="3"/>
  <c r="AO284" i="3"/>
  <c r="AP284" i="3"/>
  <c r="AQ284" i="3"/>
  <c r="AR284" i="3"/>
  <c r="AS284" i="3"/>
  <c r="AT284" i="3"/>
  <c r="AU284" i="3"/>
  <c r="AV284" i="3"/>
  <c r="D285" i="3"/>
  <c r="E285" i="3"/>
  <c r="F285" i="3"/>
  <c r="G285" i="3"/>
  <c r="I285" i="3"/>
  <c r="Q285" i="3"/>
  <c r="R285" i="3"/>
  <c r="S285" i="3"/>
  <c r="T285" i="3"/>
  <c r="U285" i="3"/>
  <c r="W285" i="3"/>
  <c r="X285" i="3"/>
  <c r="Y285" i="3"/>
  <c r="Z285" i="3"/>
  <c r="AC285" i="3"/>
  <c r="AD285" i="3"/>
  <c r="AE285" i="3"/>
  <c r="AF285" i="3"/>
  <c r="AG285" i="3"/>
  <c r="AH285" i="3"/>
  <c r="AI285" i="3"/>
  <c r="AJ285" i="3"/>
  <c r="AK285" i="3"/>
  <c r="AL285" i="3"/>
  <c r="AN285" i="3"/>
  <c r="AO285" i="3"/>
  <c r="AP285" i="3"/>
  <c r="AQ285" i="3"/>
  <c r="AR285" i="3"/>
  <c r="AS285" i="3"/>
  <c r="AT285" i="3"/>
  <c r="AU285" i="3"/>
  <c r="AV285" i="3"/>
  <c r="D286" i="3"/>
  <c r="E286" i="3"/>
  <c r="F286" i="3"/>
  <c r="G286" i="3"/>
  <c r="I286" i="3"/>
  <c r="Q286" i="3"/>
  <c r="R286" i="3"/>
  <c r="S286" i="3"/>
  <c r="T286" i="3"/>
  <c r="U286" i="3"/>
  <c r="W286" i="3"/>
  <c r="X286" i="3"/>
  <c r="Y286" i="3"/>
  <c r="Z286" i="3"/>
  <c r="AC286" i="3"/>
  <c r="AD286" i="3"/>
  <c r="AE286" i="3"/>
  <c r="AF286" i="3"/>
  <c r="AG286" i="3"/>
  <c r="AH286" i="3"/>
  <c r="AI286" i="3"/>
  <c r="AJ286" i="3"/>
  <c r="AK286" i="3"/>
  <c r="AL286" i="3"/>
  <c r="AN286" i="3"/>
  <c r="AO286" i="3"/>
  <c r="AP286" i="3"/>
  <c r="AQ286" i="3"/>
  <c r="AR286" i="3"/>
  <c r="AS286" i="3"/>
  <c r="AT286" i="3"/>
  <c r="AU286" i="3"/>
  <c r="AV286" i="3"/>
  <c r="D287" i="3"/>
  <c r="E287" i="3"/>
  <c r="F287" i="3"/>
  <c r="G287" i="3"/>
  <c r="I287" i="3"/>
  <c r="Q287" i="3"/>
  <c r="R287" i="3"/>
  <c r="S287" i="3"/>
  <c r="T287" i="3"/>
  <c r="U287" i="3"/>
  <c r="W287" i="3"/>
  <c r="X287" i="3"/>
  <c r="Y287" i="3"/>
  <c r="Z287" i="3"/>
  <c r="AC287" i="3"/>
  <c r="AD287" i="3"/>
  <c r="AE287" i="3"/>
  <c r="AF287" i="3"/>
  <c r="AG287" i="3"/>
  <c r="AH287" i="3"/>
  <c r="AI287" i="3"/>
  <c r="AJ287" i="3"/>
  <c r="AK287" i="3"/>
  <c r="AL287" i="3"/>
  <c r="AN287" i="3"/>
  <c r="AO287" i="3"/>
  <c r="AP287" i="3"/>
  <c r="AQ287" i="3"/>
  <c r="AR287" i="3"/>
  <c r="AS287" i="3"/>
  <c r="AT287" i="3"/>
  <c r="AU287" i="3"/>
  <c r="AV287" i="3"/>
  <c r="D288" i="3"/>
  <c r="E288" i="3"/>
  <c r="F288" i="3"/>
  <c r="G288" i="3"/>
  <c r="I288" i="3"/>
  <c r="Q288" i="3"/>
  <c r="R288" i="3"/>
  <c r="S288" i="3"/>
  <c r="T288" i="3"/>
  <c r="U288" i="3"/>
  <c r="W288" i="3"/>
  <c r="X288" i="3"/>
  <c r="Y288" i="3"/>
  <c r="Z288" i="3"/>
  <c r="AC288" i="3"/>
  <c r="AD288" i="3"/>
  <c r="AE288" i="3"/>
  <c r="AF288" i="3"/>
  <c r="AG288" i="3"/>
  <c r="AH288" i="3"/>
  <c r="AI288" i="3"/>
  <c r="AJ288" i="3"/>
  <c r="AK288" i="3"/>
  <c r="AL288" i="3"/>
  <c r="AN288" i="3"/>
  <c r="AO288" i="3"/>
  <c r="AP288" i="3"/>
  <c r="AQ288" i="3"/>
  <c r="AR288" i="3"/>
  <c r="AS288" i="3"/>
  <c r="AT288" i="3"/>
  <c r="AU288" i="3"/>
  <c r="AV288" i="3"/>
  <c r="D289" i="3"/>
  <c r="E289" i="3"/>
  <c r="F289" i="3"/>
  <c r="G289" i="3"/>
  <c r="I289" i="3"/>
  <c r="Q289" i="3"/>
  <c r="R289" i="3"/>
  <c r="S289" i="3"/>
  <c r="T289" i="3"/>
  <c r="U289" i="3"/>
  <c r="W289" i="3"/>
  <c r="X289" i="3"/>
  <c r="Y289" i="3"/>
  <c r="Z289" i="3"/>
  <c r="AC289" i="3"/>
  <c r="AD289" i="3"/>
  <c r="AE289" i="3"/>
  <c r="AF289" i="3"/>
  <c r="AG289" i="3"/>
  <c r="AH289" i="3"/>
  <c r="AI289" i="3"/>
  <c r="AJ289" i="3"/>
  <c r="AK289" i="3"/>
  <c r="AL289" i="3"/>
  <c r="AN289" i="3"/>
  <c r="AO289" i="3"/>
  <c r="AP289" i="3"/>
  <c r="AQ289" i="3"/>
  <c r="AR289" i="3"/>
  <c r="AS289" i="3"/>
  <c r="AT289" i="3"/>
  <c r="AU289" i="3"/>
  <c r="AV289" i="3"/>
  <c r="D290" i="3"/>
  <c r="E290" i="3"/>
  <c r="F290" i="3"/>
  <c r="G290" i="3"/>
  <c r="I290" i="3"/>
  <c r="Q290" i="3"/>
  <c r="R290" i="3"/>
  <c r="S290" i="3"/>
  <c r="T290" i="3"/>
  <c r="U290" i="3"/>
  <c r="W290" i="3"/>
  <c r="X290" i="3"/>
  <c r="Y290" i="3"/>
  <c r="Z290" i="3"/>
  <c r="AC290" i="3"/>
  <c r="AD290" i="3"/>
  <c r="AE290" i="3"/>
  <c r="AF290" i="3"/>
  <c r="AG290" i="3"/>
  <c r="AH290" i="3"/>
  <c r="AI290" i="3"/>
  <c r="AJ290" i="3"/>
  <c r="AK290" i="3"/>
  <c r="AL290" i="3"/>
  <c r="AN290" i="3"/>
  <c r="AO290" i="3"/>
  <c r="AP290" i="3"/>
  <c r="AQ290" i="3"/>
  <c r="AR290" i="3"/>
  <c r="AS290" i="3"/>
  <c r="AT290" i="3"/>
  <c r="AU290" i="3"/>
  <c r="AV290" i="3"/>
  <c r="D291" i="3"/>
  <c r="E291" i="3"/>
  <c r="F291" i="3"/>
  <c r="G291" i="3"/>
  <c r="I291" i="3"/>
  <c r="Q291" i="3"/>
  <c r="R291" i="3"/>
  <c r="S291" i="3"/>
  <c r="T291" i="3"/>
  <c r="U291" i="3"/>
  <c r="W291" i="3"/>
  <c r="X291" i="3"/>
  <c r="Y291" i="3"/>
  <c r="Z291" i="3"/>
  <c r="AC291" i="3"/>
  <c r="AD291" i="3"/>
  <c r="AE291" i="3"/>
  <c r="AF291" i="3"/>
  <c r="AG291" i="3"/>
  <c r="AH291" i="3"/>
  <c r="AI291" i="3"/>
  <c r="AJ291" i="3"/>
  <c r="AK291" i="3"/>
  <c r="AL291" i="3"/>
  <c r="AN291" i="3"/>
  <c r="AO291" i="3"/>
  <c r="AP291" i="3"/>
  <c r="AQ291" i="3"/>
  <c r="AR291" i="3"/>
  <c r="AS291" i="3"/>
  <c r="AT291" i="3"/>
  <c r="AU291" i="3"/>
  <c r="AV291" i="3"/>
  <c r="D292" i="3"/>
  <c r="E292" i="3"/>
  <c r="F292" i="3"/>
  <c r="G292" i="3"/>
  <c r="I292" i="3"/>
  <c r="Q292" i="3"/>
  <c r="R292" i="3"/>
  <c r="S292" i="3"/>
  <c r="T292" i="3"/>
  <c r="U292" i="3"/>
  <c r="W292" i="3"/>
  <c r="X292" i="3"/>
  <c r="Y292" i="3"/>
  <c r="Z292" i="3"/>
  <c r="AC292" i="3"/>
  <c r="AD292" i="3"/>
  <c r="AE292" i="3"/>
  <c r="AF292" i="3"/>
  <c r="AG292" i="3"/>
  <c r="AH292" i="3"/>
  <c r="AI292" i="3"/>
  <c r="AJ292" i="3"/>
  <c r="AK292" i="3"/>
  <c r="AL292" i="3"/>
  <c r="AN292" i="3"/>
  <c r="AO292" i="3"/>
  <c r="AP292" i="3"/>
  <c r="AQ292" i="3"/>
  <c r="AR292" i="3"/>
  <c r="AS292" i="3"/>
  <c r="AT292" i="3"/>
  <c r="AU292" i="3"/>
  <c r="AV292" i="3"/>
  <c r="D293" i="3"/>
  <c r="E293" i="3"/>
  <c r="F293" i="3"/>
  <c r="G293" i="3"/>
  <c r="I293" i="3"/>
  <c r="Q293" i="3"/>
  <c r="R293" i="3"/>
  <c r="S293" i="3"/>
  <c r="T293" i="3"/>
  <c r="U293" i="3"/>
  <c r="W293" i="3"/>
  <c r="X293" i="3"/>
  <c r="Y293" i="3"/>
  <c r="Z293" i="3"/>
  <c r="AC293" i="3"/>
  <c r="AD293" i="3"/>
  <c r="AE293" i="3"/>
  <c r="AF293" i="3"/>
  <c r="AG293" i="3"/>
  <c r="AH293" i="3"/>
  <c r="AI293" i="3"/>
  <c r="AJ293" i="3"/>
  <c r="AK293" i="3"/>
  <c r="AL293" i="3"/>
  <c r="AN293" i="3"/>
  <c r="AO293" i="3"/>
  <c r="AP293" i="3"/>
  <c r="AQ293" i="3"/>
  <c r="AR293" i="3"/>
  <c r="AS293" i="3"/>
  <c r="AT293" i="3"/>
  <c r="AU293" i="3"/>
  <c r="AV293" i="3"/>
  <c r="D294" i="3"/>
  <c r="E294" i="3"/>
  <c r="F294" i="3"/>
  <c r="G294" i="3"/>
  <c r="I294" i="3"/>
  <c r="Q294" i="3"/>
  <c r="R294" i="3"/>
  <c r="S294" i="3"/>
  <c r="T294" i="3"/>
  <c r="U294" i="3"/>
  <c r="W294" i="3"/>
  <c r="X294" i="3"/>
  <c r="Y294" i="3"/>
  <c r="Z294" i="3"/>
  <c r="AC294" i="3"/>
  <c r="AD294" i="3"/>
  <c r="AE294" i="3"/>
  <c r="AF294" i="3"/>
  <c r="AG294" i="3"/>
  <c r="AH294" i="3"/>
  <c r="AI294" i="3"/>
  <c r="AJ294" i="3"/>
  <c r="AK294" i="3"/>
  <c r="AL294" i="3"/>
  <c r="AN294" i="3"/>
  <c r="AO294" i="3"/>
  <c r="AP294" i="3"/>
  <c r="AQ294" i="3"/>
  <c r="AR294" i="3"/>
  <c r="AS294" i="3"/>
  <c r="AT294" i="3"/>
  <c r="AU294" i="3"/>
  <c r="AV294" i="3"/>
  <c r="D295" i="3"/>
  <c r="E295" i="3"/>
  <c r="F295" i="3"/>
  <c r="G295" i="3"/>
  <c r="I295" i="3"/>
  <c r="Q295" i="3"/>
  <c r="R295" i="3"/>
  <c r="S295" i="3"/>
  <c r="T295" i="3"/>
  <c r="U295" i="3"/>
  <c r="W295" i="3"/>
  <c r="X295" i="3"/>
  <c r="Y295" i="3"/>
  <c r="Z295" i="3"/>
  <c r="AC295" i="3"/>
  <c r="AD295" i="3"/>
  <c r="AE295" i="3"/>
  <c r="AF295" i="3"/>
  <c r="AG295" i="3"/>
  <c r="AH295" i="3"/>
  <c r="AI295" i="3"/>
  <c r="AJ295" i="3"/>
  <c r="AK295" i="3"/>
  <c r="AL295" i="3"/>
  <c r="AN295" i="3"/>
  <c r="AO295" i="3"/>
  <c r="AP295" i="3"/>
  <c r="AQ295" i="3"/>
  <c r="AR295" i="3"/>
  <c r="AS295" i="3"/>
  <c r="AT295" i="3"/>
  <c r="AU295" i="3"/>
  <c r="AV295" i="3"/>
  <c r="D296" i="3"/>
  <c r="E296" i="3"/>
  <c r="F296" i="3"/>
  <c r="G296" i="3"/>
  <c r="I296" i="3"/>
  <c r="Q296" i="3"/>
  <c r="R296" i="3"/>
  <c r="S296" i="3"/>
  <c r="T296" i="3"/>
  <c r="U296" i="3"/>
  <c r="W296" i="3"/>
  <c r="X296" i="3"/>
  <c r="Y296" i="3"/>
  <c r="Z296" i="3"/>
  <c r="AC296" i="3"/>
  <c r="AD296" i="3"/>
  <c r="AE296" i="3"/>
  <c r="AF296" i="3"/>
  <c r="AG296" i="3"/>
  <c r="AH296" i="3"/>
  <c r="AI296" i="3"/>
  <c r="AJ296" i="3"/>
  <c r="AK296" i="3"/>
  <c r="AL296" i="3"/>
  <c r="AN296" i="3"/>
  <c r="AO296" i="3"/>
  <c r="AP296" i="3"/>
  <c r="AQ296" i="3"/>
  <c r="AR296" i="3"/>
  <c r="AS296" i="3"/>
  <c r="AT296" i="3"/>
  <c r="AU296" i="3"/>
  <c r="AV296" i="3"/>
  <c r="D297" i="3"/>
  <c r="E297" i="3"/>
  <c r="F297" i="3"/>
  <c r="G297" i="3"/>
  <c r="I297" i="3"/>
  <c r="Q297" i="3"/>
  <c r="R297" i="3"/>
  <c r="S297" i="3"/>
  <c r="T297" i="3"/>
  <c r="U297" i="3"/>
  <c r="W297" i="3"/>
  <c r="X297" i="3"/>
  <c r="Y297" i="3"/>
  <c r="Z297" i="3"/>
  <c r="AC297" i="3"/>
  <c r="AD297" i="3"/>
  <c r="AE297" i="3"/>
  <c r="AF297" i="3"/>
  <c r="AG297" i="3"/>
  <c r="AH297" i="3"/>
  <c r="AI297" i="3"/>
  <c r="AJ297" i="3"/>
  <c r="AK297" i="3"/>
  <c r="AL297" i="3"/>
  <c r="AN297" i="3"/>
  <c r="AO297" i="3"/>
  <c r="AP297" i="3"/>
  <c r="AQ297" i="3"/>
  <c r="AR297" i="3"/>
  <c r="AS297" i="3"/>
  <c r="AT297" i="3"/>
  <c r="AU297" i="3"/>
  <c r="AV297" i="3"/>
  <c r="D298" i="3"/>
  <c r="E298" i="3"/>
  <c r="F298" i="3"/>
  <c r="G298" i="3"/>
  <c r="I298" i="3"/>
  <c r="Q298" i="3"/>
  <c r="R298" i="3"/>
  <c r="S298" i="3"/>
  <c r="T298" i="3"/>
  <c r="U298" i="3"/>
  <c r="W298" i="3"/>
  <c r="X298" i="3"/>
  <c r="Y298" i="3"/>
  <c r="Z298" i="3"/>
  <c r="AC298" i="3"/>
  <c r="AD298" i="3"/>
  <c r="AE298" i="3"/>
  <c r="AF298" i="3"/>
  <c r="AG298" i="3"/>
  <c r="AH298" i="3"/>
  <c r="AI298" i="3"/>
  <c r="AJ298" i="3"/>
  <c r="AK298" i="3"/>
  <c r="AL298" i="3"/>
  <c r="AN298" i="3"/>
  <c r="AO298" i="3"/>
  <c r="AP298" i="3"/>
  <c r="AQ298" i="3"/>
  <c r="AR298" i="3"/>
  <c r="AS298" i="3"/>
  <c r="AT298" i="3"/>
  <c r="AU298" i="3"/>
  <c r="AV298" i="3"/>
  <c r="D299" i="3"/>
  <c r="E299" i="3"/>
  <c r="F299" i="3"/>
  <c r="G299" i="3"/>
  <c r="I299" i="3"/>
  <c r="Q299" i="3"/>
  <c r="R299" i="3"/>
  <c r="S299" i="3"/>
  <c r="T299" i="3"/>
  <c r="U299" i="3"/>
  <c r="W299" i="3"/>
  <c r="X299" i="3"/>
  <c r="Y299" i="3"/>
  <c r="Z299" i="3"/>
  <c r="AC299" i="3"/>
  <c r="AD299" i="3"/>
  <c r="AE299" i="3"/>
  <c r="AF299" i="3"/>
  <c r="AG299" i="3"/>
  <c r="AH299" i="3"/>
  <c r="AI299" i="3"/>
  <c r="AJ299" i="3"/>
  <c r="AK299" i="3"/>
  <c r="AL299" i="3"/>
  <c r="AN299" i="3"/>
  <c r="AO299" i="3"/>
  <c r="AP299" i="3"/>
  <c r="AQ299" i="3"/>
  <c r="AR299" i="3"/>
  <c r="AS299" i="3"/>
  <c r="AT299" i="3"/>
  <c r="AU299" i="3"/>
  <c r="AV299" i="3"/>
  <c r="D300" i="3"/>
  <c r="E300" i="3"/>
  <c r="F300" i="3"/>
  <c r="G300" i="3"/>
  <c r="I300" i="3"/>
  <c r="Q300" i="3"/>
  <c r="R300" i="3"/>
  <c r="S300" i="3"/>
  <c r="T300" i="3"/>
  <c r="U300" i="3"/>
  <c r="W300" i="3"/>
  <c r="X300" i="3"/>
  <c r="Y300" i="3"/>
  <c r="Z300" i="3"/>
  <c r="AC300" i="3"/>
  <c r="AD300" i="3"/>
  <c r="AE300" i="3"/>
  <c r="AF300" i="3"/>
  <c r="AG300" i="3"/>
  <c r="AH300" i="3"/>
  <c r="AI300" i="3"/>
  <c r="AJ300" i="3"/>
  <c r="AK300" i="3"/>
  <c r="AL300" i="3"/>
  <c r="AN300" i="3"/>
  <c r="AO300" i="3"/>
  <c r="AP300" i="3"/>
  <c r="AQ300" i="3"/>
  <c r="AR300" i="3"/>
  <c r="AS300" i="3"/>
  <c r="AT300" i="3"/>
  <c r="AU300" i="3"/>
  <c r="AV300" i="3"/>
  <c r="C303" i="3"/>
  <c r="D303" i="3"/>
  <c r="E303" i="3"/>
  <c r="F303" i="3"/>
  <c r="G303" i="3"/>
  <c r="I303" i="3"/>
  <c r="J303" i="3"/>
  <c r="K303" i="3"/>
  <c r="L303" i="3"/>
  <c r="M303" i="3"/>
  <c r="P303" i="3"/>
  <c r="Q303" i="3"/>
  <c r="R303" i="3"/>
  <c r="S303" i="3"/>
  <c r="T303" i="3"/>
  <c r="U303" i="3"/>
  <c r="V303" i="3"/>
  <c r="W303" i="3"/>
  <c r="X303" i="3"/>
  <c r="Y303" i="3"/>
  <c r="Z303" i="3"/>
  <c r="AA303" i="3"/>
  <c r="AB303" i="3"/>
  <c r="AC303" i="3"/>
  <c r="AD303" i="3"/>
  <c r="AE303" i="3"/>
  <c r="AF303" i="3"/>
  <c r="AG303" i="3"/>
  <c r="AH303" i="3"/>
  <c r="AI303" i="3"/>
  <c r="AJ303" i="3"/>
  <c r="AK303" i="3"/>
  <c r="AL303" i="3"/>
  <c r="AM303" i="3"/>
  <c r="AN303" i="3"/>
  <c r="AO303" i="3"/>
  <c r="AP303" i="3"/>
  <c r="AQ303" i="3"/>
  <c r="AR303" i="3"/>
  <c r="AS303" i="3"/>
  <c r="AT303" i="3"/>
  <c r="AU303" i="3"/>
  <c r="AV303" i="3"/>
  <c r="C304" i="3"/>
  <c r="D304" i="3"/>
  <c r="E304" i="3"/>
  <c r="F304" i="3"/>
  <c r="G304" i="3"/>
  <c r="I304" i="3"/>
  <c r="R304" i="3"/>
  <c r="S304" i="3"/>
  <c r="T304" i="3"/>
  <c r="U304" i="3"/>
  <c r="W304" i="3"/>
  <c r="X304" i="3"/>
  <c r="Y304" i="3"/>
  <c r="Z304" i="3"/>
  <c r="AD304" i="3"/>
  <c r="AE304" i="3"/>
  <c r="AF304" i="3"/>
  <c r="AG304" i="3"/>
  <c r="AI304" i="3"/>
  <c r="AJ304" i="3"/>
  <c r="AK304" i="3"/>
  <c r="AL304" i="3"/>
  <c r="AN304" i="3"/>
  <c r="AO304" i="3"/>
  <c r="AP304" i="3"/>
  <c r="AQ304" i="3"/>
  <c r="AR304" i="3"/>
  <c r="AS304" i="3"/>
  <c r="AT304" i="3"/>
  <c r="AU304" i="3"/>
  <c r="AV304" i="3"/>
  <c r="C305" i="3"/>
  <c r="D305" i="3"/>
  <c r="E305" i="3"/>
  <c r="F305" i="3"/>
  <c r="G305" i="3"/>
  <c r="I305" i="3"/>
  <c r="J305" i="3"/>
  <c r="K305" i="3"/>
  <c r="L305" i="3"/>
  <c r="M305" i="3"/>
  <c r="P305" i="3"/>
  <c r="Q305" i="3"/>
  <c r="R305" i="3"/>
  <c r="S305" i="3"/>
  <c r="T305" i="3"/>
  <c r="U305" i="3"/>
  <c r="V305" i="3"/>
  <c r="W305" i="3"/>
  <c r="X305" i="3"/>
  <c r="Y305" i="3"/>
  <c r="Z305" i="3"/>
  <c r="AA305" i="3"/>
  <c r="AB305" i="3"/>
  <c r="AC305" i="3"/>
  <c r="AD305" i="3"/>
  <c r="AE305" i="3"/>
  <c r="AF305" i="3"/>
  <c r="AG305" i="3"/>
  <c r="AH305" i="3"/>
  <c r="AI305" i="3"/>
  <c r="AJ305" i="3"/>
  <c r="AK305" i="3"/>
  <c r="AL305" i="3"/>
  <c r="AM305" i="3"/>
  <c r="AN305" i="3"/>
  <c r="AO305" i="3"/>
  <c r="AP305" i="3"/>
  <c r="AQ305" i="3"/>
  <c r="AR305" i="3"/>
  <c r="AS305" i="3"/>
  <c r="AT305" i="3"/>
  <c r="AU305" i="3"/>
  <c r="AV305" i="3"/>
  <c r="C306" i="3"/>
  <c r="D306" i="3"/>
  <c r="E306" i="3"/>
  <c r="F306" i="3"/>
  <c r="G306" i="3"/>
  <c r="I306" i="3"/>
  <c r="J306" i="3"/>
  <c r="K306" i="3"/>
  <c r="L306" i="3"/>
  <c r="M306" i="3"/>
  <c r="N306" i="3"/>
  <c r="P306" i="3"/>
  <c r="Q306" i="3"/>
  <c r="R306" i="3"/>
  <c r="S306" i="3"/>
  <c r="T306" i="3"/>
  <c r="U306" i="3"/>
  <c r="V306" i="3"/>
  <c r="W306" i="3"/>
  <c r="X306" i="3"/>
  <c r="Y306" i="3"/>
  <c r="Z306" i="3"/>
  <c r="AA306" i="3"/>
  <c r="AB306" i="3"/>
  <c r="AC306" i="3"/>
  <c r="AD306" i="3"/>
  <c r="AE306" i="3"/>
  <c r="AF306" i="3"/>
  <c r="AG306" i="3"/>
  <c r="AH306" i="3"/>
  <c r="AI306" i="3"/>
  <c r="AJ306" i="3"/>
  <c r="AK306" i="3"/>
  <c r="AL306" i="3"/>
  <c r="AM306" i="3"/>
  <c r="AN306" i="3"/>
  <c r="AO306" i="3"/>
  <c r="AP306" i="3"/>
  <c r="AQ306" i="3"/>
  <c r="AR306" i="3"/>
  <c r="AS306" i="3"/>
  <c r="AT306" i="3"/>
  <c r="AU306" i="3"/>
  <c r="AV306" i="3"/>
  <c r="AC307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O309" i="3"/>
  <c r="P309" i="3"/>
  <c r="Q309" i="3"/>
  <c r="R309" i="3"/>
  <c r="S309" i="3"/>
  <c r="T309" i="3"/>
  <c r="U309" i="3"/>
  <c r="V309" i="3"/>
  <c r="W309" i="3"/>
  <c r="X309" i="3"/>
  <c r="Y309" i="3"/>
  <c r="Z309" i="3"/>
  <c r="AA309" i="3"/>
  <c r="AB309" i="3"/>
  <c r="AC309" i="3"/>
  <c r="AD309" i="3"/>
  <c r="AE309" i="3"/>
  <c r="AF309" i="3"/>
  <c r="AG309" i="3"/>
  <c r="AH309" i="3"/>
  <c r="AI309" i="3"/>
  <c r="AJ309" i="3"/>
  <c r="AK309" i="3"/>
  <c r="AL309" i="3"/>
  <c r="AM309" i="3"/>
  <c r="AN309" i="3"/>
  <c r="AO309" i="3"/>
  <c r="AP309" i="3"/>
  <c r="AQ309" i="3"/>
  <c r="AR309" i="3"/>
  <c r="AS309" i="3"/>
  <c r="AT309" i="3"/>
  <c r="AU309" i="3"/>
  <c r="AV309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O310" i="3"/>
  <c r="P310" i="3"/>
  <c r="Q310" i="3"/>
  <c r="R310" i="3"/>
  <c r="S310" i="3"/>
  <c r="T310" i="3"/>
  <c r="U310" i="3"/>
  <c r="V310" i="3"/>
  <c r="W310" i="3"/>
  <c r="X310" i="3"/>
  <c r="Y310" i="3"/>
  <c r="Z310" i="3"/>
  <c r="AA310" i="3"/>
  <c r="AB310" i="3"/>
  <c r="AC310" i="3"/>
  <c r="AD310" i="3"/>
  <c r="AE310" i="3"/>
  <c r="AF310" i="3"/>
  <c r="AG310" i="3"/>
  <c r="AH310" i="3"/>
  <c r="AI310" i="3"/>
  <c r="AJ310" i="3"/>
  <c r="AK310" i="3"/>
  <c r="AL310" i="3"/>
  <c r="AM310" i="3"/>
  <c r="AN310" i="3"/>
  <c r="AO310" i="3"/>
  <c r="AP310" i="3"/>
  <c r="AQ310" i="3"/>
  <c r="AR310" i="3"/>
  <c r="AS310" i="3"/>
  <c r="AT310" i="3"/>
  <c r="AU310" i="3"/>
  <c r="AV310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O311" i="3"/>
  <c r="P311" i="3"/>
  <c r="Q311" i="3"/>
  <c r="R311" i="3"/>
  <c r="S311" i="3"/>
  <c r="T311" i="3"/>
  <c r="U311" i="3"/>
  <c r="V311" i="3"/>
  <c r="W311" i="3"/>
  <c r="X311" i="3"/>
  <c r="Y311" i="3"/>
  <c r="Z311" i="3"/>
  <c r="AA311" i="3"/>
  <c r="AB311" i="3"/>
  <c r="AC311" i="3"/>
  <c r="AD311" i="3"/>
  <c r="AE311" i="3"/>
  <c r="AF311" i="3"/>
  <c r="AG311" i="3"/>
  <c r="AH311" i="3"/>
  <c r="AI311" i="3"/>
  <c r="AJ311" i="3"/>
  <c r="AK311" i="3"/>
  <c r="AL311" i="3"/>
  <c r="AM311" i="3"/>
  <c r="AN311" i="3"/>
  <c r="AO311" i="3"/>
  <c r="AP311" i="3"/>
  <c r="AQ311" i="3"/>
  <c r="AR311" i="3"/>
  <c r="AS311" i="3"/>
  <c r="AT311" i="3"/>
  <c r="AU311" i="3"/>
  <c r="AV311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O312" i="3"/>
  <c r="P312" i="3"/>
  <c r="R312" i="3"/>
  <c r="S312" i="3"/>
  <c r="T312" i="3"/>
  <c r="U312" i="3"/>
  <c r="V312" i="3"/>
  <c r="W312" i="3"/>
  <c r="X312" i="3"/>
  <c r="Y312" i="3"/>
  <c r="Z312" i="3"/>
  <c r="AA312" i="3"/>
  <c r="AB312" i="3"/>
  <c r="AC312" i="3"/>
  <c r="AD312" i="3"/>
  <c r="AE312" i="3"/>
  <c r="AF312" i="3"/>
  <c r="AG312" i="3"/>
  <c r="AH312" i="3"/>
  <c r="AI312" i="3"/>
  <c r="AJ312" i="3"/>
  <c r="AK312" i="3"/>
  <c r="AL312" i="3"/>
  <c r="AM312" i="3"/>
  <c r="AN312" i="3"/>
  <c r="AO312" i="3"/>
  <c r="AP312" i="3"/>
  <c r="AQ312" i="3"/>
  <c r="AR312" i="3"/>
  <c r="AS312" i="3"/>
  <c r="AT312" i="3"/>
  <c r="AU312" i="3"/>
  <c r="AV312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O313" i="3"/>
  <c r="P313" i="3"/>
  <c r="R313" i="3"/>
  <c r="S313" i="3"/>
  <c r="T313" i="3"/>
  <c r="U313" i="3"/>
  <c r="V313" i="3"/>
  <c r="W313" i="3"/>
  <c r="X313" i="3"/>
  <c r="Y313" i="3"/>
  <c r="Z313" i="3"/>
  <c r="AA313" i="3"/>
  <c r="AB313" i="3"/>
  <c r="AC313" i="3"/>
  <c r="AD313" i="3"/>
  <c r="AE313" i="3"/>
  <c r="AF313" i="3"/>
  <c r="AG313" i="3"/>
  <c r="AH313" i="3"/>
  <c r="AI313" i="3"/>
  <c r="AJ313" i="3"/>
  <c r="AK313" i="3"/>
  <c r="AL313" i="3"/>
  <c r="AM313" i="3"/>
  <c r="AN313" i="3"/>
  <c r="AO313" i="3"/>
  <c r="AP313" i="3"/>
  <c r="AQ313" i="3"/>
  <c r="AR313" i="3"/>
  <c r="AS313" i="3"/>
  <c r="AT313" i="3"/>
  <c r="AU313" i="3"/>
  <c r="AV313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O314" i="3"/>
  <c r="P314" i="3"/>
  <c r="R314" i="3"/>
  <c r="S314" i="3"/>
  <c r="T314" i="3"/>
  <c r="U314" i="3"/>
  <c r="V314" i="3"/>
  <c r="W314" i="3"/>
  <c r="X314" i="3"/>
  <c r="Y314" i="3"/>
  <c r="Z314" i="3"/>
  <c r="AA314" i="3"/>
  <c r="AB314" i="3"/>
  <c r="AC314" i="3"/>
  <c r="AD314" i="3"/>
  <c r="AE314" i="3"/>
  <c r="AF314" i="3"/>
  <c r="AG314" i="3"/>
  <c r="AH314" i="3"/>
  <c r="AI314" i="3"/>
  <c r="AJ314" i="3"/>
  <c r="AK314" i="3"/>
  <c r="AL314" i="3"/>
  <c r="AM314" i="3"/>
  <c r="AN314" i="3"/>
  <c r="AO314" i="3"/>
  <c r="AP314" i="3"/>
  <c r="AQ314" i="3"/>
  <c r="AR314" i="3"/>
  <c r="AS314" i="3"/>
  <c r="AT314" i="3"/>
  <c r="AU314" i="3"/>
  <c r="AV314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O315" i="3"/>
  <c r="P315" i="3"/>
  <c r="R315" i="3"/>
  <c r="S315" i="3"/>
  <c r="T315" i="3"/>
  <c r="U315" i="3"/>
  <c r="V315" i="3"/>
  <c r="W315" i="3"/>
  <c r="X315" i="3"/>
  <c r="Y315" i="3"/>
  <c r="Z315" i="3"/>
  <c r="AA315" i="3"/>
  <c r="AB315" i="3"/>
  <c r="AC315" i="3"/>
  <c r="AD315" i="3"/>
  <c r="AE315" i="3"/>
  <c r="AF315" i="3"/>
  <c r="AG315" i="3"/>
  <c r="AH315" i="3"/>
  <c r="AI315" i="3"/>
  <c r="AJ315" i="3"/>
  <c r="AK315" i="3"/>
  <c r="AL315" i="3"/>
  <c r="AM315" i="3"/>
  <c r="AN315" i="3"/>
  <c r="AO315" i="3"/>
  <c r="AP315" i="3"/>
  <c r="AQ315" i="3"/>
  <c r="AR315" i="3"/>
  <c r="AS315" i="3"/>
  <c r="AT315" i="3"/>
  <c r="AU315" i="3"/>
  <c r="AV315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O316" i="3"/>
  <c r="P316" i="3"/>
  <c r="R316" i="3"/>
  <c r="S316" i="3"/>
  <c r="T316" i="3"/>
  <c r="U316" i="3"/>
  <c r="V316" i="3"/>
  <c r="W316" i="3"/>
  <c r="X316" i="3"/>
  <c r="Y316" i="3"/>
  <c r="Z316" i="3"/>
  <c r="AA316" i="3"/>
  <c r="AB316" i="3"/>
  <c r="AC316" i="3"/>
  <c r="AD316" i="3"/>
  <c r="AE316" i="3"/>
  <c r="AF316" i="3"/>
  <c r="AG316" i="3"/>
  <c r="AH316" i="3"/>
  <c r="AI316" i="3"/>
  <c r="AJ316" i="3"/>
  <c r="AK316" i="3"/>
  <c r="AL316" i="3"/>
  <c r="AM316" i="3"/>
  <c r="AN316" i="3"/>
  <c r="AO316" i="3"/>
  <c r="AP316" i="3"/>
  <c r="AQ316" i="3"/>
  <c r="AR316" i="3"/>
  <c r="AS316" i="3"/>
  <c r="AT316" i="3"/>
  <c r="AU316" i="3"/>
  <c r="AV316" i="3"/>
  <c r="C319" i="3"/>
  <c r="E319" i="3"/>
  <c r="F319" i="3"/>
  <c r="G319" i="3"/>
  <c r="H319" i="3"/>
  <c r="I319" i="3"/>
  <c r="J319" i="3"/>
  <c r="K319" i="3"/>
  <c r="L319" i="3"/>
  <c r="M319" i="3"/>
  <c r="N319" i="3"/>
  <c r="O319" i="3"/>
  <c r="P319" i="3"/>
  <c r="Q319" i="3"/>
  <c r="R319" i="3"/>
  <c r="S319" i="3"/>
  <c r="T319" i="3"/>
  <c r="U319" i="3"/>
  <c r="V319" i="3"/>
  <c r="W319" i="3"/>
  <c r="X319" i="3"/>
  <c r="Y319" i="3"/>
  <c r="Z319" i="3"/>
  <c r="AA319" i="3"/>
  <c r="AB319" i="3"/>
  <c r="AC319" i="3"/>
  <c r="AD319" i="3"/>
  <c r="AE319" i="3"/>
  <c r="AF319" i="3"/>
  <c r="AG319" i="3"/>
  <c r="AH319" i="3"/>
  <c r="AI319" i="3"/>
  <c r="AJ319" i="3"/>
  <c r="AK319" i="3"/>
  <c r="AL319" i="3"/>
  <c r="AM319" i="3"/>
  <c r="AN319" i="3"/>
  <c r="AO319" i="3"/>
  <c r="AP319" i="3"/>
  <c r="AQ319" i="3"/>
  <c r="AR319" i="3"/>
  <c r="AS319" i="3"/>
  <c r="AT319" i="3"/>
  <c r="AU319" i="3"/>
  <c r="AV319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O320" i="3"/>
  <c r="P320" i="3"/>
  <c r="Q320" i="3"/>
  <c r="R320" i="3"/>
  <c r="S320" i="3"/>
  <c r="T320" i="3"/>
  <c r="U320" i="3"/>
  <c r="V320" i="3"/>
  <c r="W320" i="3"/>
  <c r="X320" i="3"/>
  <c r="Y320" i="3"/>
  <c r="Z320" i="3"/>
  <c r="AA320" i="3"/>
  <c r="AB320" i="3"/>
  <c r="AC320" i="3"/>
  <c r="AD320" i="3"/>
  <c r="AE320" i="3"/>
  <c r="AF320" i="3"/>
  <c r="AG320" i="3"/>
  <c r="AH320" i="3"/>
  <c r="AI320" i="3"/>
  <c r="AJ320" i="3"/>
  <c r="AK320" i="3"/>
  <c r="AL320" i="3"/>
  <c r="AM320" i="3"/>
  <c r="AN320" i="3"/>
  <c r="AO320" i="3"/>
  <c r="AP320" i="3"/>
  <c r="AQ320" i="3"/>
  <c r="AR320" i="3"/>
  <c r="AS320" i="3"/>
  <c r="AT320" i="3"/>
  <c r="AU320" i="3"/>
  <c r="AV320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O321" i="3"/>
  <c r="P321" i="3"/>
  <c r="Q321" i="3"/>
  <c r="R321" i="3"/>
  <c r="S321" i="3"/>
  <c r="T321" i="3"/>
  <c r="U321" i="3"/>
  <c r="V321" i="3"/>
  <c r="W321" i="3"/>
  <c r="X321" i="3"/>
  <c r="Y321" i="3"/>
  <c r="Z321" i="3"/>
  <c r="AA321" i="3"/>
  <c r="AB321" i="3"/>
  <c r="AC321" i="3"/>
  <c r="AD321" i="3"/>
  <c r="AE321" i="3"/>
  <c r="AF321" i="3"/>
  <c r="AG321" i="3"/>
  <c r="AH321" i="3"/>
  <c r="AI321" i="3"/>
  <c r="AJ321" i="3"/>
  <c r="AK321" i="3"/>
  <c r="AL321" i="3"/>
  <c r="AM321" i="3"/>
  <c r="AN321" i="3"/>
  <c r="AO321" i="3"/>
  <c r="AP321" i="3"/>
  <c r="AQ321" i="3"/>
  <c r="AR321" i="3"/>
  <c r="AS321" i="3"/>
  <c r="AT321" i="3"/>
  <c r="AU321" i="3"/>
  <c r="AV321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O322" i="3"/>
  <c r="P322" i="3"/>
  <c r="R322" i="3"/>
  <c r="S322" i="3"/>
  <c r="T322" i="3"/>
  <c r="U322" i="3"/>
  <c r="V322" i="3"/>
  <c r="W322" i="3"/>
  <c r="X322" i="3"/>
  <c r="Y322" i="3"/>
  <c r="Z322" i="3"/>
  <c r="AA322" i="3"/>
  <c r="AB322" i="3"/>
  <c r="AC322" i="3"/>
  <c r="AD322" i="3"/>
  <c r="AE322" i="3"/>
  <c r="AF322" i="3"/>
  <c r="AG322" i="3"/>
  <c r="AH322" i="3"/>
  <c r="AI322" i="3"/>
  <c r="AJ322" i="3"/>
  <c r="AK322" i="3"/>
  <c r="AL322" i="3"/>
  <c r="AM322" i="3"/>
  <c r="AN322" i="3"/>
  <c r="AO322" i="3"/>
  <c r="AP322" i="3"/>
  <c r="AQ322" i="3"/>
  <c r="AR322" i="3"/>
  <c r="AS322" i="3"/>
  <c r="AT322" i="3"/>
  <c r="AU322" i="3"/>
  <c r="AV322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O323" i="3"/>
  <c r="P323" i="3"/>
  <c r="R323" i="3"/>
  <c r="S323" i="3"/>
  <c r="T323" i="3"/>
  <c r="U323" i="3"/>
  <c r="V323" i="3"/>
  <c r="W323" i="3"/>
  <c r="X323" i="3"/>
  <c r="Y323" i="3"/>
  <c r="Z323" i="3"/>
  <c r="AA323" i="3"/>
  <c r="AB323" i="3"/>
  <c r="AC323" i="3"/>
  <c r="AD323" i="3"/>
  <c r="AE323" i="3"/>
  <c r="AF323" i="3"/>
  <c r="AG323" i="3"/>
  <c r="AH323" i="3"/>
  <c r="AI323" i="3"/>
  <c r="AJ323" i="3"/>
  <c r="AK323" i="3"/>
  <c r="AL323" i="3"/>
  <c r="AM323" i="3"/>
  <c r="AN323" i="3"/>
  <c r="AO323" i="3"/>
  <c r="AP323" i="3"/>
  <c r="AQ323" i="3"/>
  <c r="AR323" i="3"/>
  <c r="AS323" i="3"/>
  <c r="AT323" i="3"/>
  <c r="AU323" i="3"/>
  <c r="AV323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O324" i="3"/>
  <c r="P324" i="3"/>
  <c r="R324" i="3"/>
  <c r="S324" i="3"/>
  <c r="T324" i="3"/>
  <c r="U324" i="3"/>
  <c r="V324" i="3"/>
  <c r="W324" i="3"/>
  <c r="X324" i="3"/>
  <c r="Y324" i="3"/>
  <c r="Z324" i="3"/>
  <c r="AA324" i="3"/>
  <c r="AB324" i="3"/>
  <c r="AC324" i="3"/>
  <c r="AD324" i="3"/>
  <c r="AE324" i="3"/>
  <c r="AF324" i="3"/>
  <c r="AG324" i="3"/>
  <c r="AH324" i="3"/>
  <c r="AI324" i="3"/>
  <c r="AJ324" i="3"/>
  <c r="AK324" i="3"/>
  <c r="AL324" i="3"/>
  <c r="AM324" i="3"/>
  <c r="AN324" i="3"/>
  <c r="AO324" i="3"/>
  <c r="AP324" i="3"/>
  <c r="AQ324" i="3"/>
  <c r="AR324" i="3"/>
  <c r="AS324" i="3"/>
  <c r="AT324" i="3"/>
  <c r="AU324" i="3"/>
  <c r="AV324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O325" i="3"/>
  <c r="P325" i="3"/>
  <c r="R325" i="3"/>
  <c r="S325" i="3"/>
  <c r="T325" i="3"/>
  <c r="U325" i="3"/>
  <c r="V325" i="3"/>
  <c r="W325" i="3"/>
  <c r="X325" i="3"/>
  <c r="Y325" i="3"/>
  <c r="Z325" i="3"/>
  <c r="AA325" i="3"/>
  <c r="AB325" i="3"/>
  <c r="AC325" i="3"/>
  <c r="AD325" i="3"/>
  <c r="AE325" i="3"/>
  <c r="AF325" i="3"/>
  <c r="AG325" i="3"/>
  <c r="AH325" i="3"/>
  <c r="AI325" i="3"/>
  <c r="AJ325" i="3"/>
  <c r="AK325" i="3"/>
  <c r="AL325" i="3"/>
  <c r="AM325" i="3"/>
  <c r="AN325" i="3"/>
  <c r="AO325" i="3"/>
  <c r="AP325" i="3"/>
  <c r="AQ325" i="3"/>
  <c r="AR325" i="3"/>
  <c r="AS325" i="3"/>
  <c r="AT325" i="3"/>
  <c r="AU325" i="3"/>
  <c r="AV325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O326" i="3"/>
  <c r="P326" i="3"/>
  <c r="R326" i="3"/>
  <c r="S326" i="3"/>
  <c r="T326" i="3"/>
  <c r="U326" i="3"/>
  <c r="V326" i="3"/>
  <c r="W326" i="3"/>
  <c r="X326" i="3"/>
  <c r="Y326" i="3"/>
  <c r="Z326" i="3"/>
  <c r="AA326" i="3"/>
  <c r="AB326" i="3"/>
  <c r="AC326" i="3"/>
  <c r="AD326" i="3"/>
  <c r="AE326" i="3"/>
  <c r="AF326" i="3"/>
  <c r="AG326" i="3"/>
  <c r="AH326" i="3"/>
  <c r="AI326" i="3"/>
  <c r="AJ326" i="3"/>
  <c r="AK326" i="3"/>
  <c r="AL326" i="3"/>
  <c r="AM326" i="3"/>
  <c r="AN326" i="3"/>
  <c r="AO326" i="3"/>
  <c r="AP326" i="3"/>
  <c r="AQ326" i="3"/>
  <c r="AR326" i="3"/>
  <c r="AS326" i="3"/>
  <c r="AT326" i="3"/>
  <c r="AU326" i="3"/>
  <c r="AV326" i="3"/>
  <c r="A8" i="5"/>
  <c r="B8" i="5"/>
  <c r="F8" i="5"/>
  <c r="H8" i="5"/>
  <c r="I8" i="5"/>
  <c r="J8" i="5"/>
  <c r="K8" i="5"/>
  <c r="L8" i="5"/>
  <c r="O8" i="5"/>
  <c r="Q8" i="5"/>
  <c r="R8" i="5"/>
  <c r="A9" i="5"/>
  <c r="B9" i="5"/>
  <c r="H9" i="5"/>
  <c r="I9" i="5"/>
  <c r="J9" i="5"/>
  <c r="K9" i="5"/>
  <c r="L9" i="5"/>
  <c r="O9" i="5"/>
  <c r="Q9" i="5"/>
  <c r="R9" i="5"/>
  <c r="A10" i="5"/>
  <c r="B10" i="5"/>
  <c r="H10" i="5"/>
  <c r="I10" i="5"/>
  <c r="J10" i="5"/>
  <c r="K10" i="5"/>
  <c r="L10" i="5"/>
  <c r="O10" i="5"/>
  <c r="Q10" i="5"/>
  <c r="R10" i="5"/>
  <c r="A11" i="5"/>
  <c r="B11" i="5"/>
  <c r="H11" i="5"/>
  <c r="I11" i="5"/>
  <c r="J11" i="5"/>
  <c r="K11" i="5"/>
  <c r="L11" i="5"/>
  <c r="O11" i="5"/>
  <c r="Q11" i="5"/>
  <c r="R11" i="5"/>
  <c r="A12" i="5"/>
  <c r="B12" i="5"/>
  <c r="H12" i="5"/>
  <c r="I12" i="5"/>
  <c r="J12" i="5"/>
  <c r="K12" i="5"/>
  <c r="L12" i="5"/>
  <c r="O12" i="5"/>
  <c r="Q12" i="5"/>
  <c r="R12" i="5"/>
  <c r="A13" i="5"/>
  <c r="B13" i="5"/>
  <c r="H13" i="5"/>
  <c r="I13" i="5"/>
  <c r="J13" i="5"/>
  <c r="K13" i="5"/>
  <c r="L13" i="5"/>
  <c r="O13" i="5"/>
  <c r="Q13" i="5"/>
  <c r="R13" i="5"/>
  <c r="A14" i="5"/>
  <c r="B14" i="5"/>
  <c r="F14" i="5"/>
  <c r="H14" i="5"/>
  <c r="I14" i="5"/>
  <c r="J14" i="5"/>
  <c r="K14" i="5"/>
  <c r="L14" i="5"/>
  <c r="O14" i="5"/>
  <c r="Q14" i="5"/>
  <c r="R14" i="5"/>
  <c r="A15" i="5"/>
  <c r="B15" i="5"/>
  <c r="H15" i="5"/>
  <c r="I15" i="5"/>
  <c r="J15" i="5"/>
  <c r="K15" i="5"/>
  <c r="L15" i="5"/>
  <c r="O15" i="5"/>
  <c r="Q15" i="5"/>
  <c r="R15" i="5"/>
  <c r="A16" i="5"/>
  <c r="B16" i="5"/>
  <c r="H16" i="5"/>
  <c r="I16" i="5"/>
  <c r="J16" i="5"/>
  <c r="K16" i="5"/>
  <c r="L16" i="5"/>
  <c r="O16" i="5"/>
  <c r="Q16" i="5"/>
  <c r="R16" i="5"/>
  <c r="A17" i="5"/>
  <c r="B17" i="5"/>
  <c r="H17" i="5"/>
  <c r="I17" i="5"/>
  <c r="J17" i="5"/>
  <c r="K17" i="5"/>
  <c r="L17" i="5"/>
  <c r="O17" i="5"/>
  <c r="Q17" i="5"/>
  <c r="R17" i="5"/>
  <c r="A18" i="5"/>
  <c r="B18" i="5"/>
  <c r="H18" i="5"/>
  <c r="I18" i="5"/>
  <c r="J18" i="5"/>
  <c r="K18" i="5"/>
  <c r="L18" i="5"/>
  <c r="O18" i="5"/>
  <c r="Q18" i="5"/>
  <c r="R18" i="5"/>
  <c r="A19" i="5"/>
  <c r="B19" i="5"/>
  <c r="H19" i="5"/>
  <c r="I19" i="5"/>
  <c r="J19" i="5"/>
  <c r="K19" i="5"/>
  <c r="L19" i="5"/>
  <c r="O19" i="5"/>
  <c r="Q19" i="5"/>
  <c r="R19" i="5"/>
  <c r="A20" i="5"/>
  <c r="B20" i="5"/>
  <c r="H20" i="5"/>
  <c r="I20" i="5"/>
  <c r="J20" i="5"/>
  <c r="K20" i="5"/>
  <c r="L20" i="5"/>
  <c r="O20" i="5"/>
  <c r="Q20" i="5"/>
  <c r="R20" i="5"/>
  <c r="A21" i="5"/>
  <c r="B21" i="5"/>
  <c r="H21" i="5"/>
  <c r="I21" i="5"/>
  <c r="J21" i="5"/>
  <c r="K21" i="5"/>
  <c r="L21" i="5"/>
  <c r="O21" i="5"/>
  <c r="Q21" i="5"/>
  <c r="R21" i="5"/>
  <c r="A22" i="5"/>
  <c r="B22" i="5"/>
  <c r="F22" i="5"/>
  <c r="H22" i="5"/>
  <c r="I22" i="5"/>
  <c r="J22" i="5"/>
  <c r="K22" i="5"/>
  <c r="L22" i="5"/>
  <c r="O22" i="5"/>
  <c r="Q22" i="5"/>
  <c r="R22" i="5"/>
  <c r="A23" i="5"/>
  <c r="B23" i="5"/>
  <c r="H23" i="5"/>
  <c r="I23" i="5"/>
  <c r="J23" i="5"/>
  <c r="K23" i="5"/>
  <c r="L23" i="5"/>
  <c r="O23" i="5"/>
  <c r="Q23" i="5"/>
  <c r="R23" i="5"/>
  <c r="A24" i="5"/>
  <c r="B24" i="5"/>
  <c r="H24" i="5"/>
  <c r="I24" i="5"/>
  <c r="J24" i="5"/>
  <c r="K24" i="5"/>
  <c r="L24" i="5"/>
  <c r="O24" i="5"/>
  <c r="Q24" i="5"/>
  <c r="R24" i="5"/>
  <c r="A25" i="5"/>
  <c r="B25" i="5"/>
  <c r="H25" i="5"/>
  <c r="I25" i="5"/>
  <c r="J25" i="5"/>
  <c r="K25" i="5"/>
  <c r="L25" i="5"/>
  <c r="O25" i="5"/>
  <c r="Q25" i="5"/>
  <c r="R25" i="5"/>
  <c r="A26" i="5"/>
  <c r="B26" i="5"/>
  <c r="H26" i="5"/>
  <c r="I26" i="5"/>
  <c r="J26" i="5"/>
  <c r="K26" i="5"/>
  <c r="L26" i="5"/>
  <c r="O26" i="5"/>
  <c r="Q26" i="5"/>
  <c r="R26" i="5"/>
  <c r="A27" i="5"/>
  <c r="B27" i="5"/>
  <c r="H27" i="5"/>
  <c r="I27" i="5"/>
  <c r="J27" i="5"/>
  <c r="K27" i="5"/>
  <c r="L27" i="5"/>
  <c r="O27" i="5"/>
  <c r="Q27" i="5"/>
  <c r="R27" i="5"/>
  <c r="A28" i="5"/>
  <c r="B28" i="5"/>
  <c r="F28" i="5"/>
  <c r="H28" i="5"/>
  <c r="I28" i="5"/>
  <c r="J28" i="5"/>
  <c r="K28" i="5"/>
  <c r="L28" i="5"/>
  <c r="O28" i="5"/>
  <c r="Q28" i="5"/>
  <c r="R28" i="5"/>
  <c r="A29" i="5"/>
  <c r="B29" i="5"/>
  <c r="H29" i="5"/>
  <c r="I29" i="5"/>
  <c r="J29" i="5"/>
  <c r="K29" i="5"/>
  <c r="L29" i="5"/>
  <c r="O29" i="5"/>
  <c r="Q29" i="5"/>
  <c r="R29" i="5"/>
  <c r="A30" i="5"/>
  <c r="B30" i="5"/>
  <c r="H30" i="5"/>
  <c r="I30" i="5"/>
  <c r="J30" i="5"/>
  <c r="K30" i="5"/>
  <c r="L30" i="5"/>
  <c r="O30" i="5"/>
  <c r="Q30" i="5"/>
  <c r="R30" i="5"/>
  <c r="A31" i="5"/>
  <c r="B31" i="5"/>
  <c r="H31" i="5"/>
  <c r="I31" i="5"/>
  <c r="J31" i="5"/>
  <c r="K31" i="5"/>
  <c r="L31" i="5"/>
  <c r="O31" i="5"/>
  <c r="Q31" i="5"/>
  <c r="R31" i="5"/>
  <c r="A32" i="5"/>
  <c r="B32" i="5"/>
  <c r="F32" i="5"/>
  <c r="H32" i="5"/>
  <c r="I32" i="5"/>
  <c r="J32" i="5"/>
  <c r="K32" i="5"/>
  <c r="L32" i="5"/>
  <c r="O32" i="5"/>
  <c r="Q32" i="5"/>
  <c r="R32" i="5"/>
  <c r="A33" i="5"/>
  <c r="B33" i="5"/>
  <c r="H33" i="5"/>
  <c r="I33" i="5"/>
  <c r="J33" i="5"/>
  <c r="K33" i="5"/>
  <c r="L33" i="5"/>
  <c r="O33" i="5"/>
  <c r="A34" i="5"/>
  <c r="B34" i="5"/>
  <c r="H34" i="5"/>
  <c r="I34" i="5"/>
  <c r="J34" i="5"/>
  <c r="K34" i="5"/>
  <c r="L34" i="5"/>
  <c r="O34" i="5"/>
  <c r="Q34" i="5"/>
  <c r="R34" i="5"/>
  <c r="A35" i="5"/>
  <c r="B35" i="5"/>
  <c r="H35" i="5"/>
  <c r="I35" i="5"/>
  <c r="J35" i="5"/>
  <c r="K35" i="5"/>
  <c r="L35" i="5"/>
  <c r="O35" i="5"/>
  <c r="Q35" i="5"/>
  <c r="R35" i="5"/>
  <c r="A36" i="5"/>
  <c r="B36" i="5"/>
  <c r="H36" i="5"/>
  <c r="I36" i="5"/>
  <c r="J36" i="5"/>
  <c r="K36" i="5"/>
  <c r="L36" i="5"/>
  <c r="O36" i="5"/>
  <c r="Q36" i="5"/>
  <c r="R36" i="5"/>
  <c r="A37" i="5"/>
  <c r="B37" i="5"/>
  <c r="H37" i="5"/>
  <c r="I37" i="5"/>
  <c r="J37" i="5"/>
  <c r="K37" i="5"/>
  <c r="L37" i="5"/>
  <c r="O37" i="5"/>
  <c r="Q37" i="5"/>
  <c r="R37" i="5"/>
  <c r="A38" i="5"/>
  <c r="B38" i="5"/>
  <c r="H38" i="5"/>
  <c r="I38" i="5"/>
  <c r="J38" i="5"/>
  <c r="K38" i="5"/>
  <c r="L38" i="5"/>
  <c r="O38" i="5"/>
  <c r="Q38" i="5"/>
  <c r="R38" i="5"/>
  <c r="A39" i="5"/>
  <c r="B39" i="5"/>
  <c r="H39" i="5"/>
  <c r="I39" i="5"/>
  <c r="J39" i="5"/>
  <c r="K39" i="5"/>
  <c r="L39" i="5"/>
  <c r="O39" i="5"/>
  <c r="Q39" i="5"/>
  <c r="R39" i="5"/>
  <c r="A40" i="5"/>
  <c r="B40" i="5"/>
  <c r="H40" i="5"/>
  <c r="I40" i="5"/>
  <c r="J40" i="5"/>
  <c r="K40" i="5"/>
  <c r="L40" i="5"/>
  <c r="O40" i="5"/>
  <c r="Q40" i="5"/>
  <c r="R40" i="5"/>
  <c r="A41" i="5"/>
  <c r="B41" i="5"/>
  <c r="H41" i="5"/>
  <c r="I41" i="5"/>
  <c r="J41" i="5"/>
  <c r="K41" i="5"/>
  <c r="L41" i="5"/>
  <c r="O41" i="5"/>
  <c r="Q41" i="5"/>
  <c r="R41" i="5"/>
  <c r="A42" i="5"/>
  <c r="B42" i="5"/>
  <c r="H42" i="5"/>
  <c r="I42" i="5"/>
  <c r="J42" i="5"/>
  <c r="K42" i="5"/>
  <c r="L42" i="5"/>
  <c r="O42" i="5"/>
  <c r="Q42" i="5"/>
  <c r="R42" i="5"/>
  <c r="A43" i="5"/>
  <c r="B43" i="5"/>
  <c r="H43" i="5"/>
  <c r="I43" i="5"/>
  <c r="J43" i="5"/>
  <c r="K43" i="5"/>
  <c r="L43" i="5"/>
  <c r="O43" i="5"/>
  <c r="Q43" i="5"/>
  <c r="R43" i="5"/>
  <c r="A44" i="5"/>
  <c r="B44" i="5"/>
  <c r="H44" i="5"/>
  <c r="I44" i="5"/>
  <c r="J44" i="5"/>
  <c r="K44" i="5"/>
  <c r="L44" i="5"/>
  <c r="O44" i="5"/>
  <c r="Q44" i="5"/>
  <c r="R44" i="5"/>
  <c r="A45" i="5"/>
  <c r="B45" i="5"/>
  <c r="H45" i="5"/>
  <c r="I45" i="5"/>
  <c r="J45" i="5"/>
  <c r="K45" i="5"/>
  <c r="L45" i="5"/>
  <c r="O45" i="5"/>
  <c r="Q45" i="5"/>
  <c r="R45" i="5"/>
  <c r="A46" i="5"/>
  <c r="B46" i="5"/>
  <c r="H46" i="5"/>
  <c r="I46" i="5"/>
  <c r="J46" i="5"/>
  <c r="K46" i="5"/>
  <c r="L46" i="5"/>
  <c r="O46" i="5"/>
  <c r="Q46" i="5"/>
  <c r="R46" i="5"/>
  <c r="A47" i="5"/>
  <c r="B47" i="5"/>
  <c r="H47" i="5"/>
  <c r="I47" i="5"/>
  <c r="J47" i="5"/>
  <c r="K47" i="5"/>
  <c r="L47" i="5"/>
  <c r="O47" i="5"/>
  <c r="Q47" i="5"/>
  <c r="R47" i="5"/>
  <c r="A48" i="5"/>
  <c r="B48" i="5"/>
  <c r="F48" i="5"/>
  <c r="H48" i="5"/>
  <c r="I48" i="5"/>
  <c r="J48" i="5"/>
  <c r="K48" i="5"/>
  <c r="L48" i="5"/>
  <c r="O48" i="5"/>
  <c r="Q48" i="5"/>
  <c r="R48" i="5"/>
  <c r="A49" i="5"/>
  <c r="B49" i="5"/>
  <c r="H49" i="5"/>
  <c r="I49" i="5"/>
  <c r="J49" i="5"/>
  <c r="K49" i="5"/>
  <c r="L49" i="5"/>
  <c r="O49" i="5"/>
  <c r="Q49" i="5"/>
  <c r="R49" i="5"/>
  <c r="A50" i="5"/>
  <c r="B50" i="5"/>
  <c r="H50" i="5"/>
  <c r="I50" i="5"/>
  <c r="J50" i="5"/>
  <c r="K50" i="5"/>
  <c r="L50" i="5"/>
  <c r="O50" i="5"/>
  <c r="Q50" i="5"/>
  <c r="R50" i="5"/>
  <c r="A51" i="5"/>
  <c r="B51" i="5"/>
  <c r="H51" i="5"/>
  <c r="I51" i="5"/>
  <c r="J51" i="5"/>
  <c r="K51" i="5"/>
  <c r="L51" i="5"/>
  <c r="O51" i="5"/>
  <c r="Q51" i="5"/>
  <c r="R51" i="5"/>
  <c r="A52" i="5"/>
  <c r="B52" i="5"/>
  <c r="H52" i="5"/>
  <c r="I52" i="5"/>
  <c r="J52" i="5"/>
  <c r="K52" i="5"/>
  <c r="L52" i="5"/>
  <c r="O52" i="5"/>
  <c r="Q52" i="5"/>
  <c r="R52" i="5"/>
  <c r="A53" i="5"/>
  <c r="B53" i="5"/>
  <c r="H53" i="5"/>
  <c r="I53" i="5"/>
  <c r="J53" i="5"/>
  <c r="K53" i="5"/>
  <c r="L53" i="5"/>
  <c r="O53" i="5"/>
  <c r="Q53" i="5"/>
  <c r="R53" i="5"/>
  <c r="A54" i="5"/>
  <c r="B54" i="5"/>
  <c r="H54" i="5"/>
  <c r="I54" i="5"/>
  <c r="J54" i="5"/>
  <c r="K54" i="5"/>
  <c r="L54" i="5"/>
  <c r="O54" i="5"/>
  <c r="Q54" i="5"/>
  <c r="R54" i="5"/>
  <c r="A55" i="5"/>
  <c r="B55" i="5"/>
  <c r="H55" i="5"/>
  <c r="I55" i="5"/>
  <c r="J55" i="5"/>
  <c r="K55" i="5"/>
  <c r="L55" i="5"/>
  <c r="O55" i="5"/>
  <c r="Q55" i="5"/>
  <c r="R55" i="5"/>
  <c r="A56" i="5"/>
  <c r="B56" i="5"/>
  <c r="H56" i="5"/>
  <c r="I56" i="5"/>
  <c r="J56" i="5"/>
  <c r="K56" i="5"/>
  <c r="L56" i="5"/>
  <c r="O56" i="5"/>
  <c r="Q56" i="5"/>
  <c r="R56" i="5"/>
  <c r="A57" i="5"/>
  <c r="B57" i="5"/>
  <c r="H57" i="5"/>
  <c r="I57" i="5"/>
  <c r="J57" i="5"/>
  <c r="K57" i="5"/>
  <c r="L57" i="5"/>
  <c r="O57" i="5"/>
  <c r="Q57" i="5"/>
  <c r="R57" i="5"/>
  <c r="A58" i="5"/>
  <c r="B58" i="5"/>
  <c r="H58" i="5"/>
  <c r="I58" i="5"/>
  <c r="J58" i="5"/>
  <c r="K58" i="5"/>
  <c r="L58" i="5"/>
  <c r="O58" i="5"/>
  <c r="Q58" i="5"/>
  <c r="R58" i="5"/>
  <c r="A59" i="5"/>
  <c r="B59" i="5"/>
  <c r="H59" i="5"/>
  <c r="I59" i="5"/>
  <c r="J59" i="5"/>
  <c r="K59" i="5"/>
  <c r="L59" i="5"/>
  <c r="O59" i="5"/>
  <c r="Q59" i="5"/>
  <c r="R59" i="5"/>
  <c r="A60" i="5"/>
  <c r="B60" i="5"/>
  <c r="H60" i="5"/>
  <c r="I60" i="5"/>
  <c r="J60" i="5"/>
  <c r="K60" i="5"/>
  <c r="L60" i="5"/>
  <c r="O60" i="5"/>
  <c r="Q60" i="5"/>
  <c r="R60" i="5"/>
  <c r="A61" i="5"/>
  <c r="B61" i="5"/>
  <c r="H61" i="5"/>
  <c r="I61" i="5"/>
  <c r="J61" i="5"/>
  <c r="K61" i="5"/>
  <c r="L61" i="5"/>
  <c r="O61" i="5"/>
  <c r="Q61" i="5"/>
  <c r="R61" i="5"/>
  <c r="A62" i="5"/>
  <c r="B62" i="5"/>
  <c r="H62" i="5"/>
  <c r="I62" i="5"/>
  <c r="J62" i="5"/>
  <c r="K62" i="5"/>
  <c r="L62" i="5"/>
  <c r="O62" i="5"/>
  <c r="Q62" i="5"/>
  <c r="R62" i="5"/>
  <c r="A63" i="5"/>
  <c r="B63" i="5"/>
  <c r="H63" i="5"/>
  <c r="I63" i="5"/>
  <c r="J63" i="5"/>
  <c r="K63" i="5"/>
  <c r="L63" i="5"/>
  <c r="O63" i="5"/>
  <c r="Q63" i="5"/>
  <c r="R63" i="5"/>
  <c r="A64" i="5"/>
  <c r="B64" i="5"/>
  <c r="H64" i="5"/>
  <c r="I64" i="5"/>
  <c r="J64" i="5"/>
  <c r="K64" i="5"/>
  <c r="L64" i="5"/>
  <c r="O64" i="5"/>
  <c r="Q64" i="5"/>
  <c r="R64" i="5"/>
  <c r="A65" i="5"/>
  <c r="B65" i="5"/>
  <c r="H65" i="5"/>
  <c r="I65" i="5"/>
  <c r="J65" i="5"/>
  <c r="K65" i="5"/>
  <c r="L65" i="5"/>
  <c r="O65" i="5"/>
  <c r="Q65" i="5"/>
  <c r="R65" i="5"/>
  <c r="A66" i="5"/>
  <c r="B66" i="5"/>
  <c r="H66" i="5"/>
  <c r="I66" i="5"/>
  <c r="J66" i="5"/>
  <c r="K66" i="5"/>
  <c r="L66" i="5"/>
  <c r="O66" i="5"/>
  <c r="Q66" i="5"/>
  <c r="R66" i="5"/>
  <c r="A67" i="5"/>
  <c r="B67" i="5"/>
  <c r="H67" i="5"/>
  <c r="I67" i="5"/>
  <c r="J67" i="5"/>
  <c r="K67" i="5"/>
  <c r="L67" i="5"/>
  <c r="O67" i="5"/>
  <c r="Q67" i="5"/>
  <c r="R67" i="5"/>
  <c r="A68" i="5"/>
  <c r="B68" i="5"/>
  <c r="H68" i="5"/>
  <c r="I68" i="5"/>
  <c r="J68" i="5"/>
  <c r="K68" i="5"/>
  <c r="L68" i="5"/>
  <c r="O68" i="5"/>
  <c r="Q68" i="5"/>
  <c r="R68" i="5"/>
  <c r="A69" i="5"/>
  <c r="B69" i="5"/>
  <c r="H69" i="5"/>
  <c r="I69" i="5"/>
  <c r="J69" i="5"/>
  <c r="K69" i="5"/>
  <c r="L69" i="5"/>
  <c r="O69" i="5"/>
  <c r="Q69" i="5"/>
  <c r="R69" i="5"/>
  <c r="A70" i="5"/>
  <c r="B70" i="5"/>
  <c r="H70" i="5"/>
  <c r="I70" i="5"/>
  <c r="J70" i="5"/>
  <c r="K70" i="5"/>
  <c r="L70" i="5"/>
  <c r="O70" i="5"/>
  <c r="Q70" i="5"/>
  <c r="R70" i="5"/>
  <c r="A71" i="5"/>
  <c r="B71" i="5"/>
  <c r="H71" i="5"/>
  <c r="I71" i="5"/>
  <c r="J71" i="5"/>
  <c r="K71" i="5"/>
  <c r="L71" i="5"/>
  <c r="O71" i="5"/>
  <c r="Q71" i="5"/>
  <c r="R71" i="5"/>
  <c r="A72" i="5"/>
  <c r="B72" i="5"/>
  <c r="H72" i="5"/>
  <c r="I72" i="5"/>
  <c r="J72" i="5"/>
  <c r="K72" i="5"/>
  <c r="L72" i="5"/>
  <c r="O72" i="5"/>
  <c r="Q72" i="5"/>
  <c r="R72" i="5"/>
  <c r="A73" i="5"/>
  <c r="B73" i="5"/>
  <c r="F73" i="5"/>
  <c r="H73" i="5"/>
  <c r="I73" i="5"/>
  <c r="J73" i="5"/>
  <c r="K73" i="5"/>
  <c r="L73" i="5"/>
  <c r="O73" i="5"/>
  <c r="Q73" i="5"/>
  <c r="R73" i="5"/>
  <c r="A74" i="5"/>
  <c r="B74" i="5"/>
  <c r="H74" i="5"/>
  <c r="I74" i="5"/>
  <c r="J74" i="5"/>
  <c r="K74" i="5"/>
  <c r="L74" i="5"/>
  <c r="O74" i="5"/>
  <c r="Q74" i="5"/>
  <c r="R74" i="5"/>
  <c r="A75" i="5"/>
  <c r="B75" i="5"/>
  <c r="H75" i="5"/>
  <c r="I75" i="5"/>
  <c r="J75" i="5"/>
  <c r="K75" i="5"/>
  <c r="L75" i="5"/>
  <c r="O75" i="5"/>
  <c r="Q75" i="5"/>
  <c r="R75" i="5"/>
  <c r="A76" i="5"/>
  <c r="B76" i="5"/>
  <c r="H76" i="5"/>
  <c r="I76" i="5"/>
  <c r="J76" i="5"/>
  <c r="K76" i="5"/>
  <c r="L76" i="5"/>
  <c r="O76" i="5"/>
  <c r="Q76" i="5"/>
  <c r="R76" i="5"/>
  <c r="A77" i="5"/>
  <c r="B77" i="5"/>
  <c r="H77" i="5"/>
  <c r="I77" i="5"/>
  <c r="J77" i="5"/>
  <c r="K77" i="5"/>
  <c r="L77" i="5"/>
  <c r="O77" i="5"/>
  <c r="Q77" i="5"/>
  <c r="R77" i="5"/>
  <c r="A78" i="5"/>
  <c r="B78" i="5"/>
  <c r="H78" i="5"/>
  <c r="I78" i="5"/>
  <c r="J78" i="5"/>
  <c r="K78" i="5"/>
  <c r="L78" i="5"/>
  <c r="O78" i="5"/>
  <c r="Q78" i="5"/>
  <c r="R78" i="5"/>
  <c r="A79" i="5"/>
  <c r="B79" i="5"/>
  <c r="H79" i="5"/>
  <c r="I79" i="5"/>
  <c r="J79" i="5"/>
  <c r="K79" i="5"/>
  <c r="L79" i="5"/>
  <c r="O79" i="5"/>
  <c r="Q79" i="5"/>
  <c r="R79" i="5"/>
  <c r="A80" i="5"/>
  <c r="B80" i="5"/>
  <c r="H80" i="5"/>
  <c r="I80" i="5"/>
  <c r="J80" i="5"/>
  <c r="K80" i="5"/>
  <c r="L80" i="5"/>
  <c r="O80" i="5"/>
  <c r="Q80" i="5"/>
  <c r="R80" i="5"/>
  <c r="A81" i="5"/>
  <c r="B81" i="5"/>
  <c r="H81" i="5"/>
  <c r="I81" i="5"/>
  <c r="J81" i="5"/>
  <c r="K81" i="5"/>
  <c r="L81" i="5"/>
  <c r="O81" i="5"/>
  <c r="Q81" i="5"/>
  <c r="R81" i="5"/>
  <c r="A82" i="5"/>
  <c r="B82" i="5"/>
  <c r="F82" i="5"/>
  <c r="H82" i="5"/>
  <c r="I82" i="5"/>
  <c r="J82" i="5"/>
  <c r="K82" i="5"/>
  <c r="L82" i="5"/>
  <c r="O82" i="5"/>
  <c r="Q82" i="5"/>
  <c r="R82" i="5"/>
  <c r="A83" i="5"/>
  <c r="B83" i="5"/>
  <c r="H83" i="5"/>
  <c r="I83" i="5"/>
  <c r="J83" i="5"/>
  <c r="K83" i="5"/>
  <c r="L83" i="5"/>
  <c r="O83" i="5"/>
  <c r="Q83" i="5"/>
  <c r="R83" i="5"/>
  <c r="A84" i="5"/>
  <c r="B84" i="5"/>
  <c r="H84" i="5"/>
  <c r="I84" i="5"/>
  <c r="J84" i="5"/>
  <c r="K84" i="5"/>
  <c r="L84" i="5"/>
  <c r="O84" i="5"/>
  <c r="Q84" i="5"/>
  <c r="R84" i="5"/>
  <c r="A85" i="5"/>
  <c r="B85" i="5"/>
  <c r="F85" i="5"/>
  <c r="H85" i="5"/>
  <c r="I85" i="5"/>
  <c r="J85" i="5"/>
  <c r="K85" i="5"/>
  <c r="L85" i="5"/>
  <c r="O85" i="5"/>
  <c r="Q85" i="5"/>
  <c r="R85" i="5"/>
  <c r="A86" i="5"/>
  <c r="B86" i="5"/>
  <c r="H86" i="5"/>
  <c r="I86" i="5"/>
  <c r="J86" i="5"/>
  <c r="K86" i="5"/>
  <c r="L86" i="5"/>
  <c r="O86" i="5"/>
  <c r="Q86" i="5"/>
  <c r="R86" i="5"/>
  <c r="A87" i="5"/>
  <c r="B87" i="5"/>
  <c r="H87" i="5"/>
  <c r="I87" i="5"/>
  <c r="J87" i="5"/>
  <c r="K87" i="5"/>
  <c r="L87" i="5"/>
  <c r="O87" i="5"/>
  <c r="Q87" i="5"/>
  <c r="R87" i="5"/>
  <c r="A88" i="5"/>
  <c r="B88" i="5"/>
  <c r="H88" i="5"/>
  <c r="I88" i="5"/>
  <c r="J88" i="5"/>
  <c r="K88" i="5"/>
  <c r="L88" i="5"/>
  <c r="O88" i="5"/>
  <c r="Q88" i="5"/>
  <c r="R88" i="5"/>
  <c r="A89" i="5"/>
  <c r="B89" i="5"/>
  <c r="H89" i="5"/>
  <c r="I89" i="5"/>
  <c r="J89" i="5"/>
  <c r="K89" i="5"/>
  <c r="L89" i="5"/>
  <c r="O89" i="5"/>
  <c r="Q89" i="5"/>
  <c r="R89" i="5"/>
  <c r="A90" i="5"/>
  <c r="B90" i="5"/>
  <c r="H90" i="5"/>
  <c r="I90" i="5"/>
  <c r="J90" i="5"/>
  <c r="K90" i="5"/>
  <c r="L90" i="5"/>
  <c r="O90" i="5"/>
  <c r="Q90" i="5"/>
  <c r="R90" i="5"/>
  <c r="A91" i="5"/>
  <c r="B91" i="5"/>
  <c r="F91" i="5"/>
  <c r="H91" i="5"/>
  <c r="I91" i="5"/>
  <c r="J91" i="5"/>
  <c r="K91" i="5"/>
  <c r="L91" i="5"/>
  <c r="O91" i="5"/>
  <c r="Q91" i="5"/>
  <c r="R91" i="5"/>
  <c r="A92" i="5"/>
  <c r="B92" i="5"/>
  <c r="H92" i="5"/>
  <c r="I92" i="5"/>
  <c r="J92" i="5"/>
  <c r="K92" i="5"/>
  <c r="L92" i="5"/>
  <c r="O92" i="5"/>
  <c r="Q92" i="5"/>
  <c r="R92" i="5"/>
  <c r="A93" i="5"/>
  <c r="B93" i="5"/>
  <c r="F93" i="5"/>
  <c r="H93" i="5"/>
  <c r="I93" i="5"/>
  <c r="J93" i="5"/>
  <c r="K93" i="5"/>
  <c r="L93" i="5"/>
  <c r="O93" i="5"/>
  <c r="Q93" i="5"/>
  <c r="R93" i="5"/>
  <c r="A94" i="5"/>
  <c r="B94" i="5"/>
  <c r="H94" i="5"/>
  <c r="I94" i="5"/>
  <c r="J94" i="5"/>
  <c r="K94" i="5"/>
  <c r="L94" i="5"/>
  <c r="O94" i="5"/>
  <c r="Q94" i="5"/>
  <c r="R94" i="5"/>
  <c r="A95" i="5"/>
  <c r="B95" i="5"/>
  <c r="F95" i="5"/>
  <c r="H95" i="5"/>
  <c r="I95" i="5"/>
  <c r="J95" i="5"/>
  <c r="K95" i="5"/>
  <c r="L95" i="5"/>
  <c r="O95" i="5"/>
  <c r="Q95" i="5"/>
  <c r="R95" i="5"/>
  <c r="A96" i="5"/>
  <c r="B96" i="5"/>
  <c r="H96" i="5"/>
  <c r="I96" i="5"/>
  <c r="J96" i="5"/>
  <c r="K96" i="5"/>
  <c r="L96" i="5"/>
  <c r="O96" i="5"/>
  <c r="Q96" i="5"/>
  <c r="R96" i="5"/>
  <c r="A97" i="5"/>
  <c r="B97" i="5"/>
  <c r="H97" i="5"/>
  <c r="I97" i="5"/>
  <c r="J97" i="5"/>
  <c r="K97" i="5"/>
  <c r="L97" i="5"/>
  <c r="O97" i="5"/>
  <c r="Q97" i="5"/>
  <c r="R97" i="5"/>
  <c r="A98" i="5"/>
  <c r="B98" i="5"/>
  <c r="H98" i="5"/>
  <c r="I98" i="5"/>
  <c r="J98" i="5"/>
  <c r="K98" i="5"/>
  <c r="L98" i="5"/>
  <c r="O98" i="5"/>
  <c r="Q98" i="5"/>
  <c r="R98" i="5"/>
  <c r="A99" i="5"/>
  <c r="B99" i="5"/>
  <c r="H99" i="5"/>
  <c r="I99" i="5"/>
  <c r="J99" i="5"/>
  <c r="K99" i="5"/>
  <c r="L99" i="5"/>
  <c r="O99" i="5"/>
  <c r="Q99" i="5"/>
  <c r="R99" i="5"/>
  <c r="A100" i="5"/>
  <c r="B100" i="5"/>
  <c r="H100" i="5"/>
  <c r="I100" i="5"/>
  <c r="J100" i="5"/>
  <c r="K100" i="5"/>
  <c r="L100" i="5"/>
  <c r="O100" i="5"/>
  <c r="Q100" i="5"/>
  <c r="R100" i="5"/>
  <c r="A101" i="5"/>
  <c r="B101" i="5"/>
  <c r="H101" i="5"/>
  <c r="I101" i="5"/>
  <c r="J101" i="5"/>
  <c r="K101" i="5"/>
  <c r="L101" i="5"/>
  <c r="O101" i="5"/>
  <c r="Q101" i="5"/>
  <c r="R101" i="5"/>
  <c r="A102" i="5"/>
  <c r="B102" i="5"/>
  <c r="F102" i="5"/>
  <c r="H102" i="5"/>
  <c r="I102" i="5"/>
  <c r="J102" i="5"/>
  <c r="K102" i="5"/>
  <c r="L102" i="5"/>
  <c r="O102" i="5"/>
  <c r="Q102" i="5"/>
  <c r="R102" i="5"/>
  <c r="A103" i="5"/>
  <c r="B103" i="5"/>
  <c r="H103" i="5"/>
  <c r="I103" i="5"/>
  <c r="J103" i="5"/>
  <c r="K103" i="5"/>
  <c r="L103" i="5"/>
  <c r="O103" i="5"/>
  <c r="Q103" i="5"/>
  <c r="R103" i="5"/>
  <c r="A104" i="5"/>
  <c r="B104" i="5"/>
  <c r="H104" i="5"/>
  <c r="I104" i="5"/>
  <c r="J104" i="5"/>
  <c r="K104" i="5"/>
  <c r="L104" i="5"/>
  <c r="O104" i="5"/>
  <c r="Q104" i="5"/>
  <c r="R104" i="5"/>
  <c r="A105" i="5"/>
  <c r="B105" i="5"/>
  <c r="F105" i="5"/>
  <c r="H105" i="5"/>
  <c r="I105" i="5"/>
  <c r="J105" i="5"/>
  <c r="K105" i="5"/>
  <c r="L105" i="5"/>
  <c r="O105" i="5"/>
  <c r="Q105" i="5"/>
  <c r="R105" i="5"/>
  <c r="A106" i="5"/>
  <c r="B106" i="5"/>
  <c r="H106" i="5"/>
  <c r="I106" i="5"/>
  <c r="J106" i="5"/>
  <c r="K106" i="5"/>
  <c r="L106" i="5"/>
  <c r="O106" i="5"/>
  <c r="Q106" i="5"/>
  <c r="R106" i="5"/>
  <c r="A107" i="5"/>
  <c r="B107" i="5"/>
  <c r="H107" i="5"/>
  <c r="I107" i="5"/>
  <c r="J107" i="5"/>
  <c r="K107" i="5"/>
  <c r="L107" i="5"/>
  <c r="O107" i="5"/>
  <c r="Q107" i="5"/>
  <c r="R107" i="5"/>
  <c r="A108" i="5"/>
  <c r="B108" i="5"/>
  <c r="H108" i="5"/>
  <c r="I108" i="5"/>
  <c r="J108" i="5"/>
  <c r="K108" i="5"/>
  <c r="L108" i="5"/>
  <c r="O108" i="5"/>
  <c r="Q108" i="5"/>
  <c r="R108" i="5"/>
  <c r="A109" i="5"/>
  <c r="B109" i="5"/>
  <c r="F109" i="5"/>
  <c r="H109" i="5"/>
  <c r="I109" i="5"/>
  <c r="J109" i="5"/>
  <c r="K109" i="5"/>
  <c r="L109" i="5"/>
  <c r="O109" i="5"/>
  <c r="Q109" i="5"/>
  <c r="R109" i="5"/>
  <c r="A110" i="5"/>
  <c r="B110" i="5"/>
  <c r="H110" i="5"/>
  <c r="I110" i="5"/>
  <c r="J110" i="5"/>
  <c r="K110" i="5"/>
  <c r="L110" i="5"/>
  <c r="O110" i="5"/>
  <c r="Q110" i="5"/>
  <c r="R110" i="5"/>
  <c r="A111" i="5"/>
  <c r="B111" i="5"/>
  <c r="H111" i="5"/>
  <c r="I111" i="5"/>
  <c r="J111" i="5"/>
  <c r="K111" i="5"/>
  <c r="L111" i="5"/>
  <c r="O111" i="5"/>
  <c r="Q111" i="5"/>
  <c r="R111" i="5"/>
  <c r="A112" i="5"/>
  <c r="B112" i="5"/>
  <c r="H112" i="5"/>
  <c r="I112" i="5"/>
  <c r="J112" i="5"/>
  <c r="K112" i="5"/>
  <c r="L112" i="5"/>
  <c r="O112" i="5"/>
  <c r="Q112" i="5"/>
  <c r="R112" i="5"/>
  <c r="A113" i="5"/>
  <c r="B113" i="5"/>
  <c r="F113" i="5"/>
  <c r="H113" i="5"/>
  <c r="I113" i="5"/>
  <c r="J113" i="5"/>
  <c r="K113" i="5"/>
  <c r="L113" i="5"/>
  <c r="O113" i="5"/>
  <c r="Q113" i="5"/>
  <c r="R113" i="5"/>
  <c r="A114" i="5"/>
  <c r="B114" i="5"/>
  <c r="H114" i="5"/>
  <c r="I114" i="5"/>
  <c r="J114" i="5"/>
  <c r="K114" i="5"/>
  <c r="L114" i="5"/>
  <c r="O114" i="5"/>
  <c r="Q114" i="5"/>
  <c r="R114" i="5"/>
  <c r="A115" i="5"/>
  <c r="B115" i="5"/>
  <c r="H115" i="5"/>
  <c r="I115" i="5"/>
  <c r="J115" i="5"/>
  <c r="K115" i="5"/>
  <c r="L115" i="5"/>
  <c r="O115" i="5"/>
  <c r="Q115" i="5"/>
  <c r="R115" i="5"/>
  <c r="A116" i="5"/>
  <c r="B116" i="5"/>
  <c r="H116" i="5"/>
  <c r="I116" i="5"/>
  <c r="J116" i="5"/>
  <c r="K116" i="5"/>
  <c r="L116" i="5"/>
  <c r="O116" i="5"/>
  <c r="Q116" i="5"/>
  <c r="R116" i="5"/>
  <c r="A117" i="5"/>
  <c r="B117" i="5"/>
  <c r="H117" i="5"/>
  <c r="I117" i="5"/>
  <c r="J117" i="5"/>
  <c r="K117" i="5"/>
  <c r="L117" i="5"/>
  <c r="O117" i="5"/>
  <c r="Q117" i="5"/>
  <c r="R117" i="5"/>
  <c r="A118" i="5"/>
  <c r="B118" i="5"/>
  <c r="H118" i="5"/>
  <c r="I118" i="5"/>
  <c r="J118" i="5"/>
  <c r="K118" i="5"/>
  <c r="L118" i="5"/>
  <c r="O118" i="5"/>
  <c r="Q118" i="5"/>
  <c r="R118" i="5"/>
  <c r="A119" i="5"/>
  <c r="B119" i="5"/>
  <c r="H119" i="5"/>
  <c r="I119" i="5"/>
  <c r="J119" i="5"/>
  <c r="K119" i="5"/>
  <c r="L119" i="5"/>
  <c r="O119" i="5"/>
  <c r="Q119" i="5"/>
  <c r="R119" i="5"/>
  <c r="A120" i="5"/>
  <c r="B120" i="5"/>
  <c r="H120" i="5"/>
  <c r="I120" i="5"/>
  <c r="J120" i="5"/>
  <c r="K120" i="5"/>
  <c r="L120" i="5"/>
  <c r="O120" i="5"/>
  <c r="Q120" i="5"/>
  <c r="R120" i="5"/>
  <c r="A121" i="5"/>
  <c r="B121" i="5"/>
  <c r="H121" i="5"/>
  <c r="I121" i="5"/>
  <c r="J121" i="5"/>
  <c r="K121" i="5"/>
  <c r="L121" i="5"/>
  <c r="O121" i="5"/>
  <c r="Q121" i="5"/>
  <c r="R121" i="5"/>
  <c r="A122" i="5"/>
  <c r="B122" i="5"/>
  <c r="F122" i="5"/>
  <c r="H122" i="5"/>
  <c r="I122" i="5"/>
  <c r="J122" i="5"/>
  <c r="K122" i="5"/>
  <c r="L122" i="5"/>
  <c r="O122" i="5"/>
  <c r="Q122" i="5"/>
  <c r="R122" i="5"/>
  <c r="A123" i="5"/>
  <c r="B123" i="5"/>
  <c r="H123" i="5"/>
  <c r="I123" i="5"/>
  <c r="J123" i="5"/>
  <c r="K123" i="5"/>
  <c r="L123" i="5"/>
  <c r="O123" i="5"/>
  <c r="Q123" i="5"/>
  <c r="R123" i="5"/>
  <c r="A124" i="5"/>
  <c r="B124" i="5"/>
  <c r="H124" i="5"/>
  <c r="I124" i="5"/>
  <c r="J124" i="5"/>
  <c r="K124" i="5"/>
  <c r="L124" i="5"/>
  <c r="O124" i="5"/>
  <c r="Q124" i="5"/>
  <c r="R124" i="5"/>
  <c r="A125" i="5"/>
  <c r="B125" i="5"/>
  <c r="H125" i="5"/>
  <c r="I125" i="5"/>
  <c r="J125" i="5"/>
  <c r="K125" i="5"/>
  <c r="L125" i="5"/>
  <c r="O125" i="5"/>
  <c r="Q125" i="5"/>
  <c r="R125" i="5"/>
  <c r="A126" i="5"/>
  <c r="B126" i="5"/>
  <c r="H126" i="5"/>
  <c r="I126" i="5"/>
  <c r="J126" i="5"/>
  <c r="K126" i="5"/>
  <c r="L126" i="5"/>
  <c r="O126" i="5"/>
  <c r="Q126" i="5"/>
  <c r="R126" i="5"/>
  <c r="A127" i="5"/>
  <c r="B127" i="5"/>
  <c r="H127" i="5"/>
  <c r="I127" i="5"/>
  <c r="J127" i="5"/>
  <c r="K127" i="5"/>
  <c r="L127" i="5"/>
  <c r="O127" i="5"/>
  <c r="Q127" i="5"/>
  <c r="R127" i="5"/>
  <c r="A128" i="5"/>
  <c r="B128" i="5"/>
  <c r="H128" i="5"/>
  <c r="I128" i="5"/>
  <c r="J128" i="5"/>
  <c r="K128" i="5"/>
  <c r="L128" i="5"/>
  <c r="O128" i="5"/>
  <c r="Q128" i="5"/>
  <c r="R128" i="5"/>
  <c r="A129" i="5"/>
  <c r="B129" i="5"/>
  <c r="H129" i="5"/>
  <c r="I129" i="5"/>
  <c r="J129" i="5"/>
  <c r="K129" i="5"/>
  <c r="L129" i="5"/>
  <c r="O129" i="5"/>
  <c r="Q129" i="5"/>
  <c r="R129" i="5"/>
  <c r="A130" i="5"/>
  <c r="B130" i="5"/>
  <c r="C130" i="5"/>
  <c r="D130" i="5"/>
  <c r="I130" i="5"/>
  <c r="J130" i="5"/>
  <c r="K130" i="5"/>
  <c r="L130" i="5"/>
  <c r="O130" i="5"/>
  <c r="Q130" i="5"/>
  <c r="A131" i="5"/>
  <c r="B131" i="5"/>
  <c r="C131" i="5"/>
  <c r="D131" i="5"/>
  <c r="I131" i="5"/>
  <c r="J131" i="5"/>
  <c r="K131" i="5"/>
  <c r="L131" i="5"/>
  <c r="O131" i="5"/>
  <c r="Q131" i="5"/>
  <c r="A132" i="5"/>
  <c r="B132" i="5"/>
  <c r="C132" i="5"/>
  <c r="D132" i="5"/>
  <c r="I132" i="5"/>
  <c r="J132" i="5"/>
  <c r="K132" i="5"/>
  <c r="L132" i="5"/>
  <c r="O132" i="5"/>
  <c r="Q132" i="5"/>
  <c r="A133" i="5"/>
  <c r="B133" i="5"/>
  <c r="C133" i="5"/>
  <c r="D133" i="5"/>
  <c r="I133" i="5"/>
  <c r="J133" i="5"/>
  <c r="K133" i="5"/>
  <c r="L133" i="5"/>
  <c r="O133" i="5"/>
  <c r="Q133" i="5"/>
  <c r="A134" i="5"/>
  <c r="B134" i="5"/>
  <c r="C134" i="5"/>
  <c r="D134" i="5"/>
  <c r="I134" i="5"/>
  <c r="J134" i="5"/>
  <c r="K134" i="5"/>
  <c r="L134" i="5"/>
  <c r="O134" i="5"/>
  <c r="Q134" i="5"/>
  <c r="A135" i="5"/>
  <c r="B135" i="5"/>
  <c r="C135" i="5"/>
  <c r="D135" i="5"/>
  <c r="I135" i="5"/>
  <c r="J135" i="5"/>
  <c r="K135" i="5"/>
  <c r="L135" i="5"/>
  <c r="O135" i="5"/>
  <c r="Q135" i="5"/>
  <c r="A136" i="5"/>
  <c r="B136" i="5"/>
  <c r="C136" i="5"/>
  <c r="D136" i="5"/>
  <c r="I136" i="5"/>
  <c r="J136" i="5"/>
  <c r="K136" i="5"/>
  <c r="L136" i="5"/>
  <c r="O136" i="5"/>
  <c r="Q136" i="5"/>
  <c r="A137" i="5"/>
  <c r="B137" i="5"/>
  <c r="C137" i="5"/>
  <c r="D137" i="5"/>
  <c r="I137" i="5"/>
  <c r="J137" i="5"/>
  <c r="K137" i="5"/>
  <c r="L137" i="5"/>
  <c r="O137" i="5"/>
  <c r="Q137" i="5"/>
  <c r="A138" i="5"/>
  <c r="B138" i="5"/>
  <c r="C138" i="5"/>
  <c r="D138" i="5"/>
  <c r="I138" i="5"/>
  <c r="J138" i="5"/>
  <c r="K138" i="5"/>
  <c r="L138" i="5"/>
  <c r="O138" i="5"/>
  <c r="Q138" i="5"/>
  <c r="A139" i="5"/>
  <c r="B139" i="5"/>
  <c r="C139" i="5"/>
  <c r="D139" i="5"/>
  <c r="I139" i="5"/>
  <c r="J139" i="5"/>
  <c r="K139" i="5"/>
  <c r="L139" i="5"/>
  <c r="O139" i="5"/>
  <c r="Q139" i="5"/>
  <c r="A140" i="5"/>
  <c r="B140" i="5"/>
  <c r="C140" i="5"/>
  <c r="D140" i="5"/>
  <c r="I140" i="5"/>
  <c r="J140" i="5"/>
  <c r="K140" i="5"/>
  <c r="L140" i="5"/>
  <c r="O140" i="5"/>
  <c r="Q140" i="5"/>
  <c r="A141" i="5"/>
  <c r="B141" i="5"/>
  <c r="C141" i="5"/>
  <c r="D141" i="5"/>
  <c r="I141" i="5"/>
  <c r="J141" i="5"/>
  <c r="K141" i="5"/>
  <c r="L141" i="5"/>
  <c r="O141" i="5"/>
  <c r="Q141" i="5"/>
  <c r="A142" i="5"/>
  <c r="B142" i="5"/>
  <c r="C142" i="5"/>
  <c r="D142" i="5"/>
  <c r="I142" i="5"/>
  <c r="J142" i="5"/>
  <c r="K142" i="5"/>
  <c r="L142" i="5"/>
  <c r="O142" i="5"/>
  <c r="Q142" i="5"/>
  <c r="A143" i="5"/>
  <c r="B143" i="5"/>
  <c r="C143" i="5"/>
  <c r="D143" i="5"/>
  <c r="I143" i="5"/>
  <c r="J143" i="5"/>
  <c r="K143" i="5"/>
  <c r="L143" i="5"/>
  <c r="O143" i="5"/>
  <c r="Q143" i="5"/>
  <c r="A144" i="5"/>
  <c r="B144" i="5"/>
  <c r="C144" i="5"/>
  <c r="D144" i="5"/>
  <c r="I144" i="5"/>
  <c r="J144" i="5"/>
  <c r="K144" i="5"/>
  <c r="L144" i="5"/>
  <c r="O144" i="5"/>
  <c r="Q144" i="5"/>
  <c r="A145" i="5"/>
  <c r="B145" i="5"/>
  <c r="C145" i="5"/>
  <c r="D145" i="5"/>
  <c r="I145" i="5"/>
  <c r="J145" i="5"/>
  <c r="K145" i="5"/>
  <c r="L145" i="5"/>
  <c r="O145" i="5"/>
  <c r="Q145" i="5"/>
  <c r="A146" i="5"/>
  <c r="B146" i="5"/>
  <c r="C146" i="5"/>
  <c r="D146" i="5"/>
  <c r="I146" i="5"/>
  <c r="J146" i="5"/>
  <c r="K146" i="5"/>
  <c r="L146" i="5"/>
  <c r="O146" i="5"/>
  <c r="Q146" i="5"/>
  <c r="A147" i="5"/>
  <c r="B147" i="5"/>
  <c r="C147" i="5"/>
  <c r="D147" i="5"/>
  <c r="I147" i="5"/>
  <c r="J147" i="5"/>
  <c r="K147" i="5"/>
  <c r="L147" i="5"/>
  <c r="O147" i="5"/>
  <c r="Q147" i="5"/>
  <c r="A148" i="5"/>
  <c r="B148" i="5"/>
  <c r="C148" i="5"/>
  <c r="D148" i="5"/>
  <c r="I148" i="5"/>
  <c r="J148" i="5"/>
  <c r="K148" i="5"/>
  <c r="L148" i="5"/>
  <c r="O148" i="5"/>
  <c r="Q148" i="5"/>
  <c r="A149" i="5"/>
  <c r="B149" i="5"/>
  <c r="C149" i="5"/>
  <c r="D149" i="5"/>
  <c r="I149" i="5"/>
  <c r="J149" i="5"/>
  <c r="K149" i="5"/>
  <c r="L149" i="5"/>
  <c r="O149" i="5"/>
  <c r="Q149" i="5"/>
  <c r="A150" i="5"/>
  <c r="B150" i="5"/>
  <c r="C150" i="5"/>
  <c r="D150" i="5"/>
  <c r="I150" i="5"/>
  <c r="J150" i="5"/>
  <c r="K150" i="5"/>
  <c r="L150" i="5"/>
  <c r="O150" i="5"/>
  <c r="Q150" i="5"/>
  <c r="A151" i="5"/>
  <c r="B151" i="5"/>
  <c r="C151" i="5"/>
  <c r="D151" i="5"/>
  <c r="I151" i="5"/>
  <c r="J151" i="5"/>
  <c r="K151" i="5"/>
  <c r="L151" i="5"/>
  <c r="O151" i="5"/>
  <c r="Q151" i="5"/>
  <c r="A152" i="5"/>
  <c r="B152" i="5"/>
  <c r="C152" i="5"/>
  <c r="D152" i="5"/>
  <c r="I152" i="5"/>
  <c r="J152" i="5"/>
  <c r="K152" i="5"/>
  <c r="L152" i="5"/>
  <c r="O152" i="5"/>
  <c r="Q152" i="5"/>
  <c r="A153" i="5"/>
  <c r="B153" i="5"/>
  <c r="C153" i="5"/>
  <c r="D153" i="5"/>
  <c r="I153" i="5"/>
  <c r="J153" i="5"/>
  <c r="K153" i="5"/>
  <c r="L153" i="5"/>
  <c r="O153" i="5"/>
  <c r="Q153" i="5"/>
  <c r="A154" i="5"/>
  <c r="B154" i="5"/>
  <c r="C154" i="5"/>
  <c r="D154" i="5"/>
  <c r="I154" i="5"/>
  <c r="J154" i="5"/>
  <c r="K154" i="5"/>
  <c r="L154" i="5"/>
  <c r="O154" i="5"/>
  <c r="Q154" i="5"/>
  <c r="A155" i="5"/>
  <c r="B155" i="5"/>
  <c r="C155" i="5"/>
  <c r="D155" i="5"/>
  <c r="I155" i="5"/>
  <c r="J155" i="5"/>
  <c r="K155" i="5"/>
  <c r="L155" i="5"/>
  <c r="O155" i="5"/>
  <c r="Q155" i="5"/>
  <c r="A156" i="5"/>
  <c r="B156" i="5"/>
  <c r="C156" i="5"/>
  <c r="D156" i="5"/>
  <c r="I156" i="5"/>
  <c r="J156" i="5"/>
  <c r="K156" i="5"/>
  <c r="L156" i="5"/>
  <c r="O156" i="5"/>
  <c r="Q156" i="5"/>
  <c r="A157" i="5"/>
  <c r="B157" i="5"/>
  <c r="C157" i="5"/>
  <c r="D157" i="5"/>
  <c r="I157" i="5"/>
  <c r="J157" i="5"/>
  <c r="K157" i="5"/>
  <c r="L157" i="5"/>
  <c r="O157" i="5"/>
  <c r="Q157" i="5"/>
  <c r="A158" i="5"/>
  <c r="B158" i="5"/>
  <c r="C158" i="5"/>
  <c r="D158" i="5"/>
  <c r="I158" i="5"/>
  <c r="J158" i="5"/>
  <c r="K158" i="5"/>
  <c r="L158" i="5"/>
  <c r="O158" i="5"/>
  <c r="Q158" i="5"/>
  <c r="A159" i="5"/>
  <c r="B159" i="5"/>
  <c r="C159" i="5"/>
  <c r="D159" i="5"/>
  <c r="I159" i="5"/>
  <c r="J159" i="5"/>
  <c r="K159" i="5"/>
  <c r="L159" i="5"/>
  <c r="O159" i="5"/>
  <c r="Q159" i="5"/>
  <c r="A160" i="5"/>
  <c r="B160" i="5"/>
  <c r="C160" i="5"/>
  <c r="D160" i="5"/>
  <c r="I160" i="5"/>
  <c r="J160" i="5"/>
  <c r="K160" i="5"/>
  <c r="L160" i="5"/>
  <c r="O160" i="5"/>
  <c r="Q160" i="5"/>
  <c r="A161" i="5"/>
  <c r="B161" i="5"/>
  <c r="C161" i="5"/>
  <c r="D161" i="5"/>
  <c r="I161" i="5"/>
  <c r="J161" i="5"/>
  <c r="K161" i="5"/>
  <c r="L161" i="5"/>
  <c r="O161" i="5"/>
  <c r="Q161" i="5"/>
  <c r="A162" i="5"/>
  <c r="B162" i="5"/>
  <c r="C162" i="5"/>
  <c r="D162" i="5"/>
  <c r="I162" i="5"/>
  <c r="J162" i="5"/>
  <c r="K162" i="5"/>
  <c r="L162" i="5"/>
  <c r="O162" i="5"/>
  <c r="Q162" i="5"/>
  <c r="A163" i="5"/>
  <c r="B163" i="5"/>
  <c r="C163" i="5"/>
  <c r="D163" i="5"/>
  <c r="I163" i="5"/>
  <c r="J163" i="5"/>
  <c r="K163" i="5"/>
  <c r="L163" i="5"/>
  <c r="O163" i="5"/>
  <c r="Q163" i="5"/>
  <c r="A164" i="5"/>
  <c r="B164" i="5"/>
  <c r="C164" i="5"/>
  <c r="D164" i="5"/>
  <c r="I164" i="5"/>
  <c r="J164" i="5"/>
  <c r="K164" i="5"/>
  <c r="L164" i="5"/>
  <c r="O164" i="5"/>
  <c r="Q164" i="5"/>
  <c r="A165" i="5"/>
  <c r="B165" i="5"/>
  <c r="C165" i="5"/>
  <c r="D165" i="5"/>
  <c r="I165" i="5"/>
  <c r="J165" i="5"/>
  <c r="K165" i="5"/>
  <c r="L165" i="5"/>
  <c r="O165" i="5"/>
  <c r="Q165" i="5"/>
  <c r="A166" i="5"/>
  <c r="B166" i="5"/>
  <c r="C166" i="5"/>
  <c r="D166" i="5"/>
  <c r="I166" i="5"/>
  <c r="J166" i="5"/>
  <c r="K166" i="5"/>
  <c r="L166" i="5"/>
  <c r="O166" i="5"/>
  <c r="Q166" i="5"/>
  <c r="A167" i="5"/>
  <c r="B167" i="5"/>
  <c r="C167" i="5"/>
  <c r="D167" i="5"/>
  <c r="I167" i="5"/>
  <c r="J167" i="5"/>
  <c r="K167" i="5"/>
  <c r="L167" i="5"/>
  <c r="O167" i="5"/>
  <c r="Q167" i="5"/>
  <c r="A168" i="5"/>
  <c r="B168" i="5"/>
  <c r="C168" i="5"/>
  <c r="D168" i="5"/>
  <c r="I168" i="5"/>
  <c r="J168" i="5"/>
  <c r="K168" i="5"/>
  <c r="L168" i="5"/>
  <c r="O168" i="5"/>
  <c r="Q168" i="5"/>
  <c r="A169" i="5"/>
  <c r="B169" i="5"/>
  <c r="C169" i="5"/>
  <c r="D169" i="5"/>
  <c r="I169" i="5"/>
  <c r="J169" i="5"/>
  <c r="K169" i="5"/>
  <c r="L169" i="5"/>
  <c r="O169" i="5"/>
  <c r="Q169" i="5"/>
  <c r="A170" i="5"/>
  <c r="B170" i="5"/>
  <c r="C170" i="5"/>
  <c r="D170" i="5"/>
  <c r="I170" i="5"/>
  <c r="J170" i="5"/>
  <c r="K170" i="5"/>
  <c r="L170" i="5"/>
  <c r="O170" i="5"/>
  <c r="Q170" i="5"/>
  <c r="A171" i="5"/>
  <c r="B171" i="5"/>
  <c r="C171" i="5"/>
  <c r="D171" i="5"/>
  <c r="I171" i="5"/>
  <c r="J171" i="5"/>
  <c r="K171" i="5"/>
  <c r="L171" i="5"/>
  <c r="O171" i="5"/>
  <c r="Q171" i="5"/>
  <c r="A172" i="5"/>
  <c r="B172" i="5"/>
  <c r="C172" i="5"/>
  <c r="D172" i="5"/>
  <c r="I172" i="5"/>
  <c r="J172" i="5"/>
  <c r="K172" i="5"/>
  <c r="L172" i="5"/>
  <c r="O172" i="5"/>
  <c r="Q172" i="5"/>
  <c r="A173" i="5"/>
  <c r="B173" i="5"/>
  <c r="C173" i="5"/>
  <c r="D173" i="5"/>
  <c r="I173" i="5"/>
  <c r="J173" i="5"/>
  <c r="K173" i="5"/>
  <c r="L173" i="5"/>
  <c r="O173" i="5"/>
  <c r="Q173" i="5"/>
  <c r="A174" i="5"/>
  <c r="B174" i="5"/>
  <c r="C174" i="5"/>
  <c r="D174" i="5"/>
  <c r="I174" i="5"/>
  <c r="J174" i="5"/>
  <c r="K174" i="5"/>
  <c r="L174" i="5"/>
  <c r="O174" i="5"/>
  <c r="Q174" i="5"/>
  <c r="A175" i="5"/>
  <c r="B175" i="5"/>
  <c r="C175" i="5"/>
  <c r="D175" i="5"/>
  <c r="I175" i="5"/>
  <c r="J175" i="5"/>
  <c r="K175" i="5"/>
  <c r="L175" i="5"/>
  <c r="O175" i="5"/>
  <c r="Q175" i="5"/>
  <c r="A176" i="5"/>
  <c r="B176" i="5"/>
  <c r="C176" i="5"/>
  <c r="D176" i="5"/>
  <c r="I176" i="5"/>
  <c r="J176" i="5"/>
  <c r="K176" i="5"/>
  <c r="L176" i="5"/>
  <c r="O176" i="5"/>
  <c r="Q176" i="5"/>
  <c r="A177" i="5"/>
  <c r="B177" i="5"/>
  <c r="C177" i="5"/>
  <c r="D177" i="5"/>
  <c r="I177" i="5"/>
  <c r="J177" i="5"/>
  <c r="K177" i="5"/>
  <c r="L177" i="5"/>
  <c r="O177" i="5"/>
  <c r="Q177" i="5"/>
  <c r="A178" i="5"/>
  <c r="B178" i="5"/>
  <c r="C178" i="5"/>
  <c r="D178" i="5"/>
  <c r="I178" i="5"/>
  <c r="J178" i="5"/>
  <c r="K178" i="5"/>
  <c r="L178" i="5"/>
  <c r="O178" i="5"/>
  <c r="Q178" i="5"/>
  <c r="A179" i="5"/>
  <c r="B179" i="5"/>
  <c r="C179" i="5"/>
  <c r="D179" i="5"/>
  <c r="I179" i="5"/>
  <c r="J179" i="5"/>
  <c r="K179" i="5"/>
  <c r="L179" i="5"/>
  <c r="O179" i="5"/>
  <c r="Q179" i="5"/>
  <c r="A180" i="5"/>
  <c r="B180" i="5"/>
  <c r="C180" i="5"/>
  <c r="D180" i="5"/>
  <c r="I180" i="5"/>
  <c r="J180" i="5"/>
  <c r="K180" i="5"/>
  <c r="L180" i="5"/>
  <c r="O180" i="5"/>
  <c r="Q180" i="5"/>
  <c r="A181" i="5"/>
  <c r="B181" i="5"/>
  <c r="C181" i="5"/>
  <c r="D181" i="5"/>
  <c r="I181" i="5"/>
  <c r="J181" i="5"/>
  <c r="K181" i="5"/>
  <c r="L181" i="5"/>
  <c r="O181" i="5"/>
  <c r="Q181" i="5"/>
  <c r="A182" i="5"/>
  <c r="B182" i="5"/>
  <c r="C182" i="5"/>
  <c r="D182" i="5"/>
  <c r="I182" i="5"/>
  <c r="J182" i="5"/>
  <c r="K182" i="5"/>
  <c r="L182" i="5"/>
  <c r="O182" i="5"/>
  <c r="Q182" i="5"/>
  <c r="A183" i="5"/>
  <c r="B183" i="5"/>
  <c r="C183" i="5"/>
  <c r="D183" i="5"/>
  <c r="I183" i="5"/>
  <c r="J183" i="5"/>
  <c r="K183" i="5"/>
  <c r="L183" i="5"/>
  <c r="O183" i="5"/>
  <c r="Q183" i="5"/>
  <c r="A184" i="5"/>
  <c r="B184" i="5"/>
  <c r="C184" i="5"/>
  <c r="D184" i="5"/>
  <c r="I184" i="5"/>
  <c r="J184" i="5"/>
  <c r="K184" i="5"/>
  <c r="L184" i="5"/>
  <c r="O184" i="5"/>
  <c r="Q184" i="5"/>
  <c r="A185" i="5"/>
  <c r="B185" i="5"/>
  <c r="C185" i="5"/>
  <c r="D185" i="5"/>
  <c r="I185" i="5"/>
  <c r="J185" i="5"/>
  <c r="K185" i="5"/>
  <c r="L185" i="5"/>
  <c r="O185" i="5"/>
  <c r="Q185" i="5"/>
  <c r="A186" i="5"/>
  <c r="B186" i="5"/>
  <c r="C186" i="5"/>
  <c r="D186" i="5"/>
  <c r="I186" i="5"/>
  <c r="J186" i="5"/>
  <c r="K186" i="5"/>
  <c r="L186" i="5"/>
  <c r="O186" i="5"/>
  <c r="Q186" i="5"/>
  <c r="A187" i="5"/>
  <c r="B187" i="5"/>
  <c r="C187" i="5"/>
  <c r="D187" i="5"/>
  <c r="I187" i="5"/>
  <c r="J187" i="5"/>
  <c r="K187" i="5"/>
  <c r="L187" i="5"/>
  <c r="O187" i="5"/>
  <c r="Q187" i="5"/>
  <c r="A188" i="5"/>
  <c r="B188" i="5"/>
  <c r="C188" i="5"/>
  <c r="D188" i="5"/>
  <c r="I188" i="5"/>
  <c r="J188" i="5"/>
  <c r="K188" i="5"/>
  <c r="L188" i="5"/>
  <c r="O188" i="5"/>
  <c r="Q188" i="5"/>
  <c r="A189" i="5"/>
  <c r="B189" i="5"/>
  <c r="C189" i="5"/>
  <c r="D189" i="5"/>
  <c r="I189" i="5"/>
  <c r="J189" i="5"/>
  <c r="K189" i="5"/>
  <c r="L189" i="5"/>
  <c r="O189" i="5"/>
  <c r="Q189" i="5"/>
  <c r="A190" i="5"/>
  <c r="B190" i="5"/>
  <c r="C190" i="5"/>
  <c r="D190" i="5"/>
  <c r="I190" i="5"/>
  <c r="J190" i="5"/>
  <c r="K190" i="5"/>
  <c r="L190" i="5"/>
  <c r="O190" i="5"/>
  <c r="Q190" i="5"/>
  <c r="A191" i="5"/>
  <c r="B191" i="5"/>
  <c r="C191" i="5"/>
  <c r="D191" i="5"/>
  <c r="I191" i="5"/>
  <c r="J191" i="5"/>
  <c r="K191" i="5"/>
  <c r="L191" i="5"/>
  <c r="O191" i="5"/>
  <c r="Q191" i="5"/>
  <c r="A192" i="5"/>
  <c r="B192" i="5"/>
  <c r="C192" i="5"/>
  <c r="D192" i="5"/>
  <c r="I192" i="5"/>
  <c r="J192" i="5"/>
  <c r="K192" i="5"/>
  <c r="L192" i="5"/>
  <c r="O192" i="5"/>
  <c r="Q192" i="5"/>
  <c r="A193" i="5"/>
  <c r="B193" i="5"/>
  <c r="C193" i="5"/>
  <c r="D193" i="5"/>
  <c r="I193" i="5"/>
  <c r="J193" i="5"/>
  <c r="K193" i="5"/>
  <c r="L193" i="5"/>
  <c r="O193" i="5"/>
  <c r="Q193" i="5"/>
  <c r="A194" i="5"/>
  <c r="B194" i="5"/>
  <c r="C194" i="5"/>
  <c r="D194" i="5"/>
  <c r="I194" i="5"/>
  <c r="J194" i="5"/>
  <c r="K194" i="5"/>
  <c r="L194" i="5"/>
  <c r="O194" i="5"/>
  <c r="Q194" i="5"/>
  <c r="A195" i="5"/>
  <c r="B195" i="5"/>
  <c r="C195" i="5"/>
  <c r="D195" i="5"/>
  <c r="I195" i="5"/>
  <c r="J195" i="5"/>
  <c r="K195" i="5"/>
  <c r="L195" i="5"/>
  <c r="O195" i="5"/>
  <c r="Q195" i="5"/>
  <c r="A196" i="5"/>
  <c r="B196" i="5"/>
  <c r="C196" i="5"/>
  <c r="D196" i="5"/>
  <c r="I196" i="5"/>
  <c r="J196" i="5"/>
  <c r="K196" i="5"/>
  <c r="L196" i="5"/>
  <c r="O196" i="5"/>
  <c r="Q196" i="5"/>
  <c r="A197" i="5"/>
  <c r="B197" i="5"/>
  <c r="C197" i="5"/>
  <c r="D197" i="5"/>
  <c r="I197" i="5"/>
  <c r="J197" i="5"/>
  <c r="K197" i="5"/>
  <c r="L197" i="5"/>
  <c r="O197" i="5"/>
  <c r="Q197" i="5"/>
  <c r="A198" i="5"/>
  <c r="B198" i="5"/>
  <c r="C198" i="5"/>
  <c r="D198" i="5"/>
  <c r="I198" i="5"/>
  <c r="J198" i="5"/>
  <c r="K198" i="5"/>
  <c r="L198" i="5"/>
  <c r="O198" i="5"/>
  <c r="Q198" i="5"/>
  <c r="A199" i="5"/>
  <c r="B199" i="5"/>
  <c r="C199" i="5"/>
  <c r="D199" i="5"/>
  <c r="I199" i="5"/>
  <c r="J199" i="5"/>
  <c r="K199" i="5"/>
  <c r="L199" i="5"/>
  <c r="O199" i="5"/>
  <c r="Q199" i="5"/>
  <c r="A200" i="5"/>
  <c r="B200" i="5"/>
  <c r="C200" i="5"/>
  <c r="D200" i="5"/>
  <c r="I200" i="5"/>
  <c r="J200" i="5"/>
  <c r="K200" i="5"/>
  <c r="L200" i="5"/>
  <c r="O200" i="5"/>
  <c r="Q200" i="5"/>
  <c r="A201" i="5"/>
  <c r="B201" i="5"/>
  <c r="C201" i="5"/>
  <c r="D201" i="5"/>
  <c r="I201" i="5"/>
  <c r="J201" i="5"/>
  <c r="K201" i="5"/>
  <c r="L201" i="5"/>
  <c r="O201" i="5"/>
  <c r="Q201" i="5"/>
  <c r="A202" i="5"/>
  <c r="B202" i="5"/>
  <c r="C202" i="5"/>
  <c r="D202" i="5"/>
  <c r="I202" i="5"/>
  <c r="J202" i="5"/>
  <c r="K202" i="5"/>
  <c r="L202" i="5"/>
  <c r="O202" i="5"/>
  <c r="Q202" i="5"/>
  <c r="A203" i="5"/>
  <c r="B203" i="5"/>
  <c r="C203" i="5"/>
  <c r="D203" i="5"/>
  <c r="I203" i="5"/>
  <c r="J203" i="5"/>
  <c r="K203" i="5"/>
  <c r="L203" i="5"/>
  <c r="O203" i="5"/>
  <c r="Q203" i="5"/>
  <c r="A204" i="5"/>
  <c r="B204" i="5"/>
  <c r="C204" i="5"/>
  <c r="D204" i="5"/>
  <c r="I204" i="5"/>
  <c r="J204" i="5"/>
  <c r="K204" i="5"/>
  <c r="L204" i="5"/>
  <c r="O204" i="5"/>
  <c r="Q204" i="5"/>
  <c r="A205" i="5"/>
  <c r="B205" i="5"/>
  <c r="C205" i="5"/>
  <c r="D205" i="5"/>
  <c r="I205" i="5"/>
  <c r="J205" i="5"/>
  <c r="K205" i="5"/>
  <c r="L205" i="5"/>
  <c r="O205" i="5"/>
  <c r="Q205" i="5"/>
  <c r="A206" i="5"/>
  <c r="B206" i="5"/>
  <c r="C206" i="5"/>
  <c r="D206" i="5"/>
  <c r="I206" i="5"/>
  <c r="J206" i="5"/>
  <c r="K206" i="5"/>
  <c r="L206" i="5"/>
  <c r="O206" i="5"/>
  <c r="Q206" i="5"/>
  <c r="A207" i="5"/>
  <c r="B207" i="5"/>
  <c r="C207" i="5"/>
  <c r="D207" i="5"/>
  <c r="I207" i="5"/>
  <c r="J207" i="5"/>
  <c r="K207" i="5"/>
  <c r="L207" i="5"/>
  <c r="O207" i="5"/>
  <c r="Q207" i="5"/>
  <c r="A208" i="5"/>
  <c r="B208" i="5"/>
  <c r="C208" i="5"/>
  <c r="D208" i="5"/>
  <c r="I208" i="5"/>
  <c r="J208" i="5"/>
  <c r="K208" i="5"/>
  <c r="L208" i="5"/>
  <c r="O208" i="5"/>
  <c r="Q208" i="5"/>
  <c r="A209" i="5"/>
  <c r="B209" i="5"/>
  <c r="C209" i="5"/>
  <c r="D209" i="5"/>
  <c r="I209" i="5"/>
  <c r="J209" i="5"/>
  <c r="K209" i="5"/>
  <c r="L209" i="5"/>
  <c r="O209" i="5"/>
  <c r="Q209" i="5"/>
  <c r="A210" i="5"/>
  <c r="B210" i="5"/>
  <c r="C210" i="5"/>
  <c r="D210" i="5"/>
  <c r="I210" i="5"/>
  <c r="J210" i="5"/>
  <c r="K210" i="5"/>
  <c r="L210" i="5"/>
  <c r="O210" i="5"/>
  <c r="Q210" i="5"/>
  <c r="A211" i="5"/>
  <c r="B211" i="5"/>
  <c r="C211" i="5"/>
  <c r="D211" i="5"/>
  <c r="I211" i="5"/>
  <c r="J211" i="5"/>
  <c r="K211" i="5"/>
  <c r="L211" i="5"/>
  <c r="O211" i="5"/>
  <c r="Q211" i="5"/>
  <c r="A212" i="5"/>
  <c r="B212" i="5"/>
  <c r="C212" i="5"/>
  <c r="D212" i="5"/>
  <c r="I212" i="5"/>
  <c r="J212" i="5"/>
  <c r="K212" i="5"/>
  <c r="L212" i="5"/>
  <c r="O212" i="5"/>
  <c r="Q212" i="5"/>
  <c r="A213" i="5"/>
  <c r="B213" i="5"/>
  <c r="C213" i="5"/>
  <c r="D213" i="5"/>
  <c r="I213" i="5"/>
  <c r="J213" i="5"/>
  <c r="K213" i="5"/>
  <c r="L213" i="5"/>
  <c r="O213" i="5"/>
  <c r="Q213" i="5"/>
  <c r="A214" i="5"/>
  <c r="B214" i="5"/>
  <c r="C214" i="5"/>
  <c r="D214" i="5"/>
  <c r="I214" i="5"/>
  <c r="J214" i="5"/>
  <c r="K214" i="5"/>
  <c r="L214" i="5"/>
  <c r="O214" i="5"/>
  <c r="Q214" i="5"/>
  <c r="A215" i="5"/>
  <c r="B215" i="5"/>
  <c r="C215" i="5"/>
  <c r="D215" i="5"/>
  <c r="I215" i="5"/>
  <c r="J215" i="5"/>
  <c r="K215" i="5"/>
  <c r="L215" i="5"/>
  <c r="O215" i="5"/>
  <c r="Q215" i="5"/>
  <c r="A216" i="5"/>
  <c r="B216" i="5"/>
  <c r="C216" i="5"/>
  <c r="D216" i="5"/>
  <c r="I216" i="5"/>
  <c r="J216" i="5"/>
  <c r="K216" i="5"/>
  <c r="L216" i="5"/>
  <c r="O216" i="5"/>
  <c r="Q216" i="5"/>
  <c r="A217" i="5"/>
  <c r="B217" i="5"/>
  <c r="C217" i="5"/>
  <c r="D217" i="5"/>
  <c r="I217" i="5"/>
  <c r="J217" i="5"/>
  <c r="K217" i="5"/>
  <c r="L217" i="5"/>
  <c r="O217" i="5"/>
  <c r="Q217" i="5"/>
  <c r="A218" i="5"/>
  <c r="B218" i="5"/>
  <c r="C218" i="5"/>
  <c r="D218" i="5"/>
  <c r="I218" i="5"/>
  <c r="J218" i="5"/>
  <c r="K218" i="5"/>
  <c r="L218" i="5"/>
  <c r="O218" i="5"/>
  <c r="Q218" i="5"/>
  <c r="A219" i="5"/>
  <c r="B219" i="5"/>
  <c r="C219" i="5"/>
  <c r="D219" i="5"/>
  <c r="I219" i="5"/>
  <c r="J219" i="5"/>
  <c r="K219" i="5"/>
  <c r="L219" i="5"/>
  <c r="O219" i="5"/>
  <c r="Q219" i="5"/>
  <c r="A220" i="5"/>
  <c r="B220" i="5"/>
  <c r="C220" i="5"/>
  <c r="D220" i="5"/>
  <c r="I220" i="5"/>
  <c r="J220" i="5"/>
  <c r="K220" i="5"/>
  <c r="L220" i="5"/>
  <c r="O220" i="5"/>
  <c r="Q220" i="5"/>
  <c r="A221" i="5"/>
  <c r="B221" i="5"/>
  <c r="C221" i="5"/>
  <c r="D221" i="5"/>
  <c r="I221" i="5"/>
  <c r="J221" i="5"/>
  <c r="K221" i="5"/>
  <c r="L221" i="5"/>
  <c r="O221" i="5"/>
  <c r="Q221" i="5"/>
  <c r="A222" i="5"/>
  <c r="B222" i="5"/>
  <c r="C222" i="5"/>
  <c r="D222" i="5"/>
  <c r="I222" i="5"/>
  <c r="J222" i="5"/>
  <c r="K222" i="5"/>
  <c r="L222" i="5"/>
  <c r="O222" i="5"/>
  <c r="Q222" i="5"/>
  <c r="A223" i="5"/>
  <c r="B223" i="5"/>
  <c r="C223" i="5"/>
  <c r="D223" i="5"/>
  <c r="I223" i="5"/>
  <c r="J223" i="5"/>
  <c r="K223" i="5"/>
  <c r="L223" i="5"/>
  <c r="O223" i="5"/>
  <c r="Q223" i="5"/>
  <c r="A224" i="5"/>
  <c r="B224" i="5"/>
  <c r="C224" i="5"/>
  <c r="D224" i="5"/>
  <c r="I224" i="5"/>
  <c r="J224" i="5"/>
  <c r="K224" i="5"/>
  <c r="L224" i="5"/>
  <c r="O224" i="5"/>
  <c r="Q224" i="5"/>
  <c r="A225" i="5"/>
  <c r="B225" i="5"/>
  <c r="C225" i="5"/>
  <c r="D225" i="5"/>
  <c r="I225" i="5"/>
  <c r="J225" i="5"/>
  <c r="K225" i="5"/>
  <c r="L225" i="5"/>
  <c r="O225" i="5"/>
  <c r="Q225" i="5"/>
  <c r="A226" i="5"/>
  <c r="B226" i="5"/>
  <c r="C226" i="5"/>
  <c r="D226" i="5"/>
  <c r="I226" i="5"/>
  <c r="J226" i="5"/>
  <c r="K226" i="5"/>
  <c r="L226" i="5"/>
  <c r="O226" i="5"/>
  <c r="Q226" i="5"/>
  <c r="A227" i="5"/>
  <c r="B227" i="5"/>
  <c r="C227" i="5"/>
  <c r="D227" i="5"/>
  <c r="I227" i="5"/>
  <c r="J227" i="5"/>
  <c r="K227" i="5"/>
  <c r="L227" i="5"/>
  <c r="O227" i="5"/>
  <c r="Q227" i="5"/>
  <c r="A228" i="5"/>
  <c r="B228" i="5"/>
  <c r="C228" i="5"/>
  <c r="D228" i="5"/>
  <c r="I228" i="5"/>
  <c r="J228" i="5"/>
  <c r="K228" i="5"/>
  <c r="L228" i="5"/>
  <c r="O228" i="5"/>
  <c r="Q228" i="5"/>
  <c r="A229" i="5"/>
  <c r="B229" i="5"/>
  <c r="C229" i="5"/>
  <c r="D229" i="5"/>
  <c r="I229" i="5"/>
  <c r="J229" i="5"/>
  <c r="K229" i="5"/>
  <c r="L229" i="5"/>
  <c r="O229" i="5"/>
  <c r="Q229" i="5"/>
  <c r="A230" i="5"/>
  <c r="B230" i="5"/>
  <c r="C230" i="5"/>
  <c r="D230" i="5"/>
  <c r="I230" i="5"/>
  <c r="J230" i="5"/>
  <c r="K230" i="5"/>
  <c r="L230" i="5"/>
  <c r="O230" i="5"/>
  <c r="Q230" i="5"/>
  <c r="A231" i="5"/>
  <c r="B231" i="5"/>
  <c r="C231" i="5"/>
  <c r="D231" i="5"/>
  <c r="I231" i="5"/>
  <c r="J231" i="5"/>
  <c r="K231" i="5"/>
  <c r="L231" i="5"/>
  <c r="O231" i="5"/>
  <c r="Q231" i="5"/>
  <c r="A232" i="5"/>
  <c r="B232" i="5"/>
  <c r="C232" i="5"/>
  <c r="D232" i="5"/>
  <c r="I232" i="5"/>
  <c r="J232" i="5"/>
  <c r="K232" i="5"/>
  <c r="L232" i="5"/>
  <c r="O232" i="5"/>
  <c r="Q232" i="5"/>
  <c r="A233" i="5"/>
  <c r="B233" i="5"/>
  <c r="C233" i="5"/>
  <c r="D233" i="5"/>
  <c r="I233" i="5"/>
  <c r="J233" i="5"/>
  <c r="K233" i="5"/>
  <c r="L233" i="5"/>
  <c r="O233" i="5"/>
  <c r="Q233" i="5"/>
  <c r="A234" i="5"/>
  <c r="B234" i="5"/>
  <c r="C234" i="5"/>
  <c r="D234" i="5"/>
  <c r="I234" i="5"/>
  <c r="J234" i="5"/>
  <c r="K234" i="5"/>
  <c r="L234" i="5"/>
  <c r="O234" i="5"/>
  <c r="Q234" i="5"/>
  <c r="A235" i="5"/>
  <c r="B235" i="5"/>
  <c r="C235" i="5"/>
  <c r="D235" i="5"/>
  <c r="I235" i="5"/>
  <c r="J235" i="5"/>
  <c r="K235" i="5"/>
  <c r="L235" i="5"/>
  <c r="O235" i="5"/>
  <c r="Q235" i="5"/>
  <c r="A236" i="5"/>
  <c r="B236" i="5"/>
  <c r="C236" i="5"/>
  <c r="D236" i="5"/>
  <c r="I236" i="5"/>
  <c r="J236" i="5"/>
  <c r="K236" i="5"/>
  <c r="L236" i="5"/>
  <c r="O236" i="5"/>
  <c r="Q236" i="5"/>
  <c r="A237" i="5"/>
  <c r="B237" i="5"/>
  <c r="C237" i="5"/>
  <c r="D237" i="5"/>
  <c r="I237" i="5"/>
  <c r="J237" i="5"/>
  <c r="K237" i="5"/>
  <c r="L237" i="5"/>
  <c r="O237" i="5"/>
  <c r="Q237" i="5"/>
  <c r="A238" i="5"/>
  <c r="B238" i="5"/>
  <c r="C238" i="5"/>
  <c r="D238" i="5"/>
  <c r="I238" i="5"/>
  <c r="J238" i="5"/>
  <c r="K238" i="5"/>
  <c r="L238" i="5"/>
  <c r="O238" i="5"/>
  <c r="Q238" i="5"/>
  <c r="A239" i="5"/>
  <c r="B239" i="5"/>
  <c r="C239" i="5"/>
  <c r="D239" i="5"/>
  <c r="I239" i="5"/>
  <c r="J239" i="5"/>
  <c r="K239" i="5"/>
  <c r="L239" i="5"/>
  <c r="O239" i="5"/>
  <c r="Q239" i="5"/>
  <c r="A240" i="5"/>
  <c r="B240" i="5"/>
  <c r="C240" i="5"/>
  <c r="D240" i="5"/>
  <c r="I240" i="5"/>
  <c r="J240" i="5"/>
  <c r="K240" i="5"/>
  <c r="L240" i="5"/>
  <c r="O240" i="5"/>
  <c r="Q240" i="5"/>
  <c r="A241" i="5"/>
  <c r="B241" i="5"/>
  <c r="C241" i="5"/>
  <c r="D241" i="5"/>
  <c r="I241" i="5"/>
  <c r="J241" i="5"/>
  <c r="K241" i="5"/>
  <c r="L241" i="5"/>
  <c r="O241" i="5"/>
  <c r="Q241" i="5"/>
  <c r="A242" i="5"/>
  <c r="B242" i="5"/>
  <c r="C242" i="5"/>
  <c r="D242" i="5"/>
  <c r="I242" i="5"/>
  <c r="J242" i="5"/>
  <c r="K242" i="5"/>
  <c r="L242" i="5"/>
  <c r="O242" i="5"/>
  <c r="Q242" i="5"/>
  <c r="A243" i="5"/>
  <c r="B243" i="5"/>
  <c r="C243" i="5"/>
  <c r="D243" i="5"/>
  <c r="I243" i="5"/>
  <c r="J243" i="5"/>
  <c r="K243" i="5"/>
  <c r="L243" i="5"/>
  <c r="O243" i="5"/>
  <c r="Q243" i="5"/>
  <c r="A244" i="5"/>
  <c r="B244" i="5"/>
  <c r="C244" i="5"/>
  <c r="D244" i="5"/>
  <c r="I244" i="5"/>
  <c r="J244" i="5"/>
  <c r="K244" i="5"/>
  <c r="L244" i="5"/>
  <c r="O244" i="5"/>
  <c r="Q244" i="5"/>
  <c r="A245" i="5"/>
  <c r="B245" i="5"/>
  <c r="C245" i="5"/>
  <c r="D245" i="5"/>
  <c r="I245" i="5"/>
  <c r="J245" i="5"/>
  <c r="K245" i="5"/>
  <c r="L245" i="5"/>
  <c r="O245" i="5"/>
  <c r="Q245" i="5"/>
  <c r="A246" i="5"/>
  <c r="B246" i="5"/>
  <c r="C246" i="5"/>
  <c r="D246" i="5"/>
  <c r="I246" i="5"/>
  <c r="J246" i="5"/>
  <c r="K246" i="5"/>
  <c r="L246" i="5"/>
  <c r="O246" i="5"/>
  <c r="Q246" i="5"/>
  <c r="A247" i="5"/>
  <c r="B247" i="5"/>
  <c r="C247" i="5"/>
  <c r="D247" i="5"/>
  <c r="I247" i="5"/>
  <c r="J247" i="5"/>
  <c r="K247" i="5"/>
  <c r="L247" i="5"/>
  <c r="O247" i="5"/>
  <c r="Q247" i="5"/>
  <c r="A248" i="5"/>
  <c r="B248" i="5"/>
  <c r="C248" i="5"/>
  <c r="D248" i="5"/>
  <c r="I248" i="5"/>
  <c r="J248" i="5"/>
  <c r="K248" i="5"/>
  <c r="L248" i="5"/>
  <c r="O248" i="5"/>
  <c r="Q248" i="5"/>
  <c r="A249" i="5"/>
  <c r="B249" i="5"/>
  <c r="C249" i="5"/>
  <c r="D249" i="5"/>
  <c r="I249" i="5"/>
  <c r="J249" i="5"/>
  <c r="K249" i="5"/>
  <c r="L249" i="5"/>
  <c r="O249" i="5"/>
  <c r="Q249" i="5"/>
  <c r="A250" i="5"/>
  <c r="B250" i="5"/>
  <c r="C250" i="5"/>
  <c r="D250" i="5"/>
  <c r="I250" i="5"/>
  <c r="J250" i="5"/>
  <c r="K250" i="5"/>
  <c r="L250" i="5"/>
  <c r="O250" i="5"/>
  <c r="Q250" i="5"/>
  <c r="A251" i="5"/>
  <c r="B251" i="5"/>
  <c r="C251" i="5"/>
  <c r="D251" i="5"/>
  <c r="I251" i="5"/>
  <c r="J251" i="5"/>
  <c r="K251" i="5"/>
  <c r="L251" i="5"/>
  <c r="O251" i="5"/>
  <c r="Q251" i="5"/>
  <c r="A252" i="5"/>
  <c r="B252" i="5"/>
  <c r="F252" i="5"/>
  <c r="G252" i="5"/>
  <c r="H252" i="5"/>
  <c r="I252" i="5"/>
  <c r="J252" i="5"/>
  <c r="K252" i="5"/>
  <c r="L252" i="5"/>
  <c r="O252" i="5"/>
  <c r="Q252" i="5"/>
  <c r="R252" i="5"/>
  <c r="A253" i="5"/>
  <c r="B253" i="5"/>
  <c r="F253" i="5"/>
  <c r="H253" i="5"/>
  <c r="I253" i="5"/>
  <c r="J253" i="5"/>
  <c r="K253" i="5"/>
  <c r="L253" i="5"/>
  <c r="O253" i="5"/>
  <c r="Q253" i="5"/>
  <c r="R253" i="5"/>
  <c r="A254" i="5"/>
  <c r="B254" i="5"/>
  <c r="F254" i="5"/>
  <c r="H254" i="5"/>
  <c r="I254" i="5"/>
  <c r="J254" i="5"/>
  <c r="K254" i="5"/>
  <c r="L254" i="5"/>
  <c r="O254" i="5"/>
  <c r="Q254" i="5"/>
  <c r="R254" i="5"/>
  <c r="A255" i="5"/>
  <c r="B255" i="5"/>
  <c r="F255" i="5"/>
  <c r="H255" i="5"/>
  <c r="I255" i="5"/>
  <c r="J255" i="5"/>
  <c r="K255" i="5"/>
  <c r="L255" i="5"/>
  <c r="O255" i="5"/>
  <c r="Q255" i="5"/>
  <c r="R255" i="5"/>
  <c r="A256" i="5"/>
  <c r="B256" i="5"/>
  <c r="F256" i="5"/>
  <c r="G256" i="5"/>
  <c r="H256" i="5"/>
  <c r="I256" i="5"/>
  <c r="J256" i="5"/>
  <c r="K256" i="5"/>
  <c r="L256" i="5"/>
  <c r="O256" i="5"/>
  <c r="Q256" i="5"/>
  <c r="R256" i="5"/>
  <c r="A257" i="5"/>
  <c r="B257" i="5"/>
  <c r="F257" i="5"/>
  <c r="G257" i="5"/>
  <c r="H257" i="5"/>
  <c r="I257" i="5"/>
  <c r="J257" i="5"/>
  <c r="K257" i="5"/>
  <c r="L257" i="5"/>
  <c r="O257" i="5"/>
  <c r="Q257" i="5"/>
  <c r="R257" i="5"/>
  <c r="A258" i="5"/>
  <c r="B258" i="5"/>
  <c r="H258" i="5"/>
  <c r="I258" i="5"/>
  <c r="J258" i="5"/>
  <c r="K258" i="5"/>
  <c r="L258" i="5"/>
  <c r="O258" i="5"/>
  <c r="Q258" i="5"/>
  <c r="R258" i="5"/>
  <c r="A259" i="5"/>
  <c r="B259" i="5"/>
  <c r="H259" i="5"/>
  <c r="I259" i="5"/>
  <c r="J259" i="5"/>
  <c r="K259" i="5"/>
  <c r="L259" i="5"/>
  <c r="O259" i="5"/>
  <c r="Q259" i="5"/>
  <c r="R259" i="5"/>
  <c r="A260" i="5"/>
  <c r="B260" i="5"/>
  <c r="H260" i="5"/>
  <c r="I260" i="5"/>
  <c r="J260" i="5"/>
  <c r="K260" i="5"/>
  <c r="L260" i="5"/>
  <c r="O260" i="5"/>
  <c r="Q260" i="5"/>
  <c r="R260" i="5"/>
  <c r="A261" i="5"/>
  <c r="B261" i="5"/>
  <c r="H261" i="5"/>
  <c r="I261" i="5"/>
  <c r="J261" i="5"/>
  <c r="K261" i="5"/>
  <c r="L261" i="5"/>
  <c r="O261" i="5"/>
  <c r="Q261" i="5"/>
  <c r="R261" i="5"/>
  <c r="A262" i="5"/>
  <c r="B262" i="5"/>
  <c r="H262" i="5"/>
  <c r="I262" i="5"/>
  <c r="J262" i="5"/>
  <c r="K262" i="5"/>
  <c r="L262" i="5"/>
  <c r="O262" i="5"/>
  <c r="Q262" i="5"/>
  <c r="R262" i="5"/>
  <c r="A263" i="5"/>
  <c r="B263" i="5"/>
  <c r="H263" i="5"/>
  <c r="I263" i="5"/>
  <c r="J263" i="5"/>
  <c r="K263" i="5"/>
  <c r="L263" i="5"/>
  <c r="O263" i="5"/>
  <c r="Q263" i="5"/>
  <c r="R263" i="5"/>
  <c r="A264" i="5"/>
  <c r="B264" i="5"/>
  <c r="H264" i="5"/>
  <c r="I264" i="5"/>
  <c r="J264" i="5"/>
  <c r="K264" i="5"/>
  <c r="L264" i="5"/>
  <c r="O264" i="5"/>
  <c r="Q264" i="5"/>
  <c r="R264" i="5"/>
  <c r="A265" i="5"/>
  <c r="B265" i="5"/>
  <c r="C265" i="5"/>
  <c r="D265" i="5"/>
  <c r="I265" i="5"/>
  <c r="J265" i="5"/>
  <c r="K265" i="5"/>
  <c r="L265" i="5"/>
  <c r="O265" i="5"/>
  <c r="Q265" i="5"/>
  <c r="A266" i="5"/>
  <c r="B266" i="5"/>
  <c r="C266" i="5"/>
  <c r="D266" i="5"/>
  <c r="I266" i="5"/>
  <c r="J266" i="5"/>
  <c r="K266" i="5"/>
  <c r="L266" i="5"/>
  <c r="O266" i="5"/>
  <c r="Q266" i="5"/>
  <c r="A267" i="5"/>
  <c r="B267" i="5"/>
  <c r="C267" i="5"/>
  <c r="D267" i="5"/>
  <c r="I267" i="5"/>
  <c r="J267" i="5"/>
  <c r="K267" i="5"/>
  <c r="L267" i="5"/>
  <c r="O267" i="5"/>
  <c r="Q267" i="5"/>
  <c r="A268" i="5"/>
  <c r="B268" i="5"/>
  <c r="C268" i="5"/>
  <c r="D268" i="5"/>
  <c r="I268" i="5"/>
  <c r="J268" i="5"/>
  <c r="K268" i="5"/>
  <c r="L268" i="5"/>
  <c r="O268" i="5"/>
  <c r="Q268" i="5"/>
  <c r="A269" i="5"/>
  <c r="B269" i="5"/>
  <c r="C269" i="5"/>
  <c r="D269" i="5"/>
  <c r="I269" i="5"/>
  <c r="J269" i="5"/>
  <c r="K269" i="5"/>
  <c r="L269" i="5"/>
  <c r="O269" i="5"/>
  <c r="Q269" i="5"/>
  <c r="A270" i="5"/>
  <c r="B270" i="5"/>
  <c r="C270" i="5"/>
  <c r="D270" i="5"/>
  <c r="I270" i="5"/>
  <c r="J270" i="5"/>
  <c r="K270" i="5"/>
  <c r="L270" i="5"/>
  <c r="O270" i="5"/>
  <c r="Q270" i="5"/>
  <c r="A271" i="5"/>
  <c r="B271" i="5"/>
  <c r="C271" i="5"/>
  <c r="D271" i="5"/>
  <c r="I271" i="5"/>
  <c r="J271" i="5"/>
  <c r="K271" i="5"/>
  <c r="L271" i="5"/>
  <c r="O271" i="5"/>
  <c r="Q271" i="5"/>
  <c r="A272" i="5"/>
  <c r="B272" i="5"/>
  <c r="F272" i="5"/>
  <c r="H272" i="5"/>
  <c r="I272" i="5"/>
  <c r="J272" i="5"/>
  <c r="K272" i="5"/>
  <c r="L272" i="5"/>
  <c r="O272" i="5"/>
  <c r="Q272" i="5"/>
  <c r="R272" i="5"/>
  <c r="A273" i="5"/>
  <c r="B273" i="5"/>
  <c r="F273" i="5"/>
  <c r="H273" i="5"/>
  <c r="I273" i="5"/>
  <c r="J273" i="5"/>
  <c r="K273" i="5"/>
  <c r="L273" i="5"/>
  <c r="O273" i="5"/>
  <c r="Q273" i="5"/>
  <c r="R273" i="5"/>
  <c r="A274" i="5"/>
  <c r="B274" i="5"/>
  <c r="H274" i="5"/>
  <c r="I274" i="5"/>
  <c r="J274" i="5"/>
  <c r="K274" i="5"/>
  <c r="L274" i="5"/>
  <c r="O274" i="5"/>
  <c r="Q274" i="5"/>
  <c r="R274" i="5"/>
  <c r="A275" i="5"/>
  <c r="B275" i="5"/>
  <c r="H275" i="5"/>
  <c r="I275" i="5"/>
  <c r="J275" i="5"/>
  <c r="K275" i="5"/>
  <c r="L275" i="5"/>
  <c r="O275" i="5"/>
  <c r="Q275" i="5"/>
  <c r="R275" i="5"/>
  <c r="A276" i="5"/>
  <c r="B276" i="5"/>
  <c r="F276" i="5"/>
  <c r="H276" i="5"/>
  <c r="I276" i="5"/>
  <c r="J276" i="5"/>
  <c r="K276" i="5"/>
  <c r="L276" i="5"/>
  <c r="O276" i="5"/>
  <c r="Q276" i="5"/>
  <c r="R276" i="5"/>
  <c r="A277" i="5"/>
  <c r="B277" i="5"/>
  <c r="H277" i="5"/>
  <c r="I277" i="5"/>
  <c r="J277" i="5"/>
  <c r="K277" i="5"/>
  <c r="L277" i="5"/>
  <c r="O277" i="5"/>
  <c r="Q277" i="5"/>
  <c r="R277" i="5"/>
  <c r="A278" i="5"/>
  <c r="B278" i="5"/>
  <c r="H278" i="5"/>
  <c r="I278" i="5"/>
  <c r="J278" i="5"/>
  <c r="K278" i="5"/>
  <c r="L278" i="5"/>
  <c r="O278" i="5"/>
  <c r="Q278" i="5"/>
  <c r="R278" i="5"/>
  <c r="A279" i="5"/>
  <c r="B279" i="5"/>
  <c r="F279" i="5"/>
  <c r="H279" i="5"/>
  <c r="I279" i="5"/>
  <c r="J279" i="5"/>
  <c r="K279" i="5"/>
  <c r="L279" i="5"/>
  <c r="O279" i="5"/>
  <c r="Q279" i="5"/>
  <c r="R279" i="5"/>
  <c r="A280" i="5"/>
  <c r="B280" i="5"/>
  <c r="F280" i="5"/>
  <c r="H280" i="5"/>
  <c r="I280" i="5"/>
  <c r="J280" i="5"/>
  <c r="K280" i="5"/>
  <c r="L280" i="5"/>
  <c r="O280" i="5"/>
  <c r="Q280" i="5"/>
  <c r="R280" i="5"/>
  <c r="A281" i="5"/>
  <c r="B281" i="5"/>
  <c r="F281" i="5"/>
  <c r="H281" i="5"/>
  <c r="I281" i="5"/>
  <c r="J281" i="5"/>
  <c r="K281" i="5"/>
  <c r="L281" i="5"/>
  <c r="O281" i="5"/>
  <c r="Q281" i="5"/>
  <c r="R281" i="5"/>
  <c r="A282" i="5"/>
  <c r="B282" i="5"/>
  <c r="H282" i="5"/>
  <c r="I282" i="5"/>
  <c r="J282" i="5"/>
  <c r="K282" i="5"/>
  <c r="L282" i="5"/>
  <c r="O282" i="5"/>
  <c r="Q282" i="5"/>
  <c r="R282" i="5"/>
  <c r="A283" i="5"/>
  <c r="B283" i="5"/>
  <c r="H283" i="5"/>
  <c r="I283" i="5"/>
  <c r="J283" i="5"/>
  <c r="K283" i="5"/>
  <c r="L283" i="5"/>
  <c r="O283" i="5"/>
  <c r="Q283" i="5"/>
  <c r="R283" i="5"/>
  <c r="A284" i="5"/>
  <c r="B284" i="5"/>
  <c r="H284" i="5"/>
  <c r="I284" i="5"/>
  <c r="J284" i="5"/>
  <c r="K284" i="5"/>
  <c r="L284" i="5"/>
  <c r="O284" i="5"/>
  <c r="Q284" i="5"/>
  <c r="R284" i="5"/>
  <c r="A285" i="5"/>
  <c r="B285" i="5"/>
  <c r="H285" i="5"/>
  <c r="I285" i="5"/>
  <c r="J285" i="5"/>
  <c r="K285" i="5"/>
  <c r="L285" i="5"/>
  <c r="O285" i="5"/>
  <c r="Q285" i="5"/>
  <c r="R285" i="5"/>
  <c r="A286" i="5"/>
  <c r="B286" i="5"/>
  <c r="F286" i="5"/>
  <c r="H286" i="5"/>
  <c r="I286" i="5"/>
  <c r="J286" i="5"/>
  <c r="K286" i="5"/>
  <c r="L286" i="5"/>
  <c r="O286" i="5"/>
  <c r="Q286" i="5"/>
  <c r="R286" i="5"/>
  <c r="A287" i="5"/>
  <c r="B287" i="5"/>
  <c r="H287" i="5"/>
  <c r="I287" i="5"/>
  <c r="J287" i="5"/>
  <c r="K287" i="5"/>
  <c r="L287" i="5"/>
  <c r="O287" i="5"/>
  <c r="Q287" i="5"/>
  <c r="R287" i="5"/>
  <c r="A288" i="5"/>
  <c r="B288" i="5"/>
  <c r="H288" i="5"/>
  <c r="I288" i="5"/>
  <c r="J288" i="5"/>
  <c r="K288" i="5"/>
  <c r="L288" i="5"/>
  <c r="O288" i="5"/>
  <c r="Q288" i="5"/>
  <c r="R288" i="5"/>
  <c r="A289" i="5"/>
  <c r="B289" i="5"/>
  <c r="F289" i="5"/>
  <c r="H289" i="5"/>
  <c r="I289" i="5"/>
  <c r="J289" i="5"/>
  <c r="K289" i="5"/>
  <c r="L289" i="5"/>
  <c r="O289" i="5"/>
  <c r="Q289" i="5"/>
  <c r="R289" i="5"/>
  <c r="A290" i="5"/>
  <c r="B290" i="5"/>
  <c r="F290" i="5"/>
  <c r="H290" i="5"/>
  <c r="I290" i="5"/>
  <c r="J290" i="5"/>
  <c r="K290" i="5"/>
  <c r="L290" i="5"/>
  <c r="O290" i="5"/>
  <c r="Q290" i="5"/>
  <c r="R290" i="5"/>
  <c r="A291" i="5"/>
  <c r="B291" i="5"/>
  <c r="H291" i="5"/>
  <c r="I291" i="5"/>
  <c r="J291" i="5"/>
  <c r="K291" i="5"/>
  <c r="L291" i="5"/>
  <c r="O291" i="5"/>
  <c r="Q291" i="5"/>
  <c r="R291" i="5"/>
  <c r="A292" i="5"/>
  <c r="B292" i="5"/>
  <c r="H292" i="5"/>
  <c r="I292" i="5"/>
  <c r="J292" i="5"/>
  <c r="K292" i="5"/>
  <c r="L292" i="5"/>
  <c r="O292" i="5"/>
  <c r="Q292" i="5"/>
  <c r="R292" i="5"/>
  <c r="A293" i="5"/>
  <c r="B293" i="5"/>
  <c r="F293" i="5"/>
  <c r="H293" i="5"/>
  <c r="I293" i="5"/>
  <c r="J293" i="5"/>
  <c r="K293" i="5"/>
  <c r="L293" i="5"/>
  <c r="O293" i="5"/>
  <c r="Q293" i="5"/>
  <c r="R293" i="5"/>
  <c r="A294" i="5"/>
  <c r="B294" i="5"/>
  <c r="H294" i="5"/>
  <c r="I294" i="5"/>
  <c r="J294" i="5"/>
  <c r="K294" i="5"/>
  <c r="L294" i="5"/>
  <c r="O294" i="5"/>
  <c r="Q294" i="5"/>
  <c r="R294" i="5"/>
  <c r="A295" i="5"/>
  <c r="B295" i="5"/>
  <c r="F295" i="5"/>
  <c r="H295" i="5"/>
  <c r="I295" i="5"/>
  <c r="J295" i="5"/>
  <c r="K295" i="5"/>
  <c r="L295" i="5"/>
  <c r="O295" i="5"/>
  <c r="Q295" i="5"/>
  <c r="R295" i="5"/>
  <c r="A296" i="5"/>
  <c r="B296" i="5"/>
  <c r="F296" i="5"/>
  <c r="H296" i="5"/>
  <c r="I296" i="5"/>
  <c r="J296" i="5"/>
  <c r="K296" i="5"/>
  <c r="L296" i="5"/>
  <c r="O296" i="5"/>
  <c r="Q296" i="5"/>
  <c r="R296" i="5"/>
  <c r="A297" i="5"/>
  <c r="B297" i="5"/>
  <c r="F297" i="5"/>
  <c r="H297" i="5"/>
  <c r="I297" i="5"/>
  <c r="J297" i="5"/>
  <c r="K297" i="5"/>
  <c r="L297" i="5"/>
  <c r="O297" i="5"/>
  <c r="Q297" i="5"/>
  <c r="R297" i="5"/>
  <c r="A298" i="5"/>
  <c r="B298" i="5"/>
  <c r="H298" i="5"/>
  <c r="I298" i="5"/>
  <c r="J298" i="5"/>
  <c r="K298" i="5"/>
  <c r="L298" i="5"/>
  <c r="O298" i="5"/>
  <c r="Q298" i="5"/>
  <c r="R298" i="5"/>
  <c r="A299" i="5"/>
  <c r="B299" i="5"/>
  <c r="F299" i="5"/>
  <c r="H299" i="5"/>
  <c r="I299" i="5"/>
  <c r="J299" i="5"/>
  <c r="K299" i="5"/>
  <c r="L299" i="5"/>
  <c r="O299" i="5"/>
  <c r="Q299" i="5"/>
  <c r="R299" i="5"/>
  <c r="A300" i="5"/>
  <c r="B300" i="5"/>
  <c r="H300" i="5"/>
  <c r="I300" i="5"/>
  <c r="J300" i="5"/>
  <c r="K300" i="5"/>
  <c r="L300" i="5"/>
  <c r="O300" i="5"/>
  <c r="Q300" i="5"/>
  <c r="R300" i="5"/>
  <c r="I301" i="5"/>
  <c r="I302" i="5"/>
  <c r="C303" i="5"/>
  <c r="F303" i="5"/>
  <c r="G303" i="5"/>
  <c r="H303" i="5"/>
  <c r="I303" i="5"/>
  <c r="J303" i="5"/>
  <c r="K303" i="5"/>
  <c r="L303" i="5"/>
  <c r="N303" i="5"/>
  <c r="O303" i="5"/>
  <c r="Q303" i="5"/>
  <c r="R303" i="5"/>
  <c r="S303" i="5"/>
  <c r="T303" i="5"/>
  <c r="U303" i="5"/>
  <c r="C304" i="5"/>
  <c r="D304" i="5"/>
  <c r="I304" i="5"/>
  <c r="K304" i="5"/>
  <c r="C305" i="5"/>
  <c r="F305" i="5"/>
  <c r="G305" i="5"/>
  <c r="H305" i="5"/>
  <c r="I305" i="5"/>
  <c r="J305" i="5"/>
  <c r="K305" i="5"/>
  <c r="L305" i="5"/>
  <c r="N305" i="5"/>
  <c r="O305" i="5"/>
  <c r="Q305" i="5"/>
  <c r="R305" i="5"/>
  <c r="S305" i="5"/>
  <c r="T305" i="5"/>
  <c r="U305" i="5"/>
  <c r="C306" i="5"/>
  <c r="D306" i="5"/>
  <c r="F306" i="5"/>
  <c r="G306" i="5"/>
  <c r="H306" i="5"/>
  <c r="I306" i="5"/>
  <c r="J306" i="5"/>
  <c r="K306" i="5"/>
  <c r="L306" i="5"/>
  <c r="N306" i="5"/>
  <c r="O306" i="5"/>
  <c r="Q306" i="5"/>
  <c r="R306" i="5"/>
  <c r="S306" i="5"/>
  <c r="T306" i="5"/>
  <c r="U306" i="5"/>
  <c r="J309" i="5"/>
  <c r="K309" i="5"/>
  <c r="L309" i="5"/>
  <c r="N309" i="5"/>
  <c r="O309" i="5"/>
  <c r="Q309" i="5"/>
  <c r="R309" i="5"/>
  <c r="K310" i="5"/>
  <c r="K311" i="5"/>
  <c r="K312" i="5"/>
  <c r="J313" i="5"/>
  <c r="K313" i="5"/>
  <c r="L313" i="5"/>
  <c r="N313" i="5"/>
  <c r="O313" i="5"/>
  <c r="Q313" i="5"/>
  <c r="R313" i="5"/>
  <c r="J314" i="5"/>
  <c r="K314" i="5"/>
  <c r="L314" i="5"/>
  <c r="N314" i="5"/>
  <c r="O314" i="5"/>
  <c r="Q314" i="5"/>
  <c r="R314" i="5"/>
  <c r="C318" i="5"/>
  <c r="D318" i="5"/>
  <c r="E318" i="5"/>
  <c r="F318" i="5"/>
  <c r="G318" i="5"/>
  <c r="H318" i="5"/>
  <c r="I318" i="5"/>
  <c r="J318" i="5"/>
  <c r="K318" i="5"/>
  <c r="L318" i="5"/>
  <c r="M318" i="5"/>
  <c r="N318" i="5"/>
  <c r="O318" i="5"/>
  <c r="P318" i="5"/>
  <c r="Q318" i="5"/>
  <c r="R318" i="5"/>
  <c r="S318" i="5"/>
  <c r="T318" i="5"/>
  <c r="U318" i="5"/>
  <c r="V318" i="5"/>
  <c r="W318" i="5"/>
  <c r="X318" i="5"/>
  <c r="Y318" i="5"/>
  <c r="Z318" i="5"/>
  <c r="AA318" i="5"/>
  <c r="AB318" i="5"/>
  <c r="AC318" i="5"/>
  <c r="AD318" i="5"/>
  <c r="AE318" i="5"/>
  <c r="AF318" i="5"/>
  <c r="AG318" i="5"/>
  <c r="AH318" i="5"/>
  <c r="AI318" i="5"/>
  <c r="AJ318" i="5"/>
  <c r="AK318" i="5"/>
  <c r="AL318" i="5"/>
  <c r="AM318" i="5"/>
  <c r="AN318" i="5"/>
  <c r="AO318" i="5"/>
  <c r="AP318" i="5"/>
  <c r="AQ318" i="5"/>
  <c r="AR318" i="5"/>
  <c r="AS318" i="5"/>
  <c r="AT318" i="5"/>
  <c r="AU318" i="5"/>
  <c r="C319" i="5"/>
  <c r="D319" i="5"/>
  <c r="E319" i="5"/>
  <c r="F319" i="5"/>
  <c r="G319" i="5"/>
  <c r="H319" i="5"/>
  <c r="I319" i="5"/>
  <c r="J319" i="5"/>
  <c r="K319" i="5"/>
  <c r="L319" i="5"/>
  <c r="M319" i="5"/>
  <c r="N319" i="5"/>
  <c r="O319" i="5"/>
  <c r="P319" i="5"/>
  <c r="Q319" i="5"/>
  <c r="R319" i="5"/>
  <c r="S319" i="5"/>
  <c r="T319" i="5"/>
  <c r="U319" i="5"/>
  <c r="V319" i="5"/>
  <c r="W319" i="5"/>
  <c r="X319" i="5"/>
  <c r="Y319" i="5"/>
  <c r="Z319" i="5"/>
  <c r="AA319" i="5"/>
  <c r="AB319" i="5"/>
  <c r="AC319" i="5"/>
  <c r="AD319" i="5"/>
  <c r="AE319" i="5"/>
  <c r="AF319" i="5"/>
  <c r="AG319" i="5"/>
  <c r="AH319" i="5"/>
  <c r="AI319" i="5"/>
  <c r="AJ319" i="5"/>
  <c r="AK319" i="5"/>
  <c r="AL319" i="5"/>
  <c r="AM319" i="5"/>
  <c r="AN319" i="5"/>
  <c r="AO319" i="5"/>
  <c r="AP319" i="5"/>
  <c r="AQ319" i="5"/>
  <c r="AR319" i="5"/>
  <c r="AS319" i="5"/>
  <c r="AT319" i="5"/>
  <c r="AU319" i="5"/>
  <c r="C320" i="5"/>
  <c r="D320" i="5"/>
  <c r="E320" i="5"/>
  <c r="F320" i="5"/>
  <c r="G320" i="5"/>
  <c r="H320" i="5"/>
  <c r="I320" i="5"/>
  <c r="J320" i="5"/>
  <c r="K320" i="5"/>
  <c r="L320" i="5"/>
  <c r="M320" i="5"/>
  <c r="N320" i="5"/>
  <c r="O320" i="5"/>
  <c r="P320" i="5"/>
  <c r="Q320" i="5"/>
  <c r="R320" i="5"/>
  <c r="S320" i="5"/>
  <c r="T320" i="5"/>
  <c r="U320" i="5"/>
  <c r="V320" i="5"/>
  <c r="W320" i="5"/>
  <c r="X320" i="5"/>
  <c r="Y320" i="5"/>
  <c r="Z320" i="5"/>
  <c r="AA320" i="5"/>
  <c r="AB320" i="5"/>
  <c r="AC320" i="5"/>
  <c r="AD320" i="5"/>
  <c r="AE320" i="5"/>
  <c r="AF320" i="5"/>
  <c r="AG320" i="5"/>
  <c r="AH320" i="5"/>
  <c r="AI320" i="5"/>
  <c r="AJ320" i="5"/>
  <c r="AK320" i="5"/>
  <c r="AL320" i="5"/>
  <c r="AM320" i="5"/>
  <c r="AN320" i="5"/>
  <c r="AO320" i="5"/>
  <c r="AP320" i="5"/>
  <c r="AQ320" i="5"/>
  <c r="AR320" i="5"/>
  <c r="AS320" i="5"/>
  <c r="AT320" i="5"/>
  <c r="AU320" i="5"/>
  <c r="A8" i="6"/>
  <c r="B8" i="6"/>
  <c r="E8" i="6"/>
  <c r="I8" i="6"/>
  <c r="J8" i="6"/>
  <c r="K8" i="6"/>
  <c r="L8" i="6"/>
  <c r="N8" i="6"/>
  <c r="O8" i="6"/>
  <c r="S8" i="6"/>
  <c r="W8" i="6"/>
  <c r="A9" i="6"/>
  <c r="B9" i="6"/>
  <c r="E9" i="6"/>
  <c r="I9" i="6"/>
  <c r="J9" i="6"/>
  <c r="K9" i="6"/>
  <c r="L9" i="6"/>
  <c r="N9" i="6"/>
  <c r="O9" i="6"/>
  <c r="S9" i="6"/>
  <c r="W9" i="6"/>
  <c r="A10" i="6"/>
  <c r="B10" i="6"/>
  <c r="E10" i="6"/>
  <c r="I10" i="6"/>
  <c r="J10" i="6"/>
  <c r="K10" i="6"/>
  <c r="L10" i="6"/>
  <c r="N10" i="6"/>
  <c r="O10" i="6"/>
  <c r="S10" i="6"/>
  <c r="W10" i="6"/>
  <c r="A11" i="6"/>
  <c r="B11" i="6"/>
  <c r="E11" i="6"/>
  <c r="I11" i="6"/>
  <c r="J11" i="6"/>
  <c r="K11" i="6"/>
  <c r="L11" i="6"/>
  <c r="N11" i="6"/>
  <c r="O11" i="6"/>
  <c r="S11" i="6"/>
  <c r="W11" i="6"/>
  <c r="A12" i="6"/>
  <c r="B12" i="6"/>
  <c r="E12" i="6"/>
  <c r="I12" i="6"/>
  <c r="J12" i="6"/>
  <c r="K12" i="6"/>
  <c r="L12" i="6"/>
  <c r="N12" i="6"/>
  <c r="O12" i="6"/>
  <c r="S12" i="6"/>
  <c r="W12" i="6"/>
  <c r="A13" i="6"/>
  <c r="B13" i="6"/>
  <c r="E13" i="6"/>
  <c r="I13" i="6"/>
  <c r="J13" i="6"/>
  <c r="K13" i="6"/>
  <c r="L13" i="6"/>
  <c r="N13" i="6"/>
  <c r="O13" i="6"/>
  <c r="S13" i="6"/>
  <c r="W13" i="6"/>
  <c r="A14" i="6"/>
  <c r="B14" i="6"/>
  <c r="E14" i="6"/>
  <c r="I14" i="6"/>
  <c r="J14" i="6"/>
  <c r="K14" i="6"/>
  <c r="L14" i="6"/>
  <c r="N14" i="6"/>
  <c r="O14" i="6"/>
  <c r="S14" i="6"/>
  <c r="W14" i="6"/>
  <c r="A15" i="6"/>
  <c r="B15" i="6"/>
  <c r="E15" i="6"/>
  <c r="I15" i="6"/>
  <c r="J15" i="6"/>
  <c r="K15" i="6"/>
  <c r="L15" i="6"/>
  <c r="N15" i="6"/>
  <c r="O15" i="6"/>
  <c r="S15" i="6"/>
  <c r="W15" i="6"/>
  <c r="A16" i="6"/>
  <c r="B16" i="6"/>
  <c r="E16" i="6"/>
  <c r="I16" i="6"/>
  <c r="J16" i="6"/>
  <c r="K16" i="6"/>
  <c r="L16" i="6"/>
  <c r="N16" i="6"/>
  <c r="O16" i="6"/>
  <c r="S16" i="6"/>
  <c r="W16" i="6"/>
  <c r="A17" i="6"/>
  <c r="B17" i="6"/>
  <c r="E17" i="6"/>
  <c r="I17" i="6"/>
  <c r="J17" i="6"/>
  <c r="K17" i="6"/>
  <c r="L17" i="6"/>
  <c r="N17" i="6"/>
  <c r="O17" i="6"/>
  <c r="S17" i="6"/>
  <c r="W17" i="6"/>
  <c r="A18" i="6"/>
  <c r="B18" i="6"/>
  <c r="E18" i="6"/>
  <c r="I18" i="6"/>
  <c r="J18" i="6"/>
  <c r="K18" i="6"/>
  <c r="L18" i="6"/>
  <c r="N18" i="6"/>
  <c r="O18" i="6"/>
  <c r="S18" i="6"/>
  <c r="W18" i="6"/>
  <c r="A19" i="6"/>
  <c r="B19" i="6"/>
  <c r="E19" i="6"/>
  <c r="I19" i="6"/>
  <c r="J19" i="6"/>
  <c r="K19" i="6"/>
  <c r="L19" i="6"/>
  <c r="N19" i="6"/>
  <c r="O19" i="6"/>
  <c r="S19" i="6"/>
  <c r="W19" i="6"/>
  <c r="A20" i="6"/>
  <c r="B20" i="6"/>
  <c r="E20" i="6"/>
  <c r="I20" i="6"/>
  <c r="J20" i="6"/>
  <c r="K20" i="6"/>
  <c r="L20" i="6"/>
  <c r="N20" i="6"/>
  <c r="O20" i="6"/>
  <c r="S20" i="6"/>
  <c r="W20" i="6"/>
  <c r="A21" i="6"/>
  <c r="B21" i="6"/>
  <c r="E21" i="6"/>
  <c r="I21" i="6"/>
  <c r="J21" i="6"/>
  <c r="K21" i="6"/>
  <c r="L21" i="6"/>
  <c r="N21" i="6"/>
  <c r="O21" i="6"/>
  <c r="S21" i="6"/>
  <c r="W21" i="6"/>
  <c r="A22" i="6"/>
  <c r="B22" i="6"/>
  <c r="E22" i="6"/>
  <c r="I22" i="6"/>
  <c r="J22" i="6"/>
  <c r="K22" i="6"/>
  <c r="L22" i="6"/>
  <c r="N22" i="6"/>
  <c r="O22" i="6"/>
  <c r="S22" i="6"/>
  <c r="W22" i="6"/>
  <c r="A23" i="6"/>
  <c r="B23" i="6"/>
  <c r="E23" i="6"/>
  <c r="I23" i="6"/>
  <c r="J23" i="6"/>
  <c r="K23" i="6"/>
  <c r="L23" i="6"/>
  <c r="N23" i="6"/>
  <c r="O23" i="6"/>
  <c r="S23" i="6"/>
  <c r="W23" i="6"/>
  <c r="A24" i="6"/>
  <c r="B24" i="6"/>
  <c r="E24" i="6"/>
  <c r="I24" i="6"/>
  <c r="J24" i="6"/>
  <c r="K24" i="6"/>
  <c r="L24" i="6"/>
  <c r="N24" i="6"/>
  <c r="O24" i="6"/>
  <c r="S24" i="6"/>
  <c r="W24" i="6"/>
  <c r="A25" i="6"/>
  <c r="B25" i="6"/>
  <c r="E25" i="6"/>
  <c r="I25" i="6"/>
  <c r="J25" i="6"/>
  <c r="K25" i="6"/>
  <c r="L25" i="6"/>
  <c r="N25" i="6"/>
  <c r="O25" i="6"/>
  <c r="S25" i="6"/>
  <c r="W25" i="6"/>
  <c r="A26" i="6"/>
  <c r="B26" i="6"/>
  <c r="E26" i="6"/>
  <c r="I26" i="6"/>
  <c r="J26" i="6"/>
  <c r="K26" i="6"/>
  <c r="L26" i="6"/>
  <c r="N26" i="6"/>
  <c r="O26" i="6"/>
  <c r="S26" i="6"/>
  <c r="W26" i="6"/>
  <c r="A27" i="6"/>
  <c r="B27" i="6"/>
  <c r="E27" i="6"/>
  <c r="I27" i="6"/>
  <c r="J27" i="6"/>
  <c r="K27" i="6"/>
  <c r="L27" i="6"/>
  <c r="N27" i="6"/>
  <c r="O27" i="6"/>
  <c r="S27" i="6"/>
  <c r="W27" i="6"/>
  <c r="A28" i="6"/>
  <c r="B28" i="6"/>
  <c r="E28" i="6"/>
  <c r="I28" i="6"/>
  <c r="J28" i="6"/>
  <c r="K28" i="6"/>
  <c r="L28" i="6"/>
  <c r="N28" i="6"/>
  <c r="O28" i="6"/>
  <c r="S28" i="6"/>
  <c r="W28" i="6"/>
  <c r="A29" i="6"/>
  <c r="B29" i="6"/>
  <c r="E29" i="6"/>
  <c r="I29" i="6"/>
  <c r="J29" i="6"/>
  <c r="K29" i="6"/>
  <c r="L29" i="6"/>
  <c r="N29" i="6"/>
  <c r="O29" i="6"/>
  <c r="S29" i="6"/>
  <c r="W29" i="6"/>
  <c r="A30" i="6"/>
  <c r="B30" i="6"/>
  <c r="E30" i="6"/>
  <c r="I30" i="6"/>
  <c r="J30" i="6"/>
  <c r="K30" i="6"/>
  <c r="L30" i="6"/>
  <c r="N30" i="6"/>
  <c r="O30" i="6"/>
  <c r="S30" i="6"/>
  <c r="W30" i="6"/>
  <c r="A31" i="6"/>
  <c r="B31" i="6"/>
  <c r="E31" i="6"/>
  <c r="I31" i="6"/>
  <c r="J31" i="6"/>
  <c r="K31" i="6"/>
  <c r="L31" i="6"/>
  <c r="N31" i="6"/>
  <c r="O31" i="6"/>
  <c r="S31" i="6"/>
  <c r="W31" i="6"/>
  <c r="A32" i="6"/>
  <c r="B32" i="6"/>
  <c r="E32" i="6"/>
  <c r="I32" i="6"/>
  <c r="J32" i="6"/>
  <c r="K32" i="6"/>
  <c r="L32" i="6"/>
  <c r="N32" i="6"/>
  <c r="O32" i="6"/>
  <c r="S32" i="6"/>
  <c r="W32" i="6"/>
  <c r="A33" i="6"/>
  <c r="B33" i="6"/>
  <c r="E33" i="6"/>
  <c r="I33" i="6"/>
  <c r="J33" i="6"/>
  <c r="K33" i="6"/>
  <c r="L33" i="6"/>
  <c r="N33" i="6"/>
  <c r="O33" i="6"/>
  <c r="S33" i="6"/>
  <c r="W33" i="6"/>
  <c r="A34" i="6"/>
  <c r="B34" i="6"/>
  <c r="E34" i="6"/>
  <c r="I34" i="6"/>
  <c r="J34" i="6"/>
  <c r="K34" i="6"/>
  <c r="L34" i="6"/>
  <c r="N34" i="6"/>
  <c r="O34" i="6"/>
  <c r="S34" i="6"/>
  <c r="W34" i="6"/>
  <c r="A35" i="6"/>
  <c r="B35" i="6"/>
  <c r="E35" i="6"/>
  <c r="I35" i="6"/>
  <c r="J35" i="6"/>
  <c r="K35" i="6"/>
  <c r="L35" i="6"/>
  <c r="N35" i="6"/>
  <c r="O35" i="6"/>
  <c r="S35" i="6"/>
  <c r="W35" i="6"/>
  <c r="A36" i="6"/>
  <c r="B36" i="6"/>
  <c r="E36" i="6"/>
  <c r="I36" i="6"/>
  <c r="J36" i="6"/>
  <c r="K36" i="6"/>
  <c r="L36" i="6"/>
  <c r="N36" i="6"/>
  <c r="O36" i="6"/>
  <c r="S36" i="6"/>
  <c r="W36" i="6"/>
  <c r="A37" i="6"/>
  <c r="B37" i="6"/>
  <c r="E37" i="6"/>
  <c r="I37" i="6"/>
  <c r="J37" i="6"/>
  <c r="K37" i="6"/>
  <c r="L37" i="6"/>
  <c r="N37" i="6"/>
  <c r="O37" i="6"/>
  <c r="S37" i="6"/>
  <c r="W37" i="6"/>
  <c r="A38" i="6"/>
  <c r="B38" i="6"/>
  <c r="E38" i="6"/>
  <c r="I38" i="6"/>
  <c r="J38" i="6"/>
  <c r="K38" i="6"/>
  <c r="L38" i="6"/>
  <c r="N38" i="6"/>
  <c r="O38" i="6"/>
  <c r="S38" i="6"/>
  <c r="W38" i="6"/>
  <c r="A39" i="6"/>
  <c r="B39" i="6"/>
  <c r="E39" i="6"/>
  <c r="I39" i="6"/>
  <c r="J39" i="6"/>
  <c r="K39" i="6"/>
  <c r="L39" i="6"/>
  <c r="N39" i="6"/>
  <c r="O39" i="6"/>
  <c r="S39" i="6"/>
  <c r="W39" i="6"/>
  <c r="A40" i="6"/>
  <c r="B40" i="6"/>
  <c r="E40" i="6"/>
  <c r="I40" i="6"/>
  <c r="J40" i="6"/>
  <c r="K40" i="6"/>
  <c r="L40" i="6"/>
  <c r="N40" i="6"/>
  <c r="O40" i="6"/>
  <c r="S40" i="6"/>
  <c r="W40" i="6"/>
  <c r="A41" i="6"/>
  <c r="B41" i="6"/>
  <c r="E41" i="6"/>
  <c r="I41" i="6"/>
  <c r="J41" i="6"/>
  <c r="K41" i="6"/>
  <c r="L41" i="6"/>
  <c r="N41" i="6"/>
  <c r="O41" i="6"/>
  <c r="S41" i="6"/>
  <c r="W41" i="6"/>
  <c r="A42" i="6"/>
  <c r="B42" i="6"/>
  <c r="E42" i="6"/>
  <c r="I42" i="6"/>
  <c r="J42" i="6"/>
  <c r="K42" i="6"/>
  <c r="L42" i="6"/>
  <c r="N42" i="6"/>
  <c r="O42" i="6"/>
  <c r="S42" i="6"/>
  <c r="W42" i="6"/>
  <c r="A43" i="6"/>
  <c r="B43" i="6"/>
  <c r="E43" i="6"/>
  <c r="I43" i="6"/>
  <c r="J43" i="6"/>
  <c r="K43" i="6"/>
  <c r="L43" i="6"/>
  <c r="N43" i="6"/>
  <c r="O43" i="6"/>
  <c r="S43" i="6"/>
  <c r="W43" i="6"/>
  <c r="A44" i="6"/>
  <c r="B44" i="6"/>
  <c r="E44" i="6"/>
  <c r="I44" i="6"/>
  <c r="J44" i="6"/>
  <c r="K44" i="6"/>
  <c r="L44" i="6"/>
  <c r="N44" i="6"/>
  <c r="O44" i="6"/>
  <c r="S44" i="6"/>
  <c r="W44" i="6"/>
  <c r="A45" i="6"/>
  <c r="B45" i="6"/>
  <c r="E45" i="6"/>
  <c r="I45" i="6"/>
  <c r="J45" i="6"/>
  <c r="K45" i="6"/>
  <c r="L45" i="6"/>
  <c r="N45" i="6"/>
  <c r="O45" i="6"/>
  <c r="S45" i="6"/>
  <c r="W45" i="6"/>
  <c r="A46" i="6"/>
  <c r="B46" i="6"/>
  <c r="E46" i="6"/>
  <c r="I46" i="6"/>
  <c r="J46" i="6"/>
  <c r="K46" i="6"/>
  <c r="L46" i="6"/>
  <c r="N46" i="6"/>
  <c r="O46" i="6"/>
  <c r="S46" i="6"/>
  <c r="W46" i="6"/>
  <c r="A47" i="6"/>
  <c r="B47" i="6"/>
  <c r="E47" i="6"/>
  <c r="I47" i="6"/>
  <c r="J47" i="6"/>
  <c r="K47" i="6"/>
  <c r="L47" i="6"/>
  <c r="N47" i="6"/>
  <c r="O47" i="6"/>
  <c r="S47" i="6"/>
  <c r="W47" i="6"/>
  <c r="A48" i="6"/>
  <c r="B48" i="6"/>
  <c r="E48" i="6"/>
  <c r="I48" i="6"/>
  <c r="J48" i="6"/>
  <c r="K48" i="6"/>
  <c r="L48" i="6"/>
  <c r="N48" i="6"/>
  <c r="O48" i="6"/>
  <c r="S48" i="6"/>
  <c r="W48" i="6"/>
  <c r="A49" i="6"/>
  <c r="B49" i="6"/>
  <c r="E49" i="6"/>
  <c r="I49" i="6"/>
  <c r="J49" i="6"/>
  <c r="K49" i="6"/>
  <c r="L49" i="6"/>
  <c r="N49" i="6"/>
  <c r="O49" i="6"/>
  <c r="S49" i="6"/>
  <c r="W49" i="6"/>
  <c r="A50" i="6"/>
  <c r="B50" i="6"/>
  <c r="E50" i="6"/>
  <c r="I50" i="6"/>
  <c r="J50" i="6"/>
  <c r="K50" i="6"/>
  <c r="L50" i="6"/>
  <c r="N50" i="6"/>
  <c r="O50" i="6"/>
  <c r="S50" i="6"/>
  <c r="W50" i="6"/>
  <c r="A51" i="6"/>
  <c r="B51" i="6"/>
  <c r="E51" i="6"/>
  <c r="I51" i="6"/>
  <c r="J51" i="6"/>
  <c r="K51" i="6"/>
  <c r="L51" i="6"/>
  <c r="N51" i="6"/>
  <c r="O51" i="6"/>
  <c r="S51" i="6"/>
  <c r="W51" i="6"/>
  <c r="A52" i="6"/>
  <c r="B52" i="6"/>
  <c r="E52" i="6"/>
  <c r="I52" i="6"/>
  <c r="J52" i="6"/>
  <c r="K52" i="6"/>
  <c r="L52" i="6"/>
  <c r="N52" i="6"/>
  <c r="O52" i="6"/>
  <c r="S52" i="6"/>
  <c r="W52" i="6"/>
  <c r="A53" i="6"/>
  <c r="B53" i="6"/>
  <c r="E53" i="6"/>
  <c r="I53" i="6"/>
  <c r="J53" i="6"/>
  <c r="K53" i="6"/>
  <c r="L53" i="6"/>
  <c r="N53" i="6"/>
  <c r="O53" i="6"/>
  <c r="S53" i="6"/>
  <c r="W53" i="6"/>
  <c r="A54" i="6"/>
  <c r="B54" i="6"/>
  <c r="E54" i="6"/>
  <c r="I54" i="6"/>
  <c r="J54" i="6"/>
  <c r="K54" i="6"/>
  <c r="L54" i="6"/>
  <c r="N54" i="6"/>
  <c r="O54" i="6"/>
  <c r="S54" i="6"/>
  <c r="W54" i="6"/>
  <c r="A55" i="6"/>
  <c r="B55" i="6"/>
  <c r="E55" i="6"/>
  <c r="I55" i="6"/>
  <c r="J55" i="6"/>
  <c r="K55" i="6"/>
  <c r="L55" i="6"/>
  <c r="N55" i="6"/>
  <c r="O55" i="6"/>
  <c r="S55" i="6"/>
  <c r="W55" i="6"/>
  <c r="A56" i="6"/>
  <c r="B56" i="6"/>
  <c r="E56" i="6"/>
  <c r="I56" i="6"/>
  <c r="J56" i="6"/>
  <c r="K56" i="6"/>
  <c r="L56" i="6"/>
  <c r="N56" i="6"/>
  <c r="O56" i="6"/>
  <c r="S56" i="6"/>
  <c r="W56" i="6"/>
  <c r="A57" i="6"/>
  <c r="B57" i="6"/>
  <c r="E57" i="6"/>
  <c r="I57" i="6"/>
  <c r="J57" i="6"/>
  <c r="K57" i="6"/>
  <c r="L57" i="6"/>
  <c r="N57" i="6"/>
  <c r="O57" i="6"/>
  <c r="S57" i="6"/>
  <c r="W57" i="6"/>
  <c r="A58" i="6"/>
  <c r="B58" i="6"/>
  <c r="E58" i="6"/>
  <c r="I58" i="6"/>
  <c r="J58" i="6"/>
  <c r="K58" i="6"/>
  <c r="L58" i="6"/>
  <c r="N58" i="6"/>
  <c r="O58" i="6"/>
  <c r="S58" i="6"/>
  <c r="W58" i="6"/>
  <c r="A59" i="6"/>
  <c r="B59" i="6"/>
  <c r="E59" i="6"/>
  <c r="I59" i="6"/>
  <c r="J59" i="6"/>
  <c r="K59" i="6"/>
  <c r="L59" i="6"/>
  <c r="N59" i="6"/>
  <c r="O59" i="6"/>
  <c r="S59" i="6"/>
  <c r="W59" i="6"/>
  <c r="A60" i="6"/>
  <c r="B60" i="6"/>
  <c r="E60" i="6"/>
  <c r="I60" i="6"/>
  <c r="J60" i="6"/>
  <c r="K60" i="6"/>
  <c r="L60" i="6"/>
  <c r="N60" i="6"/>
  <c r="O60" i="6"/>
  <c r="S60" i="6"/>
  <c r="W60" i="6"/>
  <c r="A61" i="6"/>
  <c r="B61" i="6"/>
  <c r="E61" i="6"/>
  <c r="I61" i="6"/>
  <c r="J61" i="6"/>
  <c r="K61" i="6"/>
  <c r="L61" i="6"/>
  <c r="N61" i="6"/>
  <c r="O61" i="6"/>
  <c r="S61" i="6"/>
  <c r="W61" i="6"/>
  <c r="A62" i="6"/>
  <c r="B62" i="6"/>
  <c r="E62" i="6"/>
  <c r="I62" i="6"/>
  <c r="J62" i="6"/>
  <c r="K62" i="6"/>
  <c r="L62" i="6"/>
  <c r="N62" i="6"/>
  <c r="O62" i="6"/>
  <c r="S62" i="6"/>
  <c r="W62" i="6"/>
  <c r="A63" i="6"/>
  <c r="B63" i="6"/>
  <c r="E63" i="6"/>
  <c r="I63" i="6"/>
  <c r="J63" i="6"/>
  <c r="K63" i="6"/>
  <c r="L63" i="6"/>
  <c r="N63" i="6"/>
  <c r="O63" i="6"/>
  <c r="S63" i="6"/>
  <c r="W63" i="6"/>
  <c r="A64" i="6"/>
  <c r="B64" i="6"/>
  <c r="E64" i="6"/>
  <c r="I64" i="6"/>
  <c r="J64" i="6"/>
  <c r="K64" i="6"/>
  <c r="L64" i="6"/>
  <c r="N64" i="6"/>
  <c r="O64" i="6"/>
  <c r="S64" i="6"/>
  <c r="W64" i="6"/>
  <c r="A65" i="6"/>
  <c r="B65" i="6"/>
  <c r="E65" i="6"/>
  <c r="I65" i="6"/>
  <c r="J65" i="6"/>
  <c r="K65" i="6"/>
  <c r="L65" i="6"/>
  <c r="N65" i="6"/>
  <c r="O65" i="6"/>
  <c r="S65" i="6"/>
  <c r="W65" i="6"/>
  <c r="A66" i="6"/>
  <c r="B66" i="6"/>
  <c r="E66" i="6"/>
  <c r="I66" i="6"/>
  <c r="J66" i="6"/>
  <c r="K66" i="6"/>
  <c r="L66" i="6"/>
  <c r="N66" i="6"/>
  <c r="O66" i="6"/>
  <c r="S66" i="6"/>
  <c r="W66" i="6"/>
  <c r="A67" i="6"/>
  <c r="B67" i="6"/>
  <c r="E67" i="6"/>
  <c r="I67" i="6"/>
  <c r="J67" i="6"/>
  <c r="K67" i="6"/>
  <c r="L67" i="6"/>
  <c r="N67" i="6"/>
  <c r="O67" i="6"/>
  <c r="S67" i="6"/>
  <c r="W67" i="6"/>
  <c r="A68" i="6"/>
  <c r="B68" i="6"/>
  <c r="E68" i="6"/>
  <c r="I68" i="6"/>
  <c r="J68" i="6"/>
  <c r="K68" i="6"/>
  <c r="L68" i="6"/>
  <c r="N68" i="6"/>
  <c r="O68" i="6"/>
  <c r="S68" i="6"/>
  <c r="W68" i="6"/>
  <c r="A69" i="6"/>
  <c r="B69" i="6"/>
  <c r="E69" i="6"/>
  <c r="I69" i="6"/>
  <c r="J69" i="6"/>
  <c r="K69" i="6"/>
  <c r="L69" i="6"/>
  <c r="N69" i="6"/>
  <c r="O69" i="6"/>
  <c r="S69" i="6"/>
  <c r="W69" i="6"/>
  <c r="A70" i="6"/>
  <c r="B70" i="6"/>
  <c r="E70" i="6"/>
  <c r="I70" i="6"/>
  <c r="J70" i="6"/>
  <c r="K70" i="6"/>
  <c r="L70" i="6"/>
  <c r="N70" i="6"/>
  <c r="O70" i="6"/>
  <c r="S70" i="6"/>
  <c r="W70" i="6"/>
  <c r="A71" i="6"/>
  <c r="B71" i="6"/>
  <c r="E71" i="6"/>
  <c r="I71" i="6"/>
  <c r="J71" i="6"/>
  <c r="K71" i="6"/>
  <c r="L71" i="6"/>
  <c r="N71" i="6"/>
  <c r="O71" i="6"/>
  <c r="S71" i="6"/>
  <c r="W71" i="6"/>
  <c r="A72" i="6"/>
  <c r="B72" i="6"/>
  <c r="E72" i="6"/>
  <c r="I72" i="6"/>
  <c r="J72" i="6"/>
  <c r="K72" i="6"/>
  <c r="L72" i="6"/>
  <c r="N72" i="6"/>
  <c r="O72" i="6"/>
  <c r="S72" i="6"/>
  <c r="W72" i="6"/>
  <c r="A73" i="6"/>
  <c r="B73" i="6"/>
  <c r="E73" i="6"/>
  <c r="I73" i="6"/>
  <c r="J73" i="6"/>
  <c r="K73" i="6"/>
  <c r="L73" i="6"/>
  <c r="N73" i="6"/>
  <c r="O73" i="6"/>
  <c r="S73" i="6"/>
  <c r="W73" i="6"/>
  <c r="A74" i="6"/>
  <c r="B74" i="6"/>
  <c r="E74" i="6"/>
  <c r="I74" i="6"/>
  <c r="J74" i="6"/>
  <c r="K74" i="6"/>
  <c r="L74" i="6"/>
  <c r="N74" i="6"/>
  <c r="O74" i="6"/>
  <c r="S74" i="6"/>
  <c r="W74" i="6"/>
  <c r="A75" i="6"/>
  <c r="B75" i="6"/>
  <c r="E75" i="6"/>
  <c r="I75" i="6"/>
  <c r="J75" i="6"/>
  <c r="K75" i="6"/>
  <c r="L75" i="6"/>
  <c r="N75" i="6"/>
  <c r="O75" i="6"/>
  <c r="S75" i="6"/>
  <c r="W75" i="6"/>
  <c r="A76" i="6"/>
  <c r="B76" i="6"/>
  <c r="E76" i="6"/>
  <c r="I76" i="6"/>
  <c r="J76" i="6"/>
  <c r="K76" i="6"/>
  <c r="L76" i="6"/>
  <c r="N76" i="6"/>
  <c r="O76" i="6"/>
  <c r="S76" i="6"/>
  <c r="W76" i="6"/>
  <c r="A77" i="6"/>
  <c r="B77" i="6"/>
  <c r="E77" i="6"/>
  <c r="I77" i="6"/>
  <c r="J77" i="6"/>
  <c r="K77" i="6"/>
  <c r="L77" i="6"/>
  <c r="N77" i="6"/>
  <c r="O77" i="6"/>
  <c r="S77" i="6"/>
  <c r="W77" i="6"/>
  <c r="A78" i="6"/>
  <c r="B78" i="6"/>
  <c r="E78" i="6"/>
  <c r="I78" i="6"/>
  <c r="J78" i="6"/>
  <c r="K78" i="6"/>
  <c r="L78" i="6"/>
  <c r="N78" i="6"/>
  <c r="O78" i="6"/>
  <c r="S78" i="6"/>
  <c r="W78" i="6"/>
  <c r="A79" i="6"/>
  <c r="B79" i="6"/>
  <c r="E79" i="6"/>
  <c r="I79" i="6"/>
  <c r="J79" i="6"/>
  <c r="K79" i="6"/>
  <c r="L79" i="6"/>
  <c r="N79" i="6"/>
  <c r="O79" i="6"/>
  <c r="S79" i="6"/>
  <c r="W79" i="6"/>
  <c r="A80" i="6"/>
  <c r="B80" i="6"/>
  <c r="E80" i="6"/>
  <c r="I80" i="6"/>
  <c r="J80" i="6"/>
  <c r="K80" i="6"/>
  <c r="L80" i="6"/>
  <c r="N80" i="6"/>
  <c r="O80" i="6"/>
  <c r="S80" i="6"/>
  <c r="W80" i="6"/>
  <c r="A81" i="6"/>
  <c r="B81" i="6"/>
  <c r="E81" i="6"/>
  <c r="I81" i="6"/>
  <c r="J81" i="6"/>
  <c r="K81" i="6"/>
  <c r="L81" i="6"/>
  <c r="N81" i="6"/>
  <c r="O81" i="6"/>
  <c r="S81" i="6"/>
  <c r="W81" i="6"/>
  <c r="A82" i="6"/>
  <c r="B82" i="6"/>
  <c r="E82" i="6"/>
  <c r="I82" i="6"/>
  <c r="J82" i="6"/>
  <c r="K82" i="6"/>
  <c r="L82" i="6"/>
  <c r="N82" i="6"/>
  <c r="O82" i="6"/>
  <c r="S82" i="6"/>
  <c r="W82" i="6"/>
  <c r="A83" i="6"/>
  <c r="B83" i="6"/>
  <c r="E83" i="6"/>
  <c r="I83" i="6"/>
  <c r="J83" i="6"/>
  <c r="K83" i="6"/>
  <c r="L83" i="6"/>
  <c r="N83" i="6"/>
  <c r="O83" i="6"/>
  <c r="S83" i="6"/>
  <c r="W83" i="6"/>
  <c r="A84" i="6"/>
  <c r="B84" i="6"/>
  <c r="E84" i="6"/>
  <c r="I84" i="6"/>
  <c r="J84" i="6"/>
  <c r="K84" i="6"/>
  <c r="L84" i="6"/>
  <c r="N84" i="6"/>
  <c r="O84" i="6"/>
  <c r="S84" i="6"/>
  <c r="W84" i="6"/>
  <c r="A85" i="6"/>
  <c r="B85" i="6"/>
  <c r="E85" i="6"/>
  <c r="I85" i="6"/>
  <c r="J85" i="6"/>
  <c r="K85" i="6"/>
  <c r="L85" i="6"/>
  <c r="N85" i="6"/>
  <c r="O85" i="6"/>
  <c r="S85" i="6"/>
  <c r="W85" i="6"/>
  <c r="A86" i="6"/>
  <c r="B86" i="6"/>
  <c r="E86" i="6"/>
  <c r="I86" i="6"/>
  <c r="J86" i="6"/>
  <c r="K86" i="6"/>
  <c r="L86" i="6"/>
  <c r="N86" i="6"/>
  <c r="O86" i="6"/>
  <c r="S86" i="6"/>
  <c r="W86" i="6"/>
  <c r="A87" i="6"/>
  <c r="B87" i="6"/>
  <c r="E87" i="6"/>
  <c r="I87" i="6"/>
  <c r="J87" i="6"/>
  <c r="K87" i="6"/>
  <c r="L87" i="6"/>
  <c r="N87" i="6"/>
  <c r="O87" i="6"/>
  <c r="S87" i="6"/>
  <c r="W87" i="6"/>
  <c r="A88" i="6"/>
  <c r="B88" i="6"/>
  <c r="E88" i="6"/>
  <c r="I88" i="6"/>
  <c r="J88" i="6"/>
  <c r="K88" i="6"/>
  <c r="L88" i="6"/>
  <c r="N88" i="6"/>
  <c r="O88" i="6"/>
  <c r="S88" i="6"/>
  <c r="W88" i="6"/>
  <c r="A89" i="6"/>
  <c r="B89" i="6"/>
  <c r="E89" i="6"/>
  <c r="I89" i="6"/>
  <c r="J89" i="6"/>
  <c r="K89" i="6"/>
  <c r="L89" i="6"/>
  <c r="N89" i="6"/>
  <c r="O89" i="6"/>
  <c r="S89" i="6"/>
  <c r="W89" i="6"/>
  <c r="A90" i="6"/>
  <c r="B90" i="6"/>
  <c r="E90" i="6"/>
  <c r="I90" i="6"/>
  <c r="J90" i="6"/>
  <c r="K90" i="6"/>
  <c r="L90" i="6"/>
  <c r="N90" i="6"/>
  <c r="O90" i="6"/>
  <c r="S90" i="6"/>
  <c r="W90" i="6"/>
  <c r="A91" i="6"/>
  <c r="B91" i="6"/>
  <c r="E91" i="6"/>
  <c r="I91" i="6"/>
  <c r="J91" i="6"/>
  <c r="K91" i="6"/>
  <c r="L91" i="6"/>
  <c r="N91" i="6"/>
  <c r="O91" i="6"/>
  <c r="S91" i="6"/>
  <c r="W91" i="6"/>
  <c r="A92" i="6"/>
  <c r="B92" i="6"/>
  <c r="E92" i="6"/>
  <c r="I92" i="6"/>
  <c r="J92" i="6"/>
  <c r="K92" i="6"/>
  <c r="L92" i="6"/>
  <c r="N92" i="6"/>
  <c r="O92" i="6"/>
  <c r="S92" i="6"/>
  <c r="W92" i="6"/>
  <c r="A93" i="6"/>
  <c r="B93" i="6"/>
  <c r="E93" i="6"/>
  <c r="I93" i="6"/>
  <c r="J93" i="6"/>
  <c r="K93" i="6"/>
  <c r="L93" i="6"/>
  <c r="N93" i="6"/>
  <c r="O93" i="6"/>
  <c r="S93" i="6"/>
  <c r="W93" i="6"/>
  <c r="A94" i="6"/>
  <c r="B94" i="6"/>
  <c r="E94" i="6"/>
  <c r="I94" i="6"/>
  <c r="J94" i="6"/>
  <c r="K94" i="6"/>
  <c r="L94" i="6"/>
  <c r="N94" i="6"/>
  <c r="O94" i="6"/>
  <c r="S94" i="6"/>
  <c r="W94" i="6"/>
  <c r="A95" i="6"/>
  <c r="B95" i="6"/>
  <c r="E95" i="6"/>
  <c r="I95" i="6"/>
  <c r="J95" i="6"/>
  <c r="K95" i="6"/>
  <c r="L95" i="6"/>
  <c r="N95" i="6"/>
  <c r="O95" i="6"/>
  <c r="S95" i="6"/>
  <c r="W95" i="6"/>
  <c r="A96" i="6"/>
  <c r="B96" i="6"/>
  <c r="E96" i="6"/>
  <c r="I96" i="6"/>
  <c r="J96" i="6"/>
  <c r="K96" i="6"/>
  <c r="L96" i="6"/>
  <c r="N96" i="6"/>
  <c r="O96" i="6"/>
  <c r="S96" i="6"/>
  <c r="W96" i="6"/>
  <c r="A97" i="6"/>
  <c r="B97" i="6"/>
  <c r="E97" i="6"/>
  <c r="I97" i="6"/>
  <c r="J97" i="6"/>
  <c r="K97" i="6"/>
  <c r="L97" i="6"/>
  <c r="N97" i="6"/>
  <c r="O97" i="6"/>
  <c r="S97" i="6"/>
  <c r="W97" i="6"/>
  <c r="A98" i="6"/>
  <c r="B98" i="6"/>
  <c r="E98" i="6"/>
  <c r="I98" i="6"/>
  <c r="J98" i="6"/>
  <c r="K98" i="6"/>
  <c r="L98" i="6"/>
  <c r="N98" i="6"/>
  <c r="O98" i="6"/>
  <c r="S98" i="6"/>
  <c r="W98" i="6"/>
  <c r="A99" i="6"/>
  <c r="B99" i="6"/>
  <c r="E99" i="6"/>
  <c r="I99" i="6"/>
  <c r="J99" i="6"/>
  <c r="K99" i="6"/>
  <c r="L99" i="6"/>
  <c r="N99" i="6"/>
  <c r="O99" i="6"/>
  <c r="S99" i="6"/>
  <c r="W99" i="6"/>
  <c r="A100" i="6"/>
  <c r="B100" i="6"/>
  <c r="E100" i="6"/>
  <c r="I100" i="6"/>
  <c r="J100" i="6"/>
  <c r="K100" i="6"/>
  <c r="L100" i="6"/>
  <c r="N100" i="6"/>
  <c r="O100" i="6"/>
  <c r="S100" i="6"/>
  <c r="W100" i="6"/>
  <c r="A101" i="6"/>
  <c r="B101" i="6"/>
  <c r="E101" i="6"/>
  <c r="I101" i="6"/>
  <c r="J101" i="6"/>
  <c r="K101" i="6"/>
  <c r="L101" i="6"/>
  <c r="N101" i="6"/>
  <c r="O101" i="6"/>
  <c r="S101" i="6"/>
  <c r="W101" i="6"/>
  <c r="A102" i="6"/>
  <c r="B102" i="6"/>
  <c r="E102" i="6"/>
  <c r="I102" i="6"/>
  <c r="J102" i="6"/>
  <c r="K102" i="6"/>
  <c r="L102" i="6"/>
  <c r="N102" i="6"/>
  <c r="O102" i="6"/>
  <c r="S102" i="6"/>
  <c r="W102" i="6"/>
  <c r="A103" i="6"/>
  <c r="B103" i="6"/>
  <c r="E103" i="6"/>
  <c r="I103" i="6"/>
  <c r="J103" i="6"/>
  <c r="K103" i="6"/>
  <c r="L103" i="6"/>
  <c r="N103" i="6"/>
  <c r="O103" i="6"/>
  <c r="S103" i="6"/>
  <c r="W103" i="6"/>
  <c r="A104" i="6"/>
  <c r="B104" i="6"/>
  <c r="E104" i="6"/>
  <c r="I104" i="6"/>
  <c r="J104" i="6"/>
  <c r="K104" i="6"/>
  <c r="L104" i="6"/>
  <c r="N104" i="6"/>
  <c r="O104" i="6"/>
  <c r="S104" i="6"/>
  <c r="W104" i="6"/>
  <c r="A105" i="6"/>
  <c r="B105" i="6"/>
  <c r="E105" i="6"/>
  <c r="I105" i="6"/>
  <c r="J105" i="6"/>
  <c r="K105" i="6"/>
  <c r="L105" i="6"/>
  <c r="N105" i="6"/>
  <c r="O105" i="6"/>
  <c r="S105" i="6"/>
  <c r="W105" i="6"/>
  <c r="A106" i="6"/>
  <c r="B106" i="6"/>
  <c r="E106" i="6"/>
  <c r="I106" i="6"/>
  <c r="J106" i="6"/>
  <c r="K106" i="6"/>
  <c r="L106" i="6"/>
  <c r="N106" i="6"/>
  <c r="O106" i="6"/>
  <c r="S106" i="6"/>
  <c r="W106" i="6"/>
  <c r="A107" i="6"/>
  <c r="B107" i="6"/>
  <c r="E107" i="6"/>
  <c r="I107" i="6"/>
  <c r="J107" i="6"/>
  <c r="K107" i="6"/>
  <c r="L107" i="6"/>
  <c r="N107" i="6"/>
  <c r="O107" i="6"/>
  <c r="S107" i="6"/>
  <c r="W107" i="6"/>
  <c r="A108" i="6"/>
  <c r="B108" i="6"/>
  <c r="E108" i="6"/>
  <c r="I108" i="6"/>
  <c r="J108" i="6"/>
  <c r="K108" i="6"/>
  <c r="L108" i="6"/>
  <c r="N108" i="6"/>
  <c r="O108" i="6"/>
  <c r="S108" i="6"/>
  <c r="W108" i="6"/>
  <c r="A109" i="6"/>
  <c r="B109" i="6"/>
  <c r="E109" i="6"/>
  <c r="I109" i="6"/>
  <c r="J109" i="6"/>
  <c r="K109" i="6"/>
  <c r="L109" i="6"/>
  <c r="N109" i="6"/>
  <c r="O109" i="6"/>
  <c r="S109" i="6"/>
  <c r="W109" i="6"/>
  <c r="A110" i="6"/>
  <c r="B110" i="6"/>
  <c r="E110" i="6"/>
  <c r="I110" i="6"/>
  <c r="J110" i="6"/>
  <c r="K110" i="6"/>
  <c r="L110" i="6"/>
  <c r="N110" i="6"/>
  <c r="O110" i="6"/>
  <c r="S110" i="6"/>
  <c r="W110" i="6"/>
  <c r="A111" i="6"/>
  <c r="B111" i="6"/>
  <c r="E111" i="6"/>
  <c r="I111" i="6"/>
  <c r="J111" i="6"/>
  <c r="K111" i="6"/>
  <c r="L111" i="6"/>
  <c r="N111" i="6"/>
  <c r="O111" i="6"/>
  <c r="S111" i="6"/>
  <c r="W111" i="6"/>
  <c r="A112" i="6"/>
  <c r="B112" i="6"/>
  <c r="E112" i="6"/>
  <c r="I112" i="6"/>
  <c r="J112" i="6"/>
  <c r="K112" i="6"/>
  <c r="L112" i="6"/>
  <c r="N112" i="6"/>
  <c r="O112" i="6"/>
  <c r="S112" i="6"/>
  <c r="W112" i="6"/>
  <c r="A113" i="6"/>
  <c r="B113" i="6"/>
  <c r="E113" i="6"/>
  <c r="I113" i="6"/>
  <c r="J113" i="6"/>
  <c r="K113" i="6"/>
  <c r="L113" i="6"/>
  <c r="N113" i="6"/>
  <c r="O113" i="6"/>
  <c r="S113" i="6"/>
  <c r="W113" i="6"/>
  <c r="A114" i="6"/>
  <c r="B114" i="6"/>
  <c r="E114" i="6"/>
  <c r="I114" i="6"/>
  <c r="J114" i="6"/>
  <c r="K114" i="6"/>
  <c r="L114" i="6"/>
  <c r="N114" i="6"/>
  <c r="O114" i="6"/>
  <c r="S114" i="6"/>
  <c r="W114" i="6"/>
  <c r="A115" i="6"/>
  <c r="B115" i="6"/>
  <c r="E115" i="6"/>
  <c r="I115" i="6"/>
  <c r="J115" i="6"/>
  <c r="K115" i="6"/>
  <c r="L115" i="6"/>
  <c r="N115" i="6"/>
  <c r="O115" i="6"/>
  <c r="S115" i="6"/>
  <c r="W115" i="6"/>
  <c r="A116" i="6"/>
  <c r="B116" i="6"/>
  <c r="E116" i="6"/>
  <c r="I116" i="6"/>
  <c r="J116" i="6"/>
  <c r="K116" i="6"/>
  <c r="L116" i="6"/>
  <c r="N116" i="6"/>
  <c r="O116" i="6"/>
  <c r="S116" i="6"/>
  <c r="W116" i="6"/>
  <c r="A117" i="6"/>
  <c r="B117" i="6"/>
  <c r="E117" i="6"/>
  <c r="I117" i="6"/>
  <c r="J117" i="6"/>
  <c r="K117" i="6"/>
  <c r="L117" i="6"/>
  <c r="N117" i="6"/>
  <c r="O117" i="6"/>
  <c r="S117" i="6"/>
  <c r="W117" i="6"/>
  <c r="A118" i="6"/>
  <c r="B118" i="6"/>
  <c r="E118" i="6"/>
  <c r="I118" i="6"/>
  <c r="J118" i="6"/>
  <c r="K118" i="6"/>
  <c r="L118" i="6"/>
  <c r="N118" i="6"/>
  <c r="O118" i="6"/>
  <c r="S118" i="6"/>
  <c r="W118" i="6"/>
  <c r="A119" i="6"/>
  <c r="B119" i="6"/>
  <c r="E119" i="6"/>
  <c r="I119" i="6"/>
  <c r="J119" i="6"/>
  <c r="K119" i="6"/>
  <c r="L119" i="6"/>
  <c r="N119" i="6"/>
  <c r="O119" i="6"/>
  <c r="S119" i="6"/>
  <c r="W119" i="6"/>
  <c r="A120" i="6"/>
  <c r="B120" i="6"/>
  <c r="E120" i="6"/>
  <c r="I120" i="6"/>
  <c r="J120" i="6"/>
  <c r="K120" i="6"/>
  <c r="L120" i="6"/>
  <c r="N120" i="6"/>
  <c r="O120" i="6"/>
  <c r="S120" i="6"/>
  <c r="W120" i="6"/>
  <c r="A121" i="6"/>
  <c r="B121" i="6"/>
  <c r="E121" i="6"/>
  <c r="I121" i="6"/>
  <c r="J121" i="6"/>
  <c r="K121" i="6"/>
  <c r="L121" i="6"/>
  <c r="N121" i="6"/>
  <c r="O121" i="6"/>
  <c r="S121" i="6"/>
  <c r="W121" i="6"/>
  <c r="A122" i="6"/>
  <c r="B122" i="6"/>
  <c r="E122" i="6"/>
  <c r="I122" i="6"/>
  <c r="J122" i="6"/>
  <c r="K122" i="6"/>
  <c r="L122" i="6"/>
  <c r="N122" i="6"/>
  <c r="O122" i="6"/>
  <c r="S122" i="6"/>
  <c r="W122" i="6"/>
  <c r="A123" i="6"/>
  <c r="B123" i="6"/>
  <c r="E123" i="6"/>
  <c r="I123" i="6"/>
  <c r="J123" i="6"/>
  <c r="K123" i="6"/>
  <c r="L123" i="6"/>
  <c r="N123" i="6"/>
  <c r="O123" i="6"/>
  <c r="S123" i="6"/>
  <c r="W123" i="6"/>
  <c r="A124" i="6"/>
  <c r="B124" i="6"/>
  <c r="E124" i="6"/>
  <c r="I124" i="6"/>
  <c r="J124" i="6"/>
  <c r="K124" i="6"/>
  <c r="L124" i="6"/>
  <c r="N124" i="6"/>
  <c r="O124" i="6"/>
  <c r="S124" i="6"/>
  <c r="W124" i="6"/>
  <c r="A125" i="6"/>
  <c r="B125" i="6"/>
  <c r="E125" i="6"/>
  <c r="I125" i="6"/>
  <c r="J125" i="6"/>
  <c r="K125" i="6"/>
  <c r="L125" i="6"/>
  <c r="N125" i="6"/>
  <c r="O125" i="6"/>
  <c r="S125" i="6"/>
  <c r="W125" i="6"/>
  <c r="A126" i="6"/>
  <c r="B126" i="6"/>
  <c r="E126" i="6"/>
  <c r="I126" i="6"/>
  <c r="J126" i="6"/>
  <c r="K126" i="6"/>
  <c r="L126" i="6"/>
  <c r="N126" i="6"/>
  <c r="O126" i="6"/>
  <c r="S126" i="6"/>
  <c r="W126" i="6"/>
  <c r="A127" i="6"/>
  <c r="B127" i="6"/>
  <c r="E127" i="6"/>
  <c r="I127" i="6"/>
  <c r="J127" i="6"/>
  <c r="K127" i="6"/>
  <c r="L127" i="6"/>
  <c r="N127" i="6"/>
  <c r="O127" i="6"/>
  <c r="S127" i="6"/>
  <c r="W127" i="6"/>
  <c r="A128" i="6"/>
  <c r="B128" i="6"/>
  <c r="E128" i="6"/>
  <c r="I128" i="6"/>
  <c r="J128" i="6"/>
  <c r="K128" i="6"/>
  <c r="L128" i="6"/>
  <c r="N128" i="6"/>
  <c r="O128" i="6"/>
  <c r="S128" i="6"/>
  <c r="W128" i="6"/>
  <c r="A129" i="6"/>
  <c r="B129" i="6"/>
  <c r="E129" i="6"/>
  <c r="I129" i="6"/>
  <c r="J129" i="6"/>
  <c r="K129" i="6"/>
  <c r="L129" i="6"/>
  <c r="N129" i="6"/>
  <c r="O129" i="6"/>
  <c r="S129" i="6"/>
  <c r="W129" i="6"/>
  <c r="A130" i="6"/>
  <c r="B130" i="6"/>
  <c r="E130" i="6"/>
  <c r="I130" i="6"/>
  <c r="J130" i="6"/>
  <c r="K130" i="6"/>
  <c r="L130" i="6"/>
  <c r="N130" i="6"/>
  <c r="O130" i="6"/>
  <c r="S130" i="6"/>
  <c r="W130" i="6"/>
  <c r="A131" i="6"/>
  <c r="B131" i="6"/>
  <c r="E131" i="6"/>
  <c r="I131" i="6"/>
  <c r="J131" i="6"/>
  <c r="K131" i="6"/>
  <c r="L131" i="6"/>
  <c r="N131" i="6"/>
  <c r="O131" i="6"/>
  <c r="S131" i="6"/>
  <c r="W131" i="6"/>
  <c r="A132" i="6"/>
  <c r="B132" i="6"/>
  <c r="E132" i="6"/>
  <c r="I132" i="6"/>
  <c r="J132" i="6"/>
  <c r="K132" i="6"/>
  <c r="L132" i="6"/>
  <c r="N132" i="6"/>
  <c r="O132" i="6"/>
  <c r="S132" i="6"/>
  <c r="W132" i="6"/>
  <c r="A133" i="6"/>
  <c r="B133" i="6"/>
  <c r="E133" i="6"/>
  <c r="I133" i="6"/>
  <c r="J133" i="6"/>
  <c r="K133" i="6"/>
  <c r="S133" i="6"/>
  <c r="W133" i="6"/>
  <c r="A134" i="6"/>
  <c r="B134" i="6"/>
  <c r="E134" i="6"/>
  <c r="I134" i="6"/>
  <c r="J134" i="6"/>
  <c r="K134" i="6"/>
  <c r="L134" i="6"/>
  <c r="N134" i="6"/>
  <c r="O134" i="6"/>
  <c r="S134" i="6"/>
  <c r="W134" i="6"/>
  <c r="A135" i="6"/>
  <c r="B135" i="6"/>
  <c r="E135" i="6"/>
  <c r="I135" i="6"/>
  <c r="J135" i="6"/>
  <c r="K135" i="6"/>
  <c r="L135" i="6"/>
  <c r="N135" i="6"/>
  <c r="O135" i="6"/>
  <c r="S135" i="6"/>
  <c r="W135" i="6"/>
  <c r="A136" i="6"/>
  <c r="B136" i="6"/>
  <c r="E136" i="6"/>
  <c r="I136" i="6"/>
  <c r="J136" i="6"/>
  <c r="K136" i="6"/>
  <c r="L136" i="6"/>
  <c r="N136" i="6"/>
  <c r="O136" i="6"/>
  <c r="S136" i="6"/>
  <c r="W136" i="6"/>
  <c r="A137" i="6"/>
  <c r="B137" i="6"/>
  <c r="E137" i="6"/>
  <c r="I137" i="6"/>
  <c r="J137" i="6"/>
  <c r="K137" i="6"/>
  <c r="S137" i="6"/>
  <c r="W137" i="6"/>
  <c r="A138" i="6"/>
  <c r="B138" i="6"/>
  <c r="E138" i="6"/>
  <c r="I138" i="6"/>
  <c r="J138" i="6"/>
  <c r="K138" i="6"/>
  <c r="L138" i="6"/>
  <c r="N138" i="6"/>
  <c r="O138" i="6"/>
  <c r="S138" i="6"/>
  <c r="W138" i="6"/>
  <c r="A139" i="6"/>
  <c r="B139" i="6"/>
  <c r="E139" i="6"/>
  <c r="I139" i="6"/>
  <c r="J139" i="6"/>
  <c r="K139" i="6"/>
  <c r="L139" i="6"/>
  <c r="N139" i="6"/>
  <c r="O139" i="6"/>
  <c r="S139" i="6"/>
  <c r="W139" i="6"/>
  <c r="A140" i="6"/>
  <c r="B140" i="6"/>
  <c r="E140" i="6"/>
  <c r="I140" i="6"/>
  <c r="J140" i="6"/>
  <c r="K140" i="6"/>
  <c r="L140" i="6"/>
  <c r="N140" i="6"/>
  <c r="O140" i="6"/>
  <c r="S140" i="6"/>
  <c r="W140" i="6"/>
  <c r="A141" i="6"/>
  <c r="B141" i="6"/>
  <c r="E141" i="6"/>
  <c r="I141" i="6"/>
  <c r="J141" i="6"/>
  <c r="K141" i="6"/>
  <c r="L141" i="6"/>
  <c r="N141" i="6"/>
  <c r="O141" i="6"/>
  <c r="S141" i="6"/>
  <c r="W141" i="6"/>
  <c r="A142" i="6"/>
  <c r="B142" i="6"/>
  <c r="E142" i="6"/>
  <c r="I142" i="6"/>
  <c r="J142" i="6"/>
  <c r="K142" i="6"/>
  <c r="L142" i="6"/>
  <c r="N142" i="6"/>
  <c r="O142" i="6"/>
  <c r="S142" i="6"/>
  <c r="W142" i="6"/>
  <c r="A143" i="6"/>
  <c r="B143" i="6"/>
  <c r="E143" i="6"/>
  <c r="I143" i="6"/>
  <c r="J143" i="6"/>
  <c r="K143" i="6"/>
  <c r="L143" i="6"/>
  <c r="N143" i="6"/>
  <c r="O143" i="6"/>
  <c r="S143" i="6"/>
  <c r="W143" i="6"/>
  <c r="A144" i="6"/>
  <c r="B144" i="6"/>
  <c r="E144" i="6"/>
  <c r="I144" i="6"/>
  <c r="J144" i="6"/>
  <c r="K144" i="6"/>
  <c r="L144" i="6"/>
  <c r="N144" i="6"/>
  <c r="O144" i="6"/>
  <c r="S144" i="6"/>
  <c r="W144" i="6"/>
  <c r="A145" i="6"/>
  <c r="B145" i="6"/>
  <c r="E145" i="6"/>
  <c r="I145" i="6"/>
  <c r="J145" i="6"/>
  <c r="K145" i="6"/>
  <c r="S145" i="6"/>
  <c r="W145" i="6"/>
  <c r="A146" i="6"/>
  <c r="B146" i="6"/>
  <c r="E146" i="6"/>
  <c r="I146" i="6"/>
  <c r="J146" i="6"/>
  <c r="K146" i="6"/>
  <c r="L146" i="6"/>
  <c r="N146" i="6"/>
  <c r="O146" i="6"/>
  <c r="S146" i="6"/>
  <c r="W146" i="6"/>
  <c r="A147" i="6"/>
  <c r="B147" i="6"/>
  <c r="E147" i="6"/>
  <c r="I147" i="6"/>
  <c r="J147" i="6"/>
  <c r="K147" i="6"/>
  <c r="L147" i="6"/>
  <c r="N147" i="6"/>
  <c r="O147" i="6"/>
  <c r="S147" i="6"/>
  <c r="W147" i="6"/>
  <c r="A148" i="6"/>
  <c r="B148" i="6"/>
  <c r="E148" i="6"/>
  <c r="I148" i="6"/>
  <c r="J148" i="6"/>
  <c r="K148" i="6"/>
  <c r="S148" i="6"/>
  <c r="W148" i="6"/>
  <c r="A149" i="6"/>
  <c r="B149" i="6"/>
  <c r="E149" i="6"/>
  <c r="I149" i="6"/>
  <c r="J149" i="6"/>
  <c r="K149" i="6"/>
  <c r="L149" i="6"/>
  <c r="N149" i="6"/>
  <c r="O149" i="6"/>
  <c r="S149" i="6"/>
  <c r="W149" i="6"/>
  <c r="A150" i="6"/>
  <c r="B150" i="6"/>
  <c r="E150" i="6"/>
  <c r="I150" i="6"/>
  <c r="J150" i="6"/>
  <c r="K150" i="6"/>
  <c r="L150" i="6"/>
  <c r="N150" i="6"/>
  <c r="O150" i="6"/>
  <c r="S150" i="6"/>
  <c r="W150" i="6"/>
  <c r="A151" i="6"/>
  <c r="B151" i="6"/>
  <c r="E151" i="6"/>
  <c r="I151" i="6"/>
  <c r="J151" i="6"/>
  <c r="K151" i="6"/>
  <c r="L151" i="6"/>
  <c r="N151" i="6"/>
  <c r="O151" i="6"/>
  <c r="S151" i="6"/>
  <c r="W151" i="6"/>
  <c r="A152" i="6"/>
  <c r="B152" i="6"/>
  <c r="E152" i="6"/>
  <c r="I152" i="6"/>
  <c r="J152" i="6"/>
  <c r="K152" i="6"/>
  <c r="L152" i="6"/>
  <c r="N152" i="6"/>
  <c r="O152" i="6"/>
  <c r="S152" i="6"/>
  <c r="W152" i="6"/>
  <c r="A153" i="6"/>
  <c r="B153" i="6"/>
  <c r="E153" i="6"/>
  <c r="I153" i="6"/>
  <c r="J153" i="6"/>
  <c r="K153" i="6"/>
  <c r="L153" i="6"/>
  <c r="N153" i="6"/>
  <c r="O153" i="6"/>
  <c r="S153" i="6"/>
  <c r="W153" i="6"/>
  <c r="A154" i="6"/>
  <c r="B154" i="6"/>
  <c r="E154" i="6"/>
  <c r="I154" i="6"/>
  <c r="J154" i="6"/>
  <c r="K154" i="6"/>
  <c r="L154" i="6"/>
  <c r="N154" i="6"/>
  <c r="O154" i="6"/>
  <c r="S154" i="6"/>
  <c r="W154" i="6"/>
  <c r="A155" i="6"/>
  <c r="B155" i="6"/>
  <c r="E155" i="6"/>
  <c r="I155" i="6"/>
  <c r="J155" i="6"/>
  <c r="K155" i="6"/>
  <c r="N155" i="6"/>
  <c r="S155" i="6"/>
  <c r="W155" i="6"/>
  <c r="A156" i="6"/>
  <c r="B156" i="6"/>
  <c r="E156" i="6"/>
  <c r="I156" i="6"/>
  <c r="J156" i="6"/>
  <c r="K156" i="6"/>
  <c r="L156" i="6"/>
  <c r="N156" i="6"/>
  <c r="O156" i="6"/>
  <c r="S156" i="6"/>
  <c r="W156" i="6"/>
  <c r="A157" i="6"/>
  <c r="B157" i="6"/>
  <c r="E157" i="6"/>
  <c r="I157" i="6"/>
  <c r="J157" i="6"/>
  <c r="K157" i="6"/>
  <c r="S157" i="6"/>
  <c r="W157" i="6"/>
  <c r="A158" i="6"/>
  <c r="B158" i="6"/>
  <c r="E158" i="6"/>
  <c r="I158" i="6"/>
  <c r="J158" i="6"/>
  <c r="K158" i="6"/>
  <c r="L158" i="6"/>
  <c r="N158" i="6"/>
  <c r="O158" i="6"/>
  <c r="S158" i="6"/>
  <c r="W158" i="6"/>
  <c r="A159" i="6"/>
  <c r="B159" i="6"/>
  <c r="E159" i="6"/>
  <c r="I159" i="6"/>
  <c r="J159" i="6"/>
  <c r="K159" i="6"/>
  <c r="L159" i="6"/>
  <c r="N159" i="6"/>
  <c r="O159" i="6"/>
  <c r="S159" i="6"/>
  <c r="W159" i="6"/>
  <c r="A160" i="6"/>
  <c r="B160" i="6"/>
  <c r="E160" i="6"/>
  <c r="I160" i="6"/>
  <c r="J160" i="6"/>
  <c r="K160" i="6"/>
  <c r="S160" i="6"/>
  <c r="W160" i="6"/>
  <c r="A161" i="6"/>
  <c r="B161" i="6"/>
  <c r="E161" i="6"/>
  <c r="I161" i="6"/>
  <c r="J161" i="6"/>
  <c r="K161" i="6"/>
  <c r="L161" i="6"/>
  <c r="N161" i="6"/>
  <c r="O161" i="6"/>
  <c r="S161" i="6"/>
  <c r="W161" i="6"/>
  <c r="A162" i="6"/>
  <c r="B162" i="6"/>
  <c r="E162" i="6"/>
  <c r="I162" i="6"/>
  <c r="J162" i="6"/>
  <c r="K162" i="6"/>
  <c r="S162" i="6"/>
  <c r="W162" i="6"/>
  <c r="A163" i="6"/>
  <c r="B163" i="6"/>
  <c r="E163" i="6"/>
  <c r="I163" i="6"/>
  <c r="J163" i="6"/>
  <c r="K163" i="6"/>
  <c r="S163" i="6"/>
  <c r="W163" i="6"/>
  <c r="A164" i="6"/>
  <c r="B164" i="6"/>
  <c r="E164" i="6"/>
  <c r="I164" i="6"/>
  <c r="J164" i="6"/>
  <c r="K164" i="6"/>
  <c r="L164" i="6"/>
  <c r="N164" i="6"/>
  <c r="O164" i="6"/>
  <c r="S164" i="6"/>
  <c r="W164" i="6"/>
  <c r="A165" i="6"/>
  <c r="B165" i="6"/>
  <c r="E165" i="6"/>
  <c r="I165" i="6"/>
  <c r="J165" i="6"/>
  <c r="K165" i="6"/>
  <c r="L165" i="6"/>
  <c r="N165" i="6"/>
  <c r="O165" i="6"/>
  <c r="S165" i="6"/>
  <c r="W165" i="6"/>
  <c r="A166" i="6"/>
  <c r="B166" i="6"/>
  <c r="E166" i="6"/>
  <c r="I166" i="6"/>
  <c r="J166" i="6"/>
  <c r="K166" i="6"/>
  <c r="L166" i="6"/>
  <c r="N166" i="6"/>
  <c r="O166" i="6"/>
  <c r="S166" i="6"/>
  <c r="W166" i="6"/>
  <c r="A167" i="6"/>
  <c r="B167" i="6"/>
  <c r="E167" i="6"/>
  <c r="I167" i="6"/>
  <c r="J167" i="6"/>
  <c r="K167" i="6"/>
  <c r="L167" i="6"/>
  <c r="N167" i="6"/>
  <c r="O167" i="6"/>
  <c r="S167" i="6"/>
  <c r="W167" i="6"/>
  <c r="A168" i="6"/>
  <c r="B168" i="6"/>
  <c r="E168" i="6"/>
  <c r="I168" i="6"/>
  <c r="J168" i="6"/>
  <c r="K168" i="6"/>
  <c r="L168" i="6"/>
  <c r="N168" i="6"/>
  <c r="O168" i="6"/>
  <c r="S168" i="6"/>
  <c r="W168" i="6"/>
  <c r="A169" i="6"/>
  <c r="B169" i="6"/>
  <c r="E169" i="6"/>
  <c r="I169" i="6"/>
  <c r="J169" i="6"/>
  <c r="K169" i="6"/>
  <c r="L169" i="6"/>
  <c r="N169" i="6"/>
  <c r="O169" i="6"/>
  <c r="S169" i="6"/>
  <c r="W169" i="6"/>
  <c r="A170" i="6"/>
  <c r="B170" i="6"/>
  <c r="E170" i="6"/>
  <c r="I170" i="6"/>
  <c r="J170" i="6"/>
  <c r="K170" i="6"/>
  <c r="L170" i="6"/>
  <c r="N170" i="6"/>
  <c r="O170" i="6"/>
  <c r="S170" i="6"/>
  <c r="W170" i="6"/>
  <c r="A171" i="6"/>
  <c r="B171" i="6"/>
  <c r="E171" i="6"/>
  <c r="I171" i="6"/>
  <c r="J171" i="6"/>
  <c r="K171" i="6"/>
  <c r="S171" i="6"/>
  <c r="W171" i="6"/>
  <c r="A172" i="6"/>
  <c r="B172" i="6"/>
  <c r="E172" i="6"/>
  <c r="I172" i="6"/>
  <c r="J172" i="6"/>
  <c r="K172" i="6"/>
  <c r="L172" i="6"/>
  <c r="N172" i="6"/>
  <c r="O172" i="6"/>
  <c r="S172" i="6"/>
  <c r="W172" i="6"/>
  <c r="A173" i="6"/>
  <c r="B173" i="6"/>
  <c r="E173" i="6"/>
  <c r="I173" i="6"/>
  <c r="J173" i="6"/>
  <c r="K173" i="6"/>
  <c r="L173" i="6"/>
  <c r="N173" i="6"/>
  <c r="O173" i="6"/>
  <c r="S173" i="6"/>
  <c r="W173" i="6"/>
  <c r="A174" i="6"/>
  <c r="B174" i="6"/>
  <c r="E174" i="6"/>
  <c r="I174" i="6"/>
  <c r="J174" i="6"/>
  <c r="K174" i="6"/>
  <c r="S174" i="6"/>
  <c r="W174" i="6"/>
  <c r="A175" i="6"/>
  <c r="B175" i="6"/>
  <c r="E175" i="6"/>
  <c r="I175" i="6"/>
  <c r="J175" i="6"/>
  <c r="K175" i="6"/>
  <c r="L175" i="6"/>
  <c r="N175" i="6"/>
  <c r="O175" i="6"/>
  <c r="S175" i="6"/>
  <c r="W175" i="6"/>
  <c r="A176" i="6"/>
  <c r="B176" i="6"/>
  <c r="E176" i="6"/>
  <c r="I176" i="6"/>
  <c r="J176" i="6"/>
  <c r="K176" i="6"/>
  <c r="L176" i="6"/>
  <c r="N176" i="6"/>
  <c r="O176" i="6"/>
  <c r="S176" i="6"/>
  <c r="W176" i="6"/>
  <c r="A177" i="6"/>
  <c r="B177" i="6"/>
  <c r="E177" i="6"/>
  <c r="I177" i="6"/>
  <c r="J177" i="6"/>
  <c r="K177" i="6"/>
  <c r="L177" i="6"/>
  <c r="N177" i="6"/>
  <c r="O177" i="6"/>
  <c r="S177" i="6"/>
  <c r="W177" i="6"/>
  <c r="A178" i="6"/>
  <c r="B178" i="6"/>
  <c r="E178" i="6"/>
  <c r="I178" i="6"/>
  <c r="J178" i="6"/>
  <c r="K178" i="6"/>
  <c r="L178" i="6"/>
  <c r="N178" i="6"/>
  <c r="O178" i="6"/>
  <c r="S178" i="6"/>
  <c r="W178" i="6"/>
  <c r="A179" i="6"/>
  <c r="B179" i="6"/>
  <c r="E179" i="6"/>
  <c r="I179" i="6"/>
  <c r="J179" i="6"/>
  <c r="K179" i="6"/>
  <c r="L179" i="6"/>
  <c r="N179" i="6"/>
  <c r="O179" i="6"/>
  <c r="S179" i="6"/>
  <c r="W179" i="6"/>
  <c r="A180" i="6"/>
  <c r="B180" i="6"/>
  <c r="E180" i="6"/>
  <c r="I180" i="6"/>
  <c r="J180" i="6"/>
  <c r="K180" i="6"/>
  <c r="L180" i="6"/>
  <c r="N180" i="6"/>
  <c r="O180" i="6"/>
  <c r="S180" i="6"/>
  <c r="W180" i="6"/>
  <c r="A181" i="6"/>
  <c r="B181" i="6"/>
  <c r="E181" i="6"/>
  <c r="I181" i="6"/>
  <c r="J181" i="6"/>
  <c r="K181" i="6"/>
  <c r="L181" i="6"/>
  <c r="N181" i="6"/>
  <c r="O181" i="6"/>
  <c r="S181" i="6"/>
  <c r="W181" i="6"/>
  <c r="A182" i="6"/>
  <c r="B182" i="6"/>
  <c r="E182" i="6"/>
  <c r="I182" i="6"/>
  <c r="J182" i="6"/>
  <c r="K182" i="6"/>
  <c r="L182" i="6"/>
  <c r="N182" i="6"/>
  <c r="O182" i="6"/>
  <c r="S182" i="6"/>
  <c r="W182" i="6"/>
  <c r="A183" i="6"/>
  <c r="B183" i="6"/>
  <c r="E183" i="6"/>
  <c r="I183" i="6"/>
  <c r="J183" i="6"/>
  <c r="K183" i="6"/>
  <c r="L183" i="6"/>
  <c r="N183" i="6"/>
  <c r="O183" i="6"/>
  <c r="S183" i="6"/>
  <c r="W183" i="6"/>
  <c r="A184" i="6"/>
  <c r="B184" i="6"/>
  <c r="E184" i="6"/>
  <c r="I184" i="6"/>
  <c r="J184" i="6"/>
  <c r="K184" i="6"/>
  <c r="L184" i="6"/>
  <c r="N184" i="6"/>
  <c r="O184" i="6"/>
  <c r="S184" i="6"/>
  <c r="W184" i="6"/>
  <c r="A185" i="6"/>
  <c r="B185" i="6"/>
  <c r="E185" i="6"/>
  <c r="I185" i="6"/>
  <c r="J185" i="6"/>
  <c r="K185" i="6"/>
  <c r="L185" i="6"/>
  <c r="N185" i="6"/>
  <c r="O185" i="6"/>
  <c r="S185" i="6"/>
  <c r="W185" i="6"/>
  <c r="A186" i="6"/>
  <c r="B186" i="6"/>
  <c r="E186" i="6"/>
  <c r="I186" i="6"/>
  <c r="J186" i="6"/>
  <c r="K186" i="6"/>
  <c r="L186" i="6"/>
  <c r="N186" i="6"/>
  <c r="O186" i="6"/>
  <c r="S186" i="6"/>
  <c r="W186" i="6"/>
  <c r="A187" i="6"/>
  <c r="B187" i="6"/>
  <c r="E187" i="6"/>
  <c r="I187" i="6"/>
  <c r="J187" i="6"/>
  <c r="K187" i="6"/>
  <c r="L187" i="6"/>
  <c r="N187" i="6"/>
  <c r="O187" i="6"/>
  <c r="S187" i="6"/>
  <c r="W187" i="6"/>
  <c r="A188" i="6"/>
  <c r="B188" i="6"/>
  <c r="E188" i="6"/>
  <c r="I188" i="6"/>
  <c r="J188" i="6"/>
  <c r="K188" i="6"/>
  <c r="L188" i="6"/>
  <c r="N188" i="6"/>
  <c r="O188" i="6"/>
  <c r="S188" i="6"/>
  <c r="W188" i="6"/>
  <c r="A189" i="6"/>
  <c r="B189" i="6"/>
  <c r="E189" i="6"/>
  <c r="I189" i="6"/>
  <c r="J189" i="6"/>
  <c r="K189" i="6"/>
  <c r="L189" i="6"/>
  <c r="N189" i="6"/>
  <c r="O189" i="6"/>
  <c r="S189" i="6"/>
  <c r="W189" i="6"/>
  <c r="A190" i="6"/>
  <c r="B190" i="6"/>
  <c r="E190" i="6"/>
  <c r="I190" i="6"/>
  <c r="J190" i="6"/>
  <c r="K190" i="6"/>
  <c r="L190" i="6"/>
  <c r="N190" i="6"/>
  <c r="O190" i="6"/>
  <c r="S190" i="6"/>
  <c r="W190" i="6"/>
  <c r="A191" i="6"/>
  <c r="B191" i="6"/>
  <c r="E191" i="6"/>
  <c r="I191" i="6"/>
  <c r="J191" i="6"/>
  <c r="K191" i="6"/>
  <c r="S191" i="6"/>
  <c r="W191" i="6"/>
  <c r="A192" i="6"/>
  <c r="B192" i="6"/>
  <c r="E192" i="6"/>
  <c r="I192" i="6"/>
  <c r="J192" i="6"/>
  <c r="K192" i="6"/>
  <c r="L192" i="6"/>
  <c r="N192" i="6"/>
  <c r="O192" i="6"/>
  <c r="S192" i="6"/>
  <c r="W192" i="6"/>
  <c r="A193" i="6"/>
  <c r="B193" i="6"/>
  <c r="E193" i="6"/>
  <c r="I193" i="6"/>
  <c r="J193" i="6"/>
  <c r="K193" i="6"/>
  <c r="L193" i="6"/>
  <c r="N193" i="6"/>
  <c r="O193" i="6"/>
  <c r="S193" i="6"/>
  <c r="W193" i="6"/>
  <c r="A194" i="6"/>
  <c r="B194" i="6"/>
  <c r="E194" i="6"/>
  <c r="I194" i="6"/>
  <c r="J194" i="6"/>
  <c r="K194" i="6"/>
  <c r="L194" i="6"/>
  <c r="N194" i="6"/>
  <c r="O194" i="6"/>
  <c r="S194" i="6"/>
  <c r="W194" i="6"/>
  <c r="A195" i="6"/>
  <c r="B195" i="6"/>
  <c r="E195" i="6"/>
  <c r="I195" i="6"/>
  <c r="J195" i="6"/>
  <c r="K195" i="6"/>
  <c r="L195" i="6"/>
  <c r="N195" i="6"/>
  <c r="O195" i="6"/>
  <c r="S195" i="6"/>
  <c r="W195" i="6"/>
  <c r="A196" i="6"/>
  <c r="B196" i="6"/>
  <c r="E196" i="6"/>
  <c r="I196" i="6"/>
  <c r="J196" i="6"/>
  <c r="K196" i="6"/>
  <c r="L196" i="6"/>
  <c r="N196" i="6"/>
  <c r="O196" i="6"/>
  <c r="S196" i="6"/>
  <c r="W196" i="6"/>
  <c r="A197" i="6"/>
  <c r="B197" i="6"/>
  <c r="E197" i="6"/>
  <c r="I197" i="6"/>
  <c r="J197" i="6"/>
  <c r="K197" i="6"/>
  <c r="S197" i="6"/>
  <c r="W197" i="6"/>
  <c r="A198" i="6"/>
  <c r="B198" i="6"/>
  <c r="E198" i="6"/>
  <c r="I198" i="6"/>
  <c r="J198" i="6"/>
  <c r="K198" i="6"/>
  <c r="L198" i="6"/>
  <c r="N198" i="6"/>
  <c r="O198" i="6"/>
  <c r="S198" i="6"/>
  <c r="W198" i="6"/>
  <c r="A199" i="6"/>
  <c r="B199" i="6"/>
  <c r="E199" i="6"/>
  <c r="I199" i="6"/>
  <c r="J199" i="6"/>
  <c r="K199" i="6"/>
  <c r="L199" i="6"/>
  <c r="N199" i="6"/>
  <c r="O199" i="6"/>
  <c r="S199" i="6"/>
  <c r="W199" i="6"/>
  <c r="A200" i="6"/>
  <c r="B200" i="6"/>
  <c r="E200" i="6"/>
  <c r="I200" i="6"/>
  <c r="J200" i="6"/>
  <c r="K200" i="6"/>
  <c r="L200" i="6"/>
  <c r="N200" i="6"/>
  <c r="O200" i="6"/>
  <c r="S200" i="6"/>
  <c r="W200" i="6"/>
  <c r="A201" i="6"/>
  <c r="B201" i="6"/>
  <c r="E201" i="6"/>
  <c r="I201" i="6"/>
  <c r="J201" i="6"/>
  <c r="K201" i="6"/>
  <c r="L201" i="6"/>
  <c r="N201" i="6"/>
  <c r="O201" i="6"/>
  <c r="S201" i="6"/>
  <c r="W201" i="6"/>
  <c r="A202" i="6"/>
  <c r="B202" i="6"/>
  <c r="E202" i="6"/>
  <c r="I202" i="6"/>
  <c r="J202" i="6"/>
  <c r="K202" i="6"/>
  <c r="L202" i="6"/>
  <c r="N202" i="6"/>
  <c r="O202" i="6"/>
  <c r="S202" i="6"/>
  <c r="W202" i="6"/>
  <c r="A203" i="6"/>
  <c r="B203" i="6"/>
  <c r="E203" i="6"/>
  <c r="I203" i="6"/>
  <c r="J203" i="6"/>
  <c r="K203" i="6"/>
  <c r="L203" i="6"/>
  <c r="N203" i="6"/>
  <c r="O203" i="6"/>
  <c r="S203" i="6"/>
  <c r="W203" i="6"/>
  <c r="A204" i="6"/>
  <c r="B204" i="6"/>
  <c r="E204" i="6"/>
  <c r="I204" i="6"/>
  <c r="J204" i="6"/>
  <c r="K204" i="6"/>
  <c r="L204" i="6"/>
  <c r="N204" i="6"/>
  <c r="O204" i="6"/>
  <c r="S204" i="6"/>
  <c r="W204" i="6"/>
  <c r="A205" i="6"/>
  <c r="B205" i="6"/>
  <c r="E205" i="6"/>
  <c r="I205" i="6"/>
  <c r="J205" i="6"/>
  <c r="K205" i="6"/>
  <c r="L205" i="6"/>
  <c r="N205" i="6"/>
  <c r="O205" i="6"/>
  <c r="S205" i="6"/>
  <c r="W205" i="6"/>
  <c r="A206" i="6"/>
  <c r="B206" i="6"/>
  <c r="E206" i="6"/>
  <c r="I206" i="6"/>
  <c r="J206" i="6"/>
  <c r="K206" i="6"/>
  <c r="L206" i="6"/>
  <c r="N206" i="6"/>
  <c r="O206" i="6"/>
  <c r="S206" i="6"/>
  <c r="W206" i="6"/>
  <c r="A207" i="6"/>
  <c r="B207" i="6"/>
  <c r="E207" i="6"/>
  <c r="I207" i="6"/>
  <c r="J207" i="6"/>
  <c r="K207" i="6"/>
  <c r="L207" i="6"/>
  <c r="N207" i="6"/>
  <c r="O207" i="6"/>
  <c r="S207" i="6"/>
  <c r="W207" i="6"/>
  <c r="A208" i="6"/>
  <c r="B208" i="6"/>
  <c r="E208" i="6"/>
  <c r="I208" i="6"/>
  <c r="J208" i="6"/>
  <c r="K208" i="6"/>
  <c r="L208" i="6"/>
  <c r="N208" i="6"/>
  <c r="O208" i="6"/>
  <c r="S208" i="6"/>
  <c r="W208" i="6"/>
  <c r="A209" i="6"/>
  <c r="B209" i="6"/>
  <c r="E209" i="6"/>
  <c r="I209" i="6"/>
  <c r="J209" i="6"/>
  <c r="K209" i="6"/>
  <c r="L209" i="6"/>
  <c r="N209" i="6"/>
  <c r="O209" i="6"/>
  <c r="S209" i="6"/>
  <c r="W209" i="6"/>
  <c r="A210" i="6"/>
  <c r="B210" i="6"/>
  <c r="E210" i="6"/>
  <c r="I210" i="6"/>
  <c r="J210" i="6"/>
  <c r="K210" i="6"/>
  <c r="L210" i="6"/>
  <c r="N210" i="6"/>
  <c r="O210" i="6"/>
  <c r="S210" i="6"/>
  <c r="W210" i="6"/>
  <c r="A211" i="6"/>
  <c r="B211" i="6"/>
  <c r="E211" i="6"/>
  <c r="I211" i="6"/>
  <c r="J211" i="6"/>
  <c r="K211" i="6"/>
  <c r="L211" i="6"/>
  <c r="N211" i="6"/>
  <c r="O211" i="6"/>
  <c r="S211" i="6"/>
  <c r="W211" i="6"/>
  <c r="A212" i="6"/>
  <c r="B212" i="6"/>
  <c r="E212" i="6"/>
  <c r="I212" i="6"/>
  <c r="J212" i="6"/>
  <c r="K212" i="6"/>
  <c r="L212" i="6"/>
  <c r="N212" i="6"/>
  <c r="O212" i="6"/>
  <c r="S212" i="6"/>
  <c r="W212" i="6"/>
  <c r="A213" i="6"/>
  <c r="B213" i="6"/>
  <c r="E213" i="6"/>
  <c r="I213" i="6"/>
  <c r="J213" i="6"/>
  <c r="K213" i="6"/>
  <c r="L213" i="6"/>
  <c r="N213" i="6"/>
  <c r="O213" i="6"/>
  <c r="S213" i="6"/>
  <c r="W213" i="6"/>
  <c r="A214" i="6"/>
  <c r="B214" i="6"/>
  <c r="E214" i="6"/>
  <c r="I214" i="6"/>
  <c r="J214" i="6"/>
  <c r="K214" i="6"/>
  <c r="L214" i="6"/>
  <c r="N214" i="6"/>
  <c r="O214" i="6"/>
  <c r="S214" i="6"/>
  <c r="W214" i="6"/>
  <c r="A215" i="6"/>
  <c r="B215" i="6"/>
  <c r="E215" i="6"/>
  <c r="I215" i="6"/>
  <c r="J215" i="6"/>
  <c r="K215" i="6"/>
  <c r="L215" i="6"/>
  <c r="N215" i="6"/>
  <c r="O215" i="6"/>
  <c r="S215" i="6"/>
  <c r="W215" i="6"/>
  <c r="A216" i="6"/>
  <c r="B216" i="6"/>
  <c r="E216" i="6"/>
  <c r="I216" i="6"/>
  <c r="J216" i="6"/>
  <c r="K216" i="6"/>
  <c r="S216" i="6"/>
  <c r="W216" i="6"/>
  <c r="A217" i="6"/>
  <c r="B217" i="6"/>
  <c r="E217" i="6"/>
  <c r="I217" i="6"/>
  <c r="J217" i="6"/>
  <c r="K217" i="6"/>
  <c r="L217" i="6"/>
  <c r="N217" i="6"/>
  <c r="O217" i="6"/>
  <c r="S217" i="6"/>
  <c r="W217" i="6"/>
  <c r="A218" i="6"/>
  <c r="B218" i="6"/>
  <c r="E218" i="6"/>
  <c r="I218" i="6"/>
  <c r="J218" i="6"/>
  <c r="K218" i="6"/>
  <c r="L218" i="6"/>
  <c r="N218" i="6"/>
  <c r="O218" i="6"/>
  <c r="S218" i="6"/>
  <c r="W218" i="6"/>
  <c r="A219" i="6"/>
  <c r="B219" i="6"/>
  <c r="E219" i="6"/>
  <c r="I219" i="6"/>
  <c r="J219" i="6"/>
  <c r="K219" i="6"/>
  <c r="L219" i="6"/>
  <c r="N219" i="6"/>
  <c r="O219" i="6"/>
  <c r="S219" i="6"/>
  <c r="W219" i="6"/>
  <c r="A220" i="6"/>
  <c r="B220" i="6"/>
  <c r="E220" i="6"/>
  <c r="I220" i="6"/>
  <c r="J220" i="6"/>
  <c r="K220" i="6"/>
  <c r="L220" i="6"/>
  <c r="N220" i="6"/>
  <c r="O220" i="6"/>
  <c r="S220" i="6"/>
  <c r="W220" i="6"/>
  <c r="A221" i="6"/>
  <c r="B221" i="6"/>
  <c r="E221" i="6"/>
  <c r="I221" i="6"/>
  <c r="J221" i="6"/>
  <c r="K221" i="6"/>
  <c r="L221" i="6"/>
  <c r="N221" i="6"/>
  <c r="O221" i="6"/>
  <c r="S221" i="6"/>
  <c r="W221" i="6"/>
  <c r="A222" i="6"/>
  <c r="B222" i="6"/>
  <c r="E222" i="6"/>
  <c r="I222" i="6"/>
  <c r="J222" i="6"/>
  <c r="K222" i="6"/>
  <c r="L222" i="6"/>
  <c r="N222" i="6"/>
  <c r="O222" i="6"/>
  <c r="S222" i="6"/>
  <c r="W222" i="6"/>
  <c r="A223" i="6"/>
  <c r="B223" i="6"/>
  <c r="E223" i="6"/>
  <c r="I223" i="6"/>
  <c r="J223" i="6"/>
  <c r="K223" i="6"/>
  <c r="S223" i="6"/>
  <c r="W223" i="6"/>
  <c r="A224" i="6"/>
  <c r="B224" i="6"/>
  <c r="E224" i="6"/>
  <c r="I224" i="6"/>
  <c r="J224" i="6"/>
  <c r="K224" i="6"/>
  <c r="L224" i="6"/>
  <c r="N224" i="6"/>
  <c r="O224" i="6"/>
  <c r="S224" i="6"/>
  <c r="W224" i="6"/>
  <c r="A225" i="6"/>
  <c r="B225" i="6"/>
  <c r="E225" i="6"/>
  <c r="I225" i="6"/>
  <c r="J225" i="6"/>
  <c r="K225" i="6"/>
  <c r="L225" i="6"/>
  <c r="N225" i="6"/>
  <c r="O225" i="6"/>
  <c r="S225" i="6"/>
  <c r="W225" i="6"/>
  <c r="A226" i="6"/>
  <c r="B226" i="6"/>
  <c r="E226" i="6"/>
  <c r="I226" i="6"/>
  <c r="J226" i="6"/>
  <c r="K226" i="6"/>
  <c r="S226" i="6"/>
  <c r="W226" i="6"/>
  <c r="A227" i="6"/>
  <c r="B227" i="6"/>
  <c r="E227" i="6"/>
  <c r="I227" i="6"/>
  <c r="J227" i="6"/>
  <c r="K227" i="6"/>
  <c r="L227" i="6"/>
  <c r="N227" i="6"/>
  <c r="O227" i="6"/>
  <c r="S227" i="6"/>
  <c r="W227" i="6"/>
  <c r="A228" i="6"/>
  <c r="B228" i="6"/>
  <c r="E228" i="6"/>
  <c r="I228" i="6"/>
  <c r="J228" i="6"/>
  <c r="K228" i="6"/>
  <c r="L228" i="6"/>
  <c r="N228" i="6"/>
  <c r="O228" i="6"/>
  <c r="S228" i="6"/>
  <c r="W228" i="6"/>
  <c r="A229" i="6"/>
  <c r="B229" i="6"/>
  <c r="E229" i="6"/>
  <c r="I229" i="6"/>
  <c r="J229" i="6"/>
  <c r="K229" i="6"/>
  <c r="L229" i="6"/>
  <c r="N229" i="6"/>
  <c r="O229" i="6"/>
  <c r="S229" i="6"/>
  <c r="W229" i="6"/>
  <c r="A230" i="6"/>
  <c r="B230" i="6"/>
  <c r="E230" i="6"/>
  <c r="I230" i="6"/>
  <c r="J230" i="6"/>
  <c r="K230" i="6"/>
  <c r="L230" i="6"/>
  <c r="N230" i="6"/>
  <c r="O230" i="6"/>
  <c r="S230" i="6"/>
  <c r="W230" i="6"/>
  <c r="A231" i="6"/>
  <c r="B231" i="6"/>
  <c r="E231" i="6"/>
  <c r="I231" i="6"/>
  <c r="J231" i="6"/>
  <c r="K231" i="6"/>
  <c r="L231" i="6"/>
  <c r="N231" i="6"/>
  <c r="O231" i="6"/>
  <c r="S231" i="6"/>
  <c r="W231" i="6"/>
  <c r="A232" i="6"/>
  <c r="B232" i="6"/>
  <c r="E232" i="6"/>
  <c r="I232" i="6"/>
  <c r="J232" i="6"/>
  <c r="K232" i="6"/>
  <c r="L232" i="6"/>
  <c r="N232" i="6"/>
  <c r="O232" i="6"/>
  <c r="S232" i="6"/>
  <c r="W232" i="6"/>
  <c r="A233" i="6"/>
  <c r="B233" i="6"/>
  <c r="E233" i="6"/>
  <c r="I233" i="6"/>
  <c r="J233" i="6"/>
  <c r="K233" i="6"/>
  <c r="L233" i="6"/>
  <c r="N233" i="6"/>
  <c r="O233" i="6"/>
  <c r="S233" i="6"/>
  <c r="W233" i="6"/>
  <c r="A234" i="6"/>
  <c r="B234" i="6"/>
  <c r="E234" i="6"/>
  <c r="I234" i="6"/>
  <c r="J234" i="6"/>
  <c r="K234" i="6"/>
  <c r="L234" i="6"/>
  <c r="N234" i="6"/>
  <c r="O234" i="6"/>
  <c r="S234" i="6"/>
  <c r="W234" i="6"/>
  <c r="A235" i="6"/>
  <c r="B235" i="6"/>
  <c r="E235" i="6"/>
  <c r="I235" i="6"/>
  <c r="J235" i="6"/>
  <c r="K235" i="6"/>
  <c r="L235" i="6"/>
  <c r="N235" i="6"/>
  <c r="O235" i="6"/>
  <c r="S235" i="6"/>
  <c r="W235" i="6"/>
  <c r="A236" i="6"/>
  <c r="B236" i="6"/>
  <c r="E236" i="6"/>
  <c r="I236" i="6"/>
  <c r="J236" i="6"/>
  <c r="K236" i="6"/>
  <c r="L236" i="6"/>
  <c r="N236" i="6"/>
  <c r="O236" i="6"/>
  <c r="S236" i="6"/>
  <c r="W236" i="6"/>
  <c r="A237" i="6"/>
  <c r="B237" i="6"/>
  <c r="E237" i="6"/>
  <c r="I237" i="6"/>
  <c r="J237" i="6"/>
  <c r="K237" i="6"/>
  <c r="L237" i="6"/>
  <c r="N237" i="6"/>
  <c r="O237" i="6"/>
  <c r="S237" i="6"/>
  <c r="W237" i="6"/>
  <c r="A238" i="6"/>
  <c r="B238" i="6"/>
  <c r="E238" i="6"/>
  <c r="I238" i="6"/>
  <c r="J238" i="6"/>
  <c r="K238" i="6"/>
  <c r="L238" i="6"/>
  <c r="N238" i="6"/>
  <c r="O238" i="6"/>
  <c r="S238" i="6"/>
  <c r="W238" i="6"/>
  <c r="A239" i="6"/>
  <c r="B239" i="6"/>
  <c r="E239" i="6"/>
  <c r="I239" i="6"/>
  <c r="J239" i="6"/>
  <c r="K239" i="6"/>
  <c r="L239" i="6"/>
  <c r="N239" i="6"/>
  <c r="O239" i="6"/>
  <c r="S239" i="6"/>
  <c r="W239" i="6"/>
  <c r="A240" i="6"/>
  <c r="B240" i="6"/>
  <c r="E240" i="6"/>
  <c r="I240" i="6"/>
  <c r="J240" i="6"/>
  <c r="K240" i="6"/>
  <c r="L240" i="6"/>
  <c r="N240" i="6"/>
  <c r="O240" i="6"/>
  <c r="S240" i="6"/>
  <c r="W240" i="6"/>
  <c r="A241" i="6"/>
  <c r="B241" i="6"/>
  <c r="E241" i="6"/>
  <c r="I241" i="6"/>
  <c r="J241" i="6"/>
  <c r="K241" i="6"/>
  <c r="L241" i="6"/>
  <c r="N241" i="6"/>
  <c r="O241" i="6"/>
  <c r="S241" i="6"/>
  <c r="W241" i="6"/>
  <c r="A242" i="6"/>
  <c r="B242" i="6"/>
  <c r="E242" i="6"/>
  <c r="I242" i="6"/>
  <c r="J242" i="6"/>
  <c r="K242" i="6"/>
  <c r="S242" i="6"/>
  <c r="W242" i="6"/>
  <c r="A243" i="6"/>
  <c r="B243" i="6"/>
  <c r="E243" i="6"/>
  <c r="I243" i="6"/>
  <c r="J243" i="6"/>
  <c r="K243" i="6"/>
  <c r="L243" i="6"/>
  <c r="N243" i="6"/>
  <c r="O243" i="6"/>
  <c r="S243" i="6"/>
  <c r="W243" i="6"/>
  <c r="A244" i="6"/>
  <c r="B244" i="6"/>
  <c r="E244" i="6"/>
  <c r="I244" i="6"/>
  <c r="J244" i="6"/>
  <c r="K244" i="6"/>
  <c r="L244" i="6"/>
  <c r="N244" i="6"/>
  <c r="O244" i="6"/>
  <c r="S244" i="6"/>
  <c r="W244" i="6"/>
  <c r="A245" i="6"/>
  <c r="B245" i="6"/>
  <c r="E245" i="6"/>
  <c r="I245" i="6"/>
  <c r="J245" i="6"/>
  <c r="K245" i="6"/>
  <c r="L245" i="6"/>
  <c r="N245" i="6"/>
  <c r="O245" i="6"/>
  <c r="S245" i="6"/>
  <c r="W245" i="6"/>
  <c r="A246" i="6"/>
  <c r="B246" i="6"/>
  <c r="E246" i="6"/>
  <c r="I246" i="6"/>
  <c r="J246" i="6"/>
  <c r="K246" i="6"/>
  <c r="L246" i="6"/>
  <c r="N246" i="6"/>
  <c r="O246" i="6"/>
  <c r="S246" i="6"/>
  <c r="W246" i="6"/>
  <c r="A247" i="6"/>
  <c r="B247" i="6"/>
  <c r="E247" i="6"/>
  <c r="I247" i="6"/>
  <c r="J247" i="6"/>
  <c r="K247" i="6"/>
  <c r="L247" i="6"/>
  <c r="N247" i="6"/>
  <c r="O247" i="6"/>
  <c r="S247" i="6"/>
  <c r="W247" i="6"/>
  <c r="A248" i="6"/>
  <c r="B248" i="6"/>
  <c r="E248" i="6"/>
  <c r="I248" i="6"/>
  <c r="J248" i="6"/>
  <c r="K248" i="6"/>
  <c r="L248" i="6"/>
  <c r="N248" i="6"/>
  <c r="O248" i="6"/>
  <c r="S248" i="6"/>
  <c r="W248" i="6"/>
  <c r="A249" i="6"/>
  <c r="B249" i="6"/>
  <c r="E249" i="6"/>
  <c r="I249" i="6"/>
  <c r="J249" i="6"/>
  <c r="K249" i="6"/>
  <c r="S249" i="6"/>
  <c r="W249" i="6"/>
  <c r="A250" i="6"/>
  <c r="B250" i="6"/>
  <c r="E250" i="6"/>
  <c r="I250" i="6"/>
  <c r="J250" i="6"/>
  <c r="K250" i="6"/>
  <c r="L250" i="6"/>
  <c r="N250" i="6"/>
  <c r="O250" i="6"/>
  <c r="S250" i="6"/>
  <c r="W250" i="6"/>
  <c r="A251" i="6"/>
  <c r="B251" i="6"/>
  <c r="E251" i="6"/>
  <c r="I251" i="6"/>
  <c r="J251" i="6"/>
  <c r="K251" i="6"/>
  <c r="S251" i="6"/>
  <c r="W251" i="6"/>
  <c r="A252" i="6"/>
  <c r="B252" i="6"/>
  <c r="E252" i="6"/>
  <c r="I252" i="6"/>
  <c r="J252" i="6"/>
  <c r="K252" i="6"/>
  <c r="L252" i="6"/>
  <c r="N252" i="6"/>
  <c r="O252" i="6"/>
  <c r="S252" i="6"/>
  <c r="W252" i="6"/>
  <c r="A253" i="6"/>
  <c r="B253" i="6"/>
  <c r="E253" i="6"/>
  <c r="I253" i="6"/>
  <c r="J253" i="6"/>
  <c r="K253" i="6"/>
  <c r="L253" i="6"/>
  <c r="N253" i="6"/>
  <c r="O253" i="6"/>
  <c r="S253" i="6"/>
  <c r="W253" i="6"/>
  <c r="A254" i="6"/>
  <c r="B254" i="6"/>
  <c r="E254" i="6"/>
  <c r="I254" i="6"/>
  <c r="J254" i="6"/>
  <c r="K254" i="6"/>
  <c r="L254" i="6"/>
  <c r="N254" i="6"/>
  <c r="O254" i="6"/>
  <c r="S254" i="6"/>
  <c r="W254" i="6"/>
  <c r="A255" i="6"/>
  <c r="B255" i="6"/>
  <c r="E255" i="6"/>
  <c r="I255" i="6"/>
  <c r="J255" i="6"/>
  <c r="K255" i="6"/>
  <c r="L255" i="6"/>
  <c r="N255" i="6"/>
  <c r="O255" i="6"/>
  <c r="S255" i="6"/>
  <c r="W255" i="6"/>
  <c r="A256" i="6"/>
  <c r="B256" i="6"/>
  <c r="E256" i="6"/>
  <c r="I256" i="6"/>
  <c r="J256" i="6"/>
  <c r="K256" i="6"/>
  <c r="L256" i="6"/>
  <c r="N256" i="6"/>
  <c r="O256" i="6"/>
  <c r="S256" i="6"/>
  <c r="W256" i="6"/>
  <c r="A257" i="6"/>
  <c r="B257" i="6"/>
  <c r="E257" i="6"/>
  <c r="I257" i="6"/>
  <c r="J257" i="6"/>
  <c r="K257" i="6"/>
  <c r="L257" i="6"/>
  <c r="N257" i="6"/>
  <c r="O257" i="6"/>
  <c r="S257" i="6"/>
  <c r="W257" i="6"/>
  <c r="A258" i="6"/>
  <c r="B258" i="6"/>
  <c r="E258" i="6"/>
  <c r="I258" i="6"/>
  <c r="J258" i="6"/>
  <c r="K258" i="6"/>
  <c r="L258" i="6"/>
  <c r="N258" i="6"/>
  <c r="O258" i="6"/>
  <c r="S258" i="6"/>
  <c r="W258" i="6"/>
  <c r="A259" i="6"/>
  <c r="B259" i="6"/>
  <c r="E259" i="6"/>
  <c r="I259" i="6"/>
  <c r="J259" i="6"/>
  <c r="K259" i="6"/>
  <c r="L259" i="6"/>
  <c r="N259" i="6"/>
  <c r="O259" i="6"/>
  <c r="S259" i="6"/>
  <c r="W259" i="6"/>
  <c r="A260" i="6"/>
  <c r="B260" i="6"/>
  <c r="E260" i="6"/>
  <c r="I260" i="6"/>
  <c r="J260" i="6"/>
  <c r="K260" i="6"/>
  <c r="L260" i="6"/>
  <c r="N260" i="6"/>
  <c r="O260" i="6"/>
  <c r="S260" i="6"/>
  <c r="W260" i="6"/>
  <c r="A261" i="6"/>
  <c r="B261" i="6"/>
  <c r="E261" i="6"/>
  <c r="I261" i="6"/>
  <c r="J261" i="6"/>
  <c r="K261" i="6"/>
  <c r="L261" i="6"/>
  <c r="N261" i="6"/>
  <c r="O261" i="6"/>
  <c r="S261" i="6"/>
  <c r="W261" i="6"/>
  <c r="A262" i="6"/>
  <c r="B262" i="6"/>
  <c r="E262" i="6"/>
  <c r="I262" i="6"/>
  <c r="J262" i="6"/>
  <c r="K262" i="6"/>
  <c r="L262" i="6"/>
  <c r="N262" i="6"/>
  <c r="O262" i="6"/>
  <c r="S262" i="6"/>
  <c r="W262" i="6"/>
  <c r="A263" i="6"/>
  <c r="B263" i="6"/>
  <c r="E263" i="6"/>
  <c r="I263" i="6"/>
  <c r="J263" i="6"/>
  <c r="K263" i="6"/>
  <c r="L263" i="6"/>
  <c r="N263" i="6"/>
  <c r="O263" i="6"/>
  <c r="S263" i="6"/>
  <c r="W263" i="6"/>
  <c r="A264" i="6"/>
  <c r="B264" i="6"/>
  <c r="E264" i="6"/>
  <c r="I264" i="6"/>
  <c r="J264" i="6"/>
  <c r="K264" i="6"/>
  <c r="L264" i="6"/>
  <c r="N264" i="6"/>
  <c r="O264" i="6"/>
  <c r="S264" i="6"/>
  <c r="W264" i="6"/>
  <c r="A265" i="6"/>
  <c r="B265" i="6"/>
  <c r="E265" i="6"/>
  <c r="I265" i="6"/>
  <c r="J265" i="6"/>
  <c r="K265" i="6"/>
  <c r="L265" i="6"/>
  <c r="N265" i="6"/>
  <c r="O265" i="6"/>
  <c r="S265" i="6"/>
  <c r="W265" i="6"/>
  <c r="A266" i="6"/>
  <c r="B266" i="6"/>
  <c r="E266" i="6"/>
  <c r="I266" i="6"/>
  <c r="J266" i="6"/>
  <c r="K266" i="6"/>
  <c r="L266" i="6"/>
  <c r="N266" i="6"/>
  <c r="O266" i="6"/>
  <c r="S266" i="6"/>
  <c r="W266" i="6"/>
  <c r="A267" i="6"/>
  <c r="B267" i="6"/>
  <c r="E267" i="6"/>
  <c r="I267" i="6"/>
  <c r="J267" i="6"/>
  <c r="K267" i="6"/>
  <c r="L267" i="6"/>
  <c r="N267" i="6"/>
  <c r="O267" i="6"/>
  <c r="S267" i="6"/>
  <c r="W267" i="6"/>
  <c r="A268" i="6"/>
  <c r="B268" i="6"/>
  <c r="E268" i="6"/>
  <c r="I268" i="6"/>
  <c r="J268" i="6"/>
  <c r="K268" i="6"/>
  <c r="L268" i="6"/>
  <c r="N268" i="6"/>
  <c r="O268" i="6"/>
  <c r="S268" i="6"/>
  <c r="W268" i="6"/>
  <c r="A269" i="6"/>
  <c r="B269" i="6"/>
  <c r="E269" i="6"/>
  <c r="I269" i="6"/>
  <c r="J269" i="6"/>
  <c r="K269" i="6"/>
  <c r="L269" i="6"/>
  <c r="N269" i="6"/>
  <c r="O269" i="6"/>
  <c r="S269" i="6"/>
  <c r="W269" i="6"/>
  <c r="A270" i="6"/>
  <c r="B270" i="6"/>
  <c r="E270" i="6"/>
  <c r="I270" i="6"/>
  <c r="J270" i="6"/>
  <c r="K270" i="6"/>
  <c r="L270" i="6"/>
  <c r="N270" i="6"/>
  <c r="O270" i="6"/>
  <c r="S270" i="6"/>
  <c r="W270" i="6"/>
  <c r="A271" i="6"/>
  <c r="B271" i="6"/>
  <c r="E271" i="6"/>
  <c r="I271" i="6"/>
  <c r="J271" i="6"/>
  <c r="K271" i="6"/>
  <c r="L271" i="6"/>
  <c r="N271" i="6"/>
  <c r="O271" i="6"/>
  <c r="S271" i="6"/>
  <c r="W271" i="6"/>
  <c r="A272" i="6"/>
  <c r="B272" i="6"/>
  <c r="E272" i="6"/>
  <c r="I272" i="6"/>
  <c r="J272" i="6"/>
  <c r="K272" i="6"/>
  <c r="L272" i="6"/>
  <c r="N272" i="6"/>
  <c r="O272" i="6"/>
  <c r="S272" i="6"/>
  <c r="W272" i="6"/>
  <c r="A273" i="6"/>
  <c r="B273" i="6"/>
  <c r="E273" i="6"/>
  <c r="I273" i="6"/>
  <c r="J273" i="6"/>
  <c r="K273" i="6"/>
  <c r="L273" i="6"/>
  <c r="N273" i="6"/>
  <c r="O273" i="6"/>
  <c r="S273" i="6"/>
  <c r="W273" i="6"/>
  <c r="A274" i="6"/>
  <c r="B274" i="6"/>
  <c r="E274" i="6"/>
  <c r="I274" i="6"/>
  <c r="J274" i="6"/>
  <c r="K274" i="6"/>
  <c r="L274" i="6"/>
  <c r="N274" i="6"/>
  <c r="O274" i="6"/>
  <c r="S274" i="6"/>
  <c r="W274" i="6"/>
  <c r="A275" i="6"/>
  <c r="B275" i="6"/>
  <c r="E275" i="6"/>
  <c r="I275" i="6"/>
  <c r="J275" i="6"/>
  <c r="K275" i="6"/>
  <c r="L275" i="6"/>
  <c r="N275" i="6"/>
  <c r="O275" i="6"/>
  <c r="S275" i="6"/>
  <c r="W275" i="6"/>
  <c r="A276" i="6"/>
  <c r="B276" i="6"/>
  <c r="E276" i="6"/>
  <c r="I276" i="6"/>
  <c r="J276" i="6"/>
  <c r="K276" i="6"/>
  <c r="L276" i="6"/>
  <c r="N276" i="6"/>
  <c r="O276" i="6"/>
  <c r="S276" i="6"/>
  <c r="W276" i="6"/>
  <c r="A277" i="6"/>
  <c r="B277" i="6"/>
  <c r="E277" i="6"/>
  <c r="I277" i="6"/>
  <c r="J277" i="6"/>
  <c r="K277" i="6"/>
  <c r="L277" i="6"/>
  <c r="N277" i="6"/>
  <c r="O277" i="6"/>
  <c r="S277" i="6"/>
  <c r="W277" i="6"/>
  <c r="A278" i="6"/>
  <c r="B278" i="6"/>
  <c r="E278" i="6"/>
  <c r="I278" i="6"/>
  <c r="J278" i="6"/>
  <c r="K278" i="6"/>
  <c r="L278" i="6"/>
  <c r="N278" i="6"/>
  <c r="O278" i="6"/>
  <c r="S278" i="6"/>
  <c r="W278" i="6"/>
  <c r="A279" i="6"/>
  <c r="B279" i="6"/>
  <c r="E279" i="6"/>
  <c r="I279" i="6"/>
  <c r="J279" i="6"/>
  <c r="K279" i="6"/>
  <c r="L279" i="6"/>
  <c r="N279" i="6"/>
  <c r="O279" i="6"/>
  <c r="S279" i="6"/>
  <c r="W279" i="6"/>
  <c r="A280" i="6"/>
  <c r="B280" i="6"/>
  <c r="E280" i="6"/>
  <c r="I280" i="6"/>
  <c r="J280" i="6"/>
  <c r="K280" i="6"/>
  <c r="L280" i="6"/>
  <c r="N280" i="6"/>
  <c r="O280" i="6"/>
  <c r="S280" i="6"/>
  <c r="W280" i="6"/>
  <c r="A281" i="6"/>
  <c r="B281" i="6"/>
  <c r="E281" i="6"/>
  <c r="I281" i="6"/>
  <c r="J281" i="6"/>
  <c r="K281" i="6"/>
  <c r="L281" i="6"/>
  <c r="N281" i="6"/>
  <c r="O281" i="6"/>
  <c r="S281" i="6"/>
  <c r="W281" i="6"/>
  <c r="A282" i="6"/>
  <c r="B282" i="6"/>
  <c r="E282" i="6"/>
  <c r="I282" i="6"/>
  <c r="J282" i="6"/>
  <c r="K282" i="6"/>
  <c r="L282" i="6"/>
  <c r="N282" i="6"/>
  <c r="O282" i="6"/>
  <c r="S282" i="6"/>
  <c r="W282" i="6"/>
  <c r="A283" i="6"/>
  <c r="B283" i="6"/>
  <c r="E283" i="6"/>
  <c r="I283" i="6"/>
  <c r="J283" i="6"/>
  <c r="K283" i="6"/>
  <c r="L283" i="6"/>
  <c r="N283" i="6"/>
  <c r="O283" i="6"/>
  <c r="S283" i="6"/>
  <c r="W283" i="6"/>
  <c r="A284" i="6"/>
  <c r="B284" i="6"/>
  <c r="E284" i="6"/>
  <c r="I284" i="6"/>
  <c r="J284" i="6"/>
  <c r="K284" i="6"/>
  <c r="L284" i="6"/>
  <c r="N284" i="6"/>
  <c r="O284" i="6"/>
  <c r="S284" i="6"/>
  <c r="W284" i="6"/>
  <c r="A285" i="6"/>
  <c r="B285" i="6"/>
  <c r="E285" i="6"/>
  <c r="I285" i="6"/>
  <c r="J285" i="6"/>
  <c r="K285" i="6"/>
  <c r="L285" i="6"/>
  <c r="N285" i="6"/>
  <c r="O285" i="6"/>
  <c r="S285" i="6"/>
  <c r="W285" i="6"/>
  <c r="A286" i="6"/>
  <c r="B286" i="6"/>
  <c r="E286" i="6"/>
  <c r="I286" i="6"/>
  <c r="J286" i="6"/>
  <c r="K286" i="6"/>
  <c r="L286" i="6"/>
  <c r="N286" i="6"/>
  <c r="O286" i="6"/>
  <c r="S286" i="6"/>
  <c r="W286" i="6"/>
  <c r="A287" i="6"/>
  <c r="B287" i="6"/>
  <c r="E287" i="6"/>
  <c r="I287" i="6"/>
  <c r="J287" i="6"/>
  <c r="K287" i="6"/>
  <c r="L287" i="6"/>
  <c r="N287" i="6"/>
  <c r="O287" i="6"/>
  <c r="S287" i="6"/>
  <c r="W287" i="6"/>
  <c r="A288" i="6"/>
  <c r="B288" i="6"/>
  <c r="E288" i="6"/>
  <c r="I288" i="6"/>
  <c r="J288" i="6"/>
  <c r="K288" i="6"/>
  <c r="L288" i="6"/>
  <c r="N288" i="6"/>
  <c r="O288" i="6"/>
  <c r="S288" i="6"/>
  <c r="W288" i="6"/>
  <c r="A289" i="6"/>
  <c r="B289" i="6"/>
  <c r="E289" i="6"/>
  <c r="I289" i="6"/>
  <c r="J289" i="6"/>
  <c r="K289" i="6"/>
  <c r="L289" i="6"/>
  <c r="N289" i="6"/>
  <c r="O289" i="6"/>
  <c r="S289" i="6"/>
  <c r="W289" i="6"/>
  <c r="A290" i="6"/>
  <c r="B290" i="6"/>
  <c r="E290" i="6"/>
  <c r="I290" i="6"/>
  <c r="J290" i="6"/>
  <c r="K290" i="6"/>
  <c r="L290" i="6"/>
  <c r="N290" i="6"/>
  <c r="O290" i="6"/>
  <c r="S290" i="6"/>
  <c r="W290" i="6"/>
  <c r="A291" i="6"/>
  <c r="B291" i="6"/>
  <c r="E291" i="6"/>
  <c r="I291" i="6"/>
  <c r="J291" i="6"/>
  <c r="K291" i="6"/>
  <c r="L291" i="6"/>
  <c r="N291" i="6"/>
  <c r="O291" i="6"/>
  <c r="S291" i="6"/>
  <c r="W291" i="6"/>
  <c r="A292" i="6"/>
  <c r="B292" i="6"/>
  <c r="E292" i="6"/>
  <c r="I292" i="6"/>
  <c r="J292" i="6"/>
  <c r="K292" i="6"/>
  <c r="L292" i="6"/>
  <c r="N292" i="6"/>
  <c r="O292" i="6"/>
  <c r="S292" i="6"/>
  <c r="W292" i="6"/>
  <c r="A293" i="6"/>
  <c r="B293" i="6"/>
  <c r="E293" i="6"/>
  <c r="I293" i="6"/>
  <c r="J293" i="6"/>
  <c r="K293" i="6"/>
  <c r="L293" i="6"/>
  <c r="N293" i="6"/>
  <c r="O293" i="6"/>
  <c r="S293" i="6"/>
  <c r="W293" i="6"/>
  <c r="A294" i="6"/>
  <c r="B294" i="6"/>
  <c r="E294" i="6"/>
  <c r="I294" i="6"/>
  <c r="J294" i="6"/>
  <c r="K294" i="6"/>
  <c r="L294" i="6"/>
  <c r="N294" i="6"/>
  <c r="O294" i="6"/>
  <c r="S294" i="6"/>
  <c r="W294" i="6"/>
  <c r="A295" i="6"/>
  <c r="B295" i="6"/>
  <c r="E295" i="6"/>
  <c r="I295" i="6"/>
  <c r="J295" i="6"/>
  <c r="K295" i="6"/>
  <c r="L295" i="6"/>
  <c r="N295" i="6"/>
  <c r="O295" i="6"/>
  <c r="S295" i="6"/>
  <c r="W295" i="6"/>
  <c r="A296" i="6"/>
  <c r="B296" i="6"/>
  <c r="E296" i="6"/>
  <c r="I296" i="6"/>
  <c r="J296" i="6"/>
  <c r="K296" i="6"/>
  <c r="L296" i="6"/>
  <c r="N296" i="6"/>
  <c r="O296" i="6"/>
  <c r="S296" i="6"/>
  <c r="W296" i="6"/>
  <c r="A297" i="6"/>
  <c r="B297" i="6"/>
  <c r="E297" i="6"/>
  <c r="I297" i="6"/>
  <c r="J297" i="6"/>
  <c r="K297" i="6"/>
  <c r="L297" i="6"/>
  <c r="N297" i="6"/>
  <c r="O297" i="6"/>
  <c r="S297" i="6"/>
  <c r="W297" i="6"/>
  <c r="A298" i="6"/>
  <c r="B298" i="6"/>
  <c r="E298" i="6"/>
  <c r="I298" i="6"/>
  <c r="J298" i="6"/>
  <c r="K298" i="6"/>
  <c r="L298" i="6"/>
  <c r="N298" i="6"/>
  <c r="O298" i="6"/>
  <c r="S298" i="6"/>
  <c r="W298" i="6"/>
  <c r="A299" i="6"/>
  <c r="B299" i="6"/>
  <c r="E299" i="6"/>
  <c r="I299" i="6"/>
  <c r="J299" i="6"/>
  <c r="K299" i="6"/>
  <c r="L299" i="6"/>
  <c r="N299" i="6"/>
  <c r="O299" i="6"/>
  <c r="S299" i="6"/>
  <c r="W299" i="6"/>
  <c r="A300" i="6"/>
  <c r="B300" i="6"/>
  <c r="E300" i="6"/>
  <c r="I300" i="6"/>
  <c r="J300" i="6"/>
  <c r="K300" i="6"/>
  <c r="L300" i="6"/>
  <c r="N300" i="6"/>
  <c r="O300" i="6"/>
  <c r="S300" i="6"/>
  <c r="W300" i="6"/>
  <c r="E303" i="6"/>
  <c r="F303" i="6"/>
  <c r="G303" i="6"/>
  <c r="H303" i="6"/>
  <c r="I303" i="6"/>
  <c r="J303" i="6"/>
  <c r="K303" i="6"/>
  <c r="L303" i="6"/>
  <c r="N303" i="6"/>
  <c r="O303" i="6"/>
  <c r="P303" i="6"/>
  <c r="Q303" i="6"/>
  <c r="R303" i="6"/>
  <c r="S303" i="6"/>
  <c r="T303" i="6"/>
  <c r="U303" i="6"/>
  <c r="V303" i="6"/>
  <c r="W303" i="6"/>
  <c r="X303" i="6"/>
  <c r="K304" i="6"/>
  <c r="L304" i="6"/>
  <c r="N304" i="6"/>
  <c r="O304" i="6"/>
  <c r="E305" i="6"/>
  <c r="F305" i="6"/>
  <c r="G305" i="6"/>
  <c r="H305" i="6"/>
  <c r="I305" i="6"/>
  <c r="J305" i="6"/>
  <c r="K305" i="6"/>
  <c r="L305" i="6"/>
  <c r="N305" i="6"/>
  <c r="O305" i="6"/>
  <c r="P305" i="6"/>
  <c r="Q305" i="6"/>
  <c r="R305" i="6"/>
  <c r="S305" i="6"/>
  <c r="T305" i="6"/>
  <c r="U305" i="6"/>
  <c r="V305" i="6"/>
  <c r="W305" i="6"/>
  <c r="X305" i="6"/>
  <c r="E306" i="6"/>
  <c r="F306" i="6"/>
  <c r="G306" i="6"/>
  <c r="H306" i="6"/>
  <c r="I306" i="6"/>
  <c r="J306" i="6"/>
  <c r="K306" i="6"/>
  <c r="L306" i="6"/>
  <c r="N306" i="6"/>
  <c r="O306" i="6"/>
  <c r="P306" i="6"/>
  <c r="Q306" i="6"/>
  <c r="R306" i="6"/>
  <c r="S306" i="6"/>
  <c r="T306" i="6"/>
  <c r="U306" i="6"/>
  <c r="V306" i="6"/>
  <c r="W306" i="6"/>
  <c r="X306" i="6"/>
  <c r="C309" i="6"/>
  <c r="D309" i="6"/>
  <c r="E309" i="6"/>
  <c r="F309" i="6"/>
  <c r="G309" i="6"/>
  <c r="H309" i="6"/>
  <c r="I309" i="6"/>
  <c r="J309" i="6"/>
  <c r="K309" i="6"/>
  <c r="L309" i="6"/>
  <c r="M309" i="6"/>
  <c r="N309" i="6"/>
  <c r="O309" i="6"/>
  <c r="P309" i="6"/>
  <c r="Q309" i="6"/>
  <c r="R309" i="6"/>
  <c r="S309" i="6"/>
  <c r="T309" i="6"/>
  <c r="U309" i="6"/>
  <c r="V309" i="6"/>
  <c r="W309" i="6"/>
  <c r="X309" i="6"/>
  <c r="K310" i="6"/>
  <c r="L310" i="6"/>
  <c r="M310" i="6"/>
  <c r="N310" i="6"/>
  <c r="O310" i="6"/>
  <c r="K311" i="6"/>
  <c r="L311" i="6"/>
  <c r="M311" i="6"/>
  <c r="N311" i="6"/>
  <c r="O311" i="6"/>
  <c r="K312" i="6"/>
  <c r="L312" i="6"/>
  <c r="M312" i="6"/>
  <c r="N312" i="6"/>
  <c r="O312" i="6"/>
  <c r="C313" i="6"/>
  <c r="D313" i="6"/>
  <c r="E313" i="6"/>
  <c r="F313" i="6"/>
  <c r="G313" i="6"/>
  <c r="H313" i="6"/>
  <c r="I313" i="6"/>
  <c r="J313" i="6"/>
  <c r="K313" i="6"/>
  <c r="L313" i="6"/>
  <c r="M313" i="6"/>
  <c r="N313" i="6"/>
  <c r="O313" i="6"/>
  <c r="P313" i="6"/>
  <c r="Q313" i="6"/>
  <c r="R313" i="6"/>
  <c r="S313" i="6"/>
  <c r="T313" i="6"/>
  <c r="U313" i="6"/>
  <c r="V313" i="6"/>
  <c r="W313" i="6"/>
  <c r="X313" i="6"/>
  <c r="C314" i="6"/>
  <c r="D314" i="6"/>
  <c r="E314" i="6"/>
  <c r="F314" i="6"/>
  <c r="G314" i="6"/>
  <c r="H314" i="6"/>
  <c r="I314" i="6"/>
  <c r="J314" i="6"/>
  <c r="K314" i="6"/>
  <c r="L314" i="6"/>
  <c r="M314" i="6"/>
  <c r="N314" i="6"/>
  <c r="O314" i="6"/>
  <c r="P314" i="6"/>
  <c r="Q314" i="6"/>
  <c r="R314" i="6"/>
  <c r="S314" i="6"/>
  <c r="T314" i="6"/>
  <c r="U314" i="6"/>
  <c r="V314" i="6"/>
  <c r="W314" i="6"/>
  <c r="X314" i="6"/>
  <c r="C317" i="6"/>
  <c r="D317" i="6"/>
  <c r="E317" i="6"/>
  <c r="F317" i="6"/>
  <c r="G317" i="6"/>
  <c r="H317" i="6"/>
  <c r="I317" i="6"/>
  <c r="J317" i="6"/>
  <c r="K317" i="6"/>
  <c r="L317" i="6"/>
  <c r="M317" i="6"/>
  <c r="N317" i="6"/>
  <c r="O317" i="6"/>
  <c r="P317" i="6"/>
  <c r="Q317" i="6"/>
  <c r="R317" i="6"/>
  <c r="S317" i="6"/>
  <c r="T317" i="6"/>
  <c r="U317" i="6"/>
  <c r="V317" i="6"/>
  <c r="W317" i="6"/>
  <c r="X317" i="6"/>
  <c r="AA317" i="6"/>
  <c r="AB317" i="6"/>
  <c r="AC317" i="6"/>
  <c r="AD317" i="6"/>
  <c r="AE317" i="6"/>
  <c r="AF317" i="6"/>
  <c r="AG317" i="6"/>
  <c r="AH317" i="6"/>
  <c r="AI317" i="6"/>
  <c r="AJ317" i="6"/>
  <c r="AK317" i="6"/>
  <c r="AL317" i="6"/>
  <c r="AM317" i="6"/>
  <c r="AN317" i="6"/>
  <c r="AO317" i="6"/>
  <c r="AP317" i="6"/>
  <c r="AQ317" i="6"/>
  <c r="AR317" i="6"/>
  <c r="AS317" i="6"/>
  <c r="AT317" i="6"/>
  <c r="AU317" i="6"/>
  <c r="C318" i="6"/>
  <c r="D318" i="6"/>
  <c r="E318" i="6"/>
  <c r="F318" i="6"/>
  <c r="G318" i="6"/>
  <c r="H318" i="6"/>
  <c r="I318" i="6"/>
  <c r="J318" i="6"/>
  <c r="K318" i="6"/>
  <c r="L318" i="6"/>
  <c r="M318" i="6"/>
  <c r="N318" i="6"/>
  <c r="O318" i="6"/>
  <c r="P318" i="6"/>
  <c r="Q318" i="6"/>
  <c r="R318" i="6"/>
  <c r="S318" i="6"/>
  <c r="T318" i="6"/>
  <c r="U318" i="6"/>
  <c r="V318" i="6"/>
  <c r="W318" i="6"/>
  <c r="X318" i="6"/>
  <c r="AA318" i="6"/>
  <c r="AB318" i="6"/>
  <c r="AC318" i="6"/>
  <c r="AD318" i="6"/>
  <c r="AE318" i="6"/>
  <c r="AF318" i="6"/>
  <c r="AG318" i="6"/>
  <c r="AH318" i="6"/>
  <c r="AI318" i="6"/>
  <c r="AJ318" i="6"/>
  <c r="AK318" i="6"/>
  <c r="AL318" i="6"/>
  <c r="AM318" i="6"/>
  <c r="AN318" i="6"/>
  <c r="AO318" i="6"/>
  <c r="AP318" i="6"/>
  <c r="AQ318" i="6"/>
  <c r="AR318" i="6"/>
  <c r="AS318" i="6"/>
  <c r="AT318" i="6"/>
  <c r="AU318" i="6"/>
  <c r="C319" i="6"/>
  <c r="D319" i="6"/>
  <c r="E319" i="6"/>
  <c r="F319" i="6"/>
  <c r="G319" i="6"/>
  <c r="H319" i="6"/>
  <c r="I319" i="6"/>
  <c r="J319" i="6"/>
  <c r="K319" i="6"/>
  <c r="L319" i="6"/>
  <c r="M319" i="6"/>
  <c r="N319" i="6"/>
  <c r="O319" i="6"/>
  <c r="P319" i="6"/>
  <c r="Q319" i="6"/>
  <c r="R319" i="6"/>
  <c r="S319" i="6"/>
  <c r="T319" i="6"/>
  <c r="U319" i="6"/>
  <c r="V319" i="6"/>
  <c r="W319" i="6"/>
  <c r="X319" i="6"/>
  <c r="AA319" i="6"/>
  <c r="AB319" i="6"/>
  <c r="AC319" i="6"/>
  <c r="AD319" i="6"/>
  <c r="AE319" i="6"/>
  <c r="AF319" i="6"/>
  <c r="AG319" i="6"/>
  <c r="AH319" i="6"/>
  <c r="AI319" i="6"/>
  <c r="AJ319" i="6"/>
  <c r="AK319" i="6"/>
  <c r="AL319" i="6"/>
  <c r="AM319" i="6"/>
  <c r="AN319" i="6"/>
  <c r="AO319" i="6"/>
  <c r="AP319" i="6"/>
  <c r="AQ319" i="6"/>
  <c r="AR319" i="6"/>
  <c r="AS319" i="6"/>
  <c r="AT319" i="6"/>
  <c r="AU319" i="6"/>
  <c r="C320" i="6"/>
  <c r="D320" i="6"/>
  <c r="E320" i="6"/>
  <c r="F320" i="6"/>
  <c r="G320" i="6"/>
  <c r="H320" i="6"/>
  <c r="I320" i="6"/>
  <c r="J320" i="6"/>
  <c r="K320" i="6"/>
  <c r="L320" i="6"/>
  <c r="M320" i="6"/>
  <c r="N320" i="6"/>
  <c r="O320" i="6"/>
  <c r="P320" i="6"/>
  <c r="Q320" i="6"/>
  <c r="R320" i="6"/>
  <c r="S320" i="6"/>
  <c r="T320" i="6"/>
  <c r="U320" i="6"/>
  <c r="V320" i="6"/>
  <c r="W320" i="6"/>
  <c r="X320" i="6"/>
  <c r="AA320" i="6"/>
  <c r="AB320" i="6"/>
  <c r="AC320" i="6"/>
  <c r="AD320" i="6"/>
  <c r="AE320" i="6"/>
  <c r="AF320" i="6"/>
  <c r="AG320" i="6"/>
  <c r="AH320" i="6"/>
  <c r="AI320" i="6"/>
  <c r="AJ320" i="6"/>
  <c r="AK320" i="6"/>
  <c r="AL320" i="6"/>
  <c r="AM320" i="6"/>
  <c r="AN320" i="6"/>
  <c r="AO320" i="6"/>
  <c r="AP320" i="6"/>
  <c r="AQ320" i="6"/>
  <c r="AR320" i="6"/>
  <c r="AS320" i="6"/>
  <c r="AT320" i="6"/>
  <c r="AU320" i="6"/>
  <c r="C321" i="6"/>
  <c r="D321" i="6"/>
  <c r="E321" i="6"/>
  <c r="F321" i="6"/>
  <c r="G321" i="6"/>
  <c r="H321" i="6"/>
  <c r="I321" i="6"/>
  <c r="J321" i="6"/>
  <c r="K321" i="6"/>
  <c r="L321" i="6"/>
  <c r="M321" i="6"/>
  <c r="N321" i="6"/>
  <c r="O321" i="6"/>
  <c r="P321" i="6"/>
  <c r="Q321" i="6"/>
  <c r="R321" i="6"/>
  <c r="S321" i="6"/>
  <c r="T321" i="6"/>
  <c r="U321" i="6"/>
  <c r="V321" i="6"/>
  <c r="W321" i="6"/>
  <c r="X321" i="6"/>
  <c r="AA321" i="6"/>
  <c r="AB321" i="6"/>
  <c r="AC321" i="6"/>
  <c r="AD321" i="6"/>
  <c r="AE321" i="6"/>
  <c r="AF321" i="6"/>
  <c r="AG321" i="6"/>
  <c r="AH321" i="6"/>
  <c r="AI321" i="6"/>
  <c r="AJ321" i="6"/>
  <c r="AK321" i="6"/>
  <c r="AL321" i="6"/>
  <c r="AM321" i="6"/>
  <c r="AN321" i="6"/>
  <c r="AO321" i="6"/>
  <c r="AP321" i="6"/>
  <c r="AQ321" i="6"/>
  <c r="AR321" i="6"/>
  <c r="AS321" i="6"/>
  <c r="AT321" i="6"/>
  <c r="AU321" i="6"/>
  <c r="C322" i="6"/>
  <c r="D322" i="6"/>
  <c r="E322" i="6"/>
  <c r="F322" i="6"/>
  <c r="G322" i="6"/>
  <c r="H322" i="6"/>
  <c r="I322" i="6"/>
  <c r="J322" i="6"/>
  <c r="K322" i="6"/>
  <c r="L322" i="6"/>
  <c r="M322" i="6"/>
  <c r="N322" i="6"/>
  <c r="O322" i="6"/>
  <c r="P322" i="6"/>
  <c r="Q322" i="6"/>
  <c r="R322" i="6"/>
  <c r="S322" i="6"/>
  <c r="T322" i="6"/>
  <c r="U322" i="6"/>
  <c r="V322" i="6"/>
  <c r="W322" i="6"/>
  <c r="X322" i="6"/>
  <c r="AA322" i="6"/>
  <c r="AB322" i="6"/>
  <c r="AC322" i="6"/>
  <c r="AD322" i="6"/>
  <c r="AE322" i="6"/>
  <c r="AF322" i="6"/>
  <c r="AG322" i="6"/>
  <c r="AH322" i="6"/>
  <c r="AI322" i="6"/>
  <c r="AJ322" i="6"/>
  <c r="AK322" i="6"/>
  <c r="AL322" i="6"/>
  <c r="AM322" i="6"/>
  <c r="AN322" i="6"/>
  <c r="AO322" i="6"/>
  <c r="AP322" i="6"/>
  <c r="AQ322" i="6"/>
  <c r="AR322" i="6"/>
  <c r="AS322" i="6"/>
  <c r="AT322" i="6"/>
  <c r="AU322" i="6"/>
  <c r="A9" i="7"/>
  <c r="B9" i="7"/>
  <c r="F9" i="7"/>
  <c r="H9" i="7"/>
  <c r="J9" i="7"/>
  <c r="K9" i="7"/>
  <c r="L9" i="7"/>
  <c r="A10" i="7"/>
  <c r="B10" i="7"/>
  <c r="F10" i="7"/>
  <c r="H10" i="7"/>
  <c r="J10" i="7"/>
  <c r="K10" i="7"/>
  <c r="L10" i="7"/>
  <c r="A11" i="7"/>
  <c r="B11" i="7"/>
  <c r="F11" i="7"/>
  <c r="H11" i="7"/>
  <c r="J11" i="7"/>
  <c r="K11" i="7"/>
  <c r="L11" i="7"/>
  <c r="A12" i="7"/>
  <c r="B12" i="7"/>
  <c r="F12" i="7"/>
  <c r="H12" i="7"/>
  <c r="I12" i="7"/>
  <c r="J12" i="7"/>
  <c r="K12" i="7"/>
  <c r="A13" i="7"/>
  <c r="B13" i="7"/>
  <c r="F13" i="7"/>
  <c r="H13" i="7"/>
  <c r="J13" i="7"/>
  <c r="K13" i="7"/>
  <c r="L13" i="7"/>
  <c r="A14" i="7"/>
  <c r="B14" i="7"/>
  <c r="F14" i="7"/>
  <c r="H14" i="7"/>
  <c r="J14" i="7"/>
  <c r="K14" i="7"/>
  <c r="L14" i="7"/>
  <c r="A15" i="7"/>
  <c r="B15" i="7"/>
  <c r="F15" i="7"/>
  <c r="H15" i="7"/>
  <c r="J15" i="7"/>
  <c r="K15" i="7"/>
  <c r="L15" i="7"/>
  <c r="A16" i="7"/>
  <c r="B16" i="7"/>
  <c r="F16" i="7"/>
  <c r="H16" i="7"/>
  <c r="I16" i="7"/>
  <c r="J16" i="7"/>
  <c r="K16" i="7"/>
  <c r="A17" i="7"/>
  <c r="B17" i="7"/>
  <c r="F17" i="7"/>
  <c r="H17" i="7"/>
  <c r="J17" i="7"/>
  <c r="K17" i="7"/>
  <c r="L17" i="7"/>
  <c r="A18" i="7"/>
  <c r="B18" i="7"/>
  <c r="F18" i="7"/>
  <c r="H18" i="7"/>
  <c r="J18" i="7"/>
  <c r="K18" i="7"/>
  <c r="L18" i="7"/>
  <c r="A19" i="7"/>
  <c r="B19" i="7"/>
  <c r="F19" i="7"/>
  <c r="H19" i="7"/>
  <c r="J19" i="7"/>
  <c r="K19" i="7"/>
  <c r="L19" i="7"/>
  <c r="A20" i="7"/>
  <c r="B20" i="7"/>
  <c r="F20" i="7"/>
  <c r="H20" i="7"/>
  <c r="J20" i="7"/>
  <c r="K20" i="7"/>
  <c r="L20" i="7"/>
  <c r="A21" i="7"/>
  <c r="B21" i="7"/>
  <c r="F21" i="7"/>
  <c r="H21" i="7"/>
  <c r="J21" i="7"/>
  <c r="K21" i="7"/>
  <c r="L21" i="7"/>
  <c r="A22" i="7"/>
  <c r="B22" i="7"/>
  <c r="F22" i="7"/>
  <c r="H22" i="7"/>
  <c r="J22" i="7"/>
  <c r="K22" i="7"/>
  <c r="L22" i="7"/>
  <c r="A23" i="7"/>
  <c r="B23" i="7"/>
  <c r="F23" i="7"/>
  <c r="H23" i="7"/>
  <c r="J23" i="7"/>
  <c r="K23" i="7"/>
  <c r="L23" i="7"/>
  <c r="A24" i="7"/>
  <c r="B24" i="7"/>
  <c r="F24" i="7"/>
  <c r="H24" i="7"/>
  <c r="I24" i="7"/>
  <c r="J24" i="7"/>
  <c r="K24" i="7"/>
  <c r="A25" i="7"/>
  <c r="B25" i="7"/>
  <c r="F25" i="7"/>
  <c r="H25" i="7"/>
  <c r="J25" i="7"/>
  <c r="K25" i="7"/>
  <c r="L25" i="7"/>
  <c r="A26" i="7"/>
  <c r="B26" i="7"/>
  <c r="F26" i="7"/>
  <c r="H26" i="7"/>
  <c r="J26" i="7"/>
  <c r="K26" i="7"/>
  <c r="L26" i="7"/>
  <c r="A27" i="7"/>
  <c r="B27" i="7"/>
  <c r="F27" i="7"/>
  <c r="H27" i="7"/>
  <c r="I27" i="7"/>
  <c r="J27" i="7"/>
  <c r="K27" i="7"/>
  <c r="A28" i="7"/>
  <c r="B28" i="7"/>
  <c r="F28" i="7"/>
  <c r="H28" i="7"/>
  <c r="J28" i="7"/>
  <c r="K28" i="7"/>
  <c r="L28" i="7"/>
  <c r="A29" i="7"/>
  <c r="B29" i="7"/>
  <c r="F29" i="7"/>
  <c r="H29" i="7"/>
  <c r="J29" i="7"/>
  <c r="K29" i="7"/>
  <c r="L29" i="7"/>
  <c r="A30" i="7"/>
  <c r="B30" i="7"/>
  <c r="F30" i="7"/>
  <c r="H30" i="7"/>
  <c r="J30" i="7"/>
  <c r="K30" i="7"/>
  <c r="L30" i="7"/>
  <c r="A31" i="7"/>
  <c r="B31" i="7"/>
  <c r="F31" i="7"/>
  <c r="H31" i="7"/>
  <c r="J31" i="7"/>
  <c r="K31" i="7"/>
  <c r="L31" i="7"/>
  <c r="A32" i="7"/>
  <c r="B32" i="7"/>
  <c r="F32" i="7"/>
  <c r="H32" i="7"/>
  <c r="J32" i="7"/>
  <c r="K32" i="7"/>
  <c r="L32" i="7"/>
  <c r="A33" i="7"/>
  <c r="B33" i="7"/>
  <c r="F33" i="7"/>
  <c r="H33" i="7"/>
  <c r="J33" i="7"/>
  <c r="K33" i="7"/>
  <c r="L33" i="7"/>
  <c r="A34" i="7"/>
  <c r="B34" i="7"/>
  <c r="F34" i="7"/>
  <c r="H34" i="7"/>
  <c r="I34" i="7"/>
  <c r="J34" i="7"/>
  <c r="K34" i="7"/>
  <c r="A35" i="7"/>
  <c r="B35" i="7"/>
  <c r="F35" i="7"/>
  <c r="H35" i="7"/>
  <c r="J35" i="7"/>
  <c r="K35" i="7"/>
  <c r="L35" i="7"/>
  <c r="A36" i="7"/>
  <c r="B36" i="7"/>
  <c r="F36" i="7"/>
  <c r="H36" i="7"/>
  <c r="I36" i="7"/>
  <c r="J36" i="7"/>
  <c r="K36" i="7"/>
  <c r="A37" i="7"/>
  <c r="B37" i="7"/>
  <c r="F37" i="7"/>
  <c r="H37" i="7"/>
  <c r="J37" i="7"/>
  <c r="K37" i="7"/>
  <c r="L37" i="7"/>
  <c r="A38" i="7"/>
  <c r="B38" i="7"/>
  <c r="F38" i="7"/>
  <c r="H38" i="7"/>
  <c r="J38" i="7"/>
  <c r="K38" i="7"/>
  <c r="L38" i="7"/>
  <c r="A39" i="7"/>
  <c r="B39" i="7"/>
  <c r="F39" i="7"/>
  <c r="H39" i="7"/>
  <c r="I39" i="7"/>
  <c r="J39" i="7"/>
  <c r="K39" i="7"/>
  <c r="A40" i="7"/>
  <c r="B40" i="7"/>
  <c r="F40" i="7"/>
  <c r="H40" i="7"/>
  <c r="J40" i="7"/>
  <c r="K40" i="7"/>
  <c r="L40" i="7"/>
  <c r="A41" i="7"/>
  <c r="B41" i="7"/>
  <c r="F41" i="7"/>
  <c r="H41" i="7"/>
  <c r="I41" i="7"/>
  <c r="J41" i="7"/>
  <c r="K41" i="7"/>
  <c r="L41" i="7"/>
  <c r="A42" i="7"/>
  <c r="B42" i="7"/>
  <c r="F42" i="7"/>
  <c r="H42" i="7"/>
  <c r="I42" i="7"/>
  <c r="J42" i="7"/>
  <c r="K42" i="7"/>
  <c r="L42" i="7"/>
  <c r="A43" i="7"/>
  <c r="B43" i="7"/>
  <c r="F43" i="7"/>
  <c r="H43" i="7"/>
  <c r="J43" i="7"/>
  <c r="K43" i="7"/>
  <c r="L43" i="7"/>
  <c r="A44" i="7"/>
  <c r="B44" i="7"/>
  <c r="F44" i="7"/>
  <c r="H44" i="7"/>
  <c r="J44" i="7"/>
  <c r="K44" i="7"/>
  <c r="L44" i="7"/>
  <c r="A45" i="7"/>
  <c r="B45" i="7"/>
  <c r="F45" i="7"/>
  <c r="H45" i="7"/>
  <c r="J45" i="7"/>
  <c r="K45" i="7"/>
  <c r="L45" i="7"/>
  <c r="A46" i="7"/>
  <c r="B46" i="7"/>
  <c r="F46" i="7"/>
  <c r="H46" i="7"/>
  <c r="J46" i="7"/>
  <c r="K46" i="7"/>
  <c r="L46" i="7"/>
  <c r="A47" i="7"/>
  <c r="B47" i="7"/>
  <c r="F47" i="7"/>
  <c r="H47" i="7"/>
  <c r="J47" i="7"/>
  <c r="K47" i="7"/>
  <c r="L47" i="7"/>
  <c r="A48" i="7"/>
  <c r="B48" i="7"/>
  <c r="F48" i="7"/>
  <c r="H48" i="7"/>
  <c r="J48" i="7"/>
  <c r="K48" i="7"/>
  <c r="L48" i="7"/>
  <c r="A49" i="7"/>
  <c r="B49" i="7"/>
  <c r="F49" i="7"/>
  <c r="H49" i="7"/>
  <c r="J49" i="7"/>
  <c r="K49" i="7"/>
  <c r="L49" i="7"/>
  <c r="A50" i="7"/>
  <c r="B50" i="7"/>
  <c r="F50" i="7"/>
  <c r="H50" i="7"/>
  <c r="I50" i="7"/>
  <c r="J50" i="7"/>
  <c r="K50" i="7"/>
  <c r="A51" i="7"/>
  <c r="B51" i="7"/>
  <c r="F51" i="7"/>
  <c r="H51" i="7"/>
  <c r="J51" i="7"/>
  <c r="K51" i="7"/>
  <c r="L51" i="7"/>
  <c r="A52" i="7"/>
  <c r="B52" i="7"/>
  <c r="F52" i="7"/>
  <c r="H52" i="7"/>
  <c r="J52" i="7"/>
  <c r="K52" i="7"/>
  <c r="L52" i="7"/>
  <c r="A53" i="7"/>
  <c r="B53" i="7"/>
  <c r="F53" i="7"/>
  <c r="H53" i="7"/>
  <c r="I53" i="7"/>
  <c r="J53" i="7"/>
  <c r="K53" i="7"/>
  <c r="A54" i="7"/>
  <c r="B54" i="7"/>
  <c r="F54" i="7"/>
  <c r="H54" i="7"/>
  <c r="J54" i="7"/>
  <c r="K54" i="7"/>
  <c r="L54" i="7"/>
  <c r="A55" i="7"/>
  <c r="B55" i="7"/>
  <c r="F55" i="7"/>
  <c r="H55" i="7"/>
  <c r="J55" i="7"/>
  <c r="K55" i="7"/>
  <c r="L55" i="7"/>
  <c r="A56" i="7"/>
  <c r="B56" i="7"/>
  <c r="F56" i="7"/>
  <c r="H56" i="7"/>
  <c r="J56" i="7"/>
  <c r="K56" i="7"/>
  <c r="L56" i="7"/>
  <c r="A57" i="7"/>
  <c r="B57" i="7"/>
  <c r="F57" i="7"/>
  <c r="H57" i="7"/>
  <c r="J57" i="7"/>
  <c r="K57" i="7"/>
  <c r="L57" i="7"/>
  <c r="A58" i="7"/>
  <c r="B58" i="7"/>
  <c r="F58" i="7"/>
  <c r="H58" i="7"/>
  <c r="J58" i="7"/>
  <c r="K58" i="7"/>
  <c r="L58" i="7"/>
  <c r="A59" i="7"/>
  <c r="B59" i="7"/>
  <c r="F59" i="7"/>
  <c r="H59" i="7"/>
  <c r="J59" i="7"/>
  <c r="K59" i="7"/>
  <c r="L59" i="7"/>
  <c r="A60" i="7"/>
  <c r="B60" i="7"/>
  <c r="F60" i="7"/>
  <c r="H60" i="7"/>
  <c r="J60" i="7"/>
  <c r="K60" i="7"/>
  <c r="L60" i="7"/>
  <c r="A61" i="7"/>
  <c r="B61" i="7"/>
  <c r="F61" i="7"/>
  <c r="H61" i="7"/>
  <c r="J61" i="7"/>
  <c r="K61" i="7"/>
  <c r="L61" i="7"/>
  <c r="A62" i="7"/>
  <c r="B62" i="7"/>
  <c r="F62" i="7"/>
  <c r="H62" i="7"/>
  <c r="J62" i="7"/>
  <c r="K62" i="7"/>
  <c r="L62" i="7"/>
  <c r="A63" i="7"/>
  <c r="B63" i="7"/>
  <c r="F63" i="7"/>
  <c r="H63" i="7"/>
  <c r="J63" i="7"/>
  <c r="K63" i="7"/>
  <c r="L63" i="7"/>
  <c r="A64" i="7"/>
  <c r="B64" i="7"/>
  <c r="F64" i="7"/>
  <c r="H64" i="7"/>
  <c r="J64" i="7"/>
  <c r="K64" i="7"/>
  <c r="L64" i="7"/>
  <c r="A65" i="7"/>
  <c r="B65" i="7"/>
  <c r="F65" i="7"/>
  <c r="H65" i="7"/>
  <c r="J65" i="7"/>
  <c r="K65" i="7"/>
  <c r="L65" i="7"/>
  <c r="A66" i="7"/>
  <c r="B66" i="7"/>
  <c r="F66" i="7"/>
  <c r="H66" i="7"/>
  <c r="J66" i="7"/>
  <c r="K66" i="7"/>
  <c r="L66" i="7"/>
  <c r="A67" i="7"/>
  <c r="B67" i="7"/>
  <c r="F67" i="7"/>
  <c r="H67" i="7"/>
  <c r="J67" i="7"/>
  <c r="K67" i="7"/>
  <c r="L67" i="7"/>
  <c r="A68" i="7"/>
  <c r="B68" i="7"/>
  <c r="F68" i="7"/>
  <c r="H68" i="7"/>
  <c r="J68" i="7"/>
  <c r="K68" i="7"/>
  <c r="L68" i="7"/>
  <c r="A69" i="7"/>
  <c r="B69" i="7"/>
  <c r="F69" i="7"/>
  <c r="H69" i="7"/>
  <c r="J69" i="7"/>
  <c r="K69" i="7"/>
  <c r="L69" i="7"/>
  <c r="A70" i="7"/>
  <c r="B70" i="7"/>
  <c r="F70" i="7"/>
  <c r="H70" i="7"/>
  <c r="I70" i="7"/>
  <c r="J70" i="7"/>
  <c r="K70" i="7"/>
  <c r="L70" i="7"/>
  <c r="A71" i="7"/>
  <c r="B71" i="7"/>
  <c r="F71" i="7"/>
  <c r="H71" i="7"/>
  <c r="J71" i="7"/>
  <c r="K71" i="7"/>
  <c r="L71" i="7"/>
  <c r="A72" i="7"/>
  <c r="B72" i="7"/>
  <c r="F72" i="7"/>
  <c r="H72" i="7"/>
  <c r="J72" i="7"/>
  <c r="K72" i="7"/>
  <c r="L72" i="7"/>
  <c r="A73" i="7"/>
  <c r="B73" i="7"/>
  <c r="F73" i="7"/>
  <c r="H73" i="7"/>
  <c r="J73" i="7"/>
  <c r="K73" i="7"/>
  <c r="L73" i="7"/>
  <c r="A74" i="7"/>
  <c r="B74" i="7"/>
  <c r="F74" i="7"/>
  <c r="H74" i="7"/>
  <c r="J74" i="7"/>
  <c r="K74" i="7"/>
  <c r="L74" i="7"/>
  <c r="A75" i="7"/>
  <c r="B75" i="7"/>
  <c r="F75" i="7"/>
  <c r="H75" i="7"/>
  <c r="J75" i="7"/>
  <c r="K75" i="7"/>
  <c r="L75" i="7"/>
  <c r="A76" i="7"/>
  <c r="B76" i="7"/>
  <c r="F76" i="7"/>
  <c r="H76" i="7"/>
  <c r="I76" i="7"/>
  <c r="J76" i="7"/>
  <c r="K76" i="7"/>
  <c r="A77" i="7"/>
  <c r="B77" i="7"/>
  <c r="F77" i="7"/>
  <c r="H77" i="7"/>
  <c r="J77" i="7"/>
  <c r="K77" i="7"/>
  <c r="L77" i="7"/>
  <c r="A78" i="7"/>
  <c r="B78" i="7"/>
  <c r="F78" i="7"/>
  <c r="H78" i="7"/>
  <c r="J78" i="7"/>
  <c r="K78" i="7"/>
  <c r="L78" i="7"/>
  <c r="A79" i="7"/>
  <c r="B79" i="7"/>
  <c r="F79" i="7"/>
  <c r="H79" i="7"/>
  <c r="J79" i="7"/>
  <c r="K79" i="7"/>
  <c r="L79" i="7"/>
  <c r="A80" i="7"/>
  <c r="B80" i="7"/>
  <c r="F80" i="7"/>
  <c r="H80" i="7"/>
  <c r="J80" i="7"/>
  <c r="K80" i="7"/>
  <c r="L80" i="7"/>
  <c r="A81" i="7"/>
  <c r="B81" i="7"/>
  <c r="F81" i="7"/>
  <c r="H81" i="7"/>
  <c r="J81" i="7"/>
  <c r="K81" i="7"/>
  <c r="L81" i="7"/>
  <c r="A82" i="7"/>
  <c r="B82" i="7"/>
  <c r="F82" i="7"/>
  <c r="H82" i="7"/>
  <c r="J82" i="7"/>
  <c r="K82" i="7"/>
  <c r="L82" i="7"/>
  <c r="A83" i="7"/>
  <c r="B83" i="7"/>
  <c r="F83" i="7"/>
  <c r="H83" i="7"/>
  <c r="J83" i="7"/>
  <c r="K83" i="7"/>
  <c r="L83" i="7"/>
  <c r="A84" i="7"/>
  <c r="B84" i="7"/>
  <c r="F84" i="7"/>
  <c r="H84" i="7"/>
  <c r="J84" i="7"/>
  <c r="K84" i="7"/>
  <c r="L84" i="7"/>
  <c r="A85" i="7"/>
  <c r="B85" i="7"/>
  <c r="F85" i="7"/>
  <c r="H85" i="7"/>
  <c r="J85" i="7"/>
  <c r="K85" i="7"/>
  <c r="L85" i="7"/>
  <c r="A86" i="7"/>
  <c r="B86" i="7"/>
  <c r="F86" i="7"/>
  <c r="H86" i="7"/>
  <c r="J86" i="7"/>
  <c r="K86" i="7"/>
  <c r="L86" i="7"/>
  <c r="A87" i="7"/>
  <c r="B87" i="7"/>
  <c r="F87" i="7"/>
  <c r="H87" i="7"/>
  <c r="J87" i="7"/>
  <c r="K87" i="7"/>
  <c r="L87" i="7"/>
  <c r="A88" i="7"/>
  <c r="B88" i="7"/>
  <c r="F88" i="7"/>
  <c r="H88" i="7"/>
  <c r="J88" i="7"/>
  <c r="K88" i="7"/>
  <c r="L88" i="7"/>
  <c r="A89" i="7"/>
  <c r="B89" i="7"/>
  <c r="F89" i="7"/>
  <c r="H89" i="7"/>
  <c r="J89" i="7"/>
  <c r="K89" i="7"/>
  <c r="L89" i="7"/>
  <c r="A90" i="7"/>
  <c r="B90" i="7"/>
  <c r="F90" i="7"/>
  <c r="H90" i="7"/>
  <c r="J90" i="7"/>
  <c r="K90" i="7"/>
  <c r="L90" i="7"/>
  <c r="A91" i="7"/>
  <c r="B91" i="7"/>
  <c r="F91" i="7"/>
  <c r="H91" i="7"/>
  <c r="J91" i="7"/>
  <c r="K91" i="7"/>
  <c r="L91" i="7"/>
  <c r="A92" i="7"/>
  <c r="B92" i="7"/>
  <c r="F92" i="7"/>
  <c r="H92" i="7"/>
  <c r="J92" i="7"/>
  <c r="K92" i="7"/>
  <c r="L92" i="7"/>
  <c r="A93" i="7"/>
  <c r="B93" i="7"/>
  <c r="F93" i="7"/>
  <c r="H93" i="7"/>
  <c r="J93" i="7"/>
  <c r="K93" i="7"/>
  <c r="L93" i="7"/>
  <c r="A94" i="7"/>
  <c r="B94" i="7"/>
  <c r="F94" i="7"/>
  <c r="H94" i="7"/>
  <c r="J94" i="7"/>
  <c r="K94" i="7"/>
  <c r="L94" i="7"/>
  <c r="A95" i="7"/>
  <c r="B95" i="7"/>
  <c r="F95" i="7"/>
  <c r="H95" i="7"/>
  <c r="I95" i="7"/>
  <c r="J95" i="7"/>
  <c r="K95" i="7"/>
  <c r="A96" i="7"/>
  <c r="B96" i="7"/>
  <c r="F96" i="7"/>
  <c r="H96" i="7"/>
  <c r="J96" i="7"/>
  <c r="K96" i="7"/>
  <c r="L96" i="7"/>
  <c r="A97" i="7"/>
  <c r="B97" i="7"/>
  <c r="F97" i="7"/>
  <c r="H97" i="7"/>
  <c r="J97" i="7"/>
  <c r="K97" i="7"/>
  <c r="L97" i="7"/>
  <c r="A98" i="7"/>
  <c r="B98" i="7"/>
  <c r="F98" i="7"/>
  <c r="H98" i="7"/>
  <c r="J98" i="7"/>
  <c r="K98" i="7"/>
  <c r="L98" i="7"/>
  <c r="A99" i="7"/>
  <c r="B99" i="7"/>
  <c r="F99" i="7"/>
  <c r="H99" i="7"/>
  <c r="J99" i="7"/>
  <c r="K99" i="7"/>
  <c r="L99" i="7"/>
  <c r="A100" i="7"/>
  <c r="B100" i="7"/>
  <c r="F100" i="7"/>
  <c r="H100" i="7"/>
  <c r="J100" i="7"/>
  <c r="K100" i="7"/>
  <c r="L100" i="7"/>
  <c r="A101" i="7"/>
  <c r="B101" i="7"/>
  <c r="F101" i="7"/>
  <c r="H101" i="7"/>
  <c r="J101" i="7"/>
  <c r="K101" i="7"/>
  <c r="L101" i="7"/>
  <c r="A102" i="7"/>
  <c r="B102" i="7"/>
  <c r="F102" i="7"/>
  <c r="H102" i="7"/>
  <c r="I102" i="7"/>
  <c r="J102" i="7"/>
  <c r="K102" i="7"/>
  <c r="A103" i="7"/>
  <c r="B103" i="7"/>
  <c r="F103" i="7"/>
  <c r="H103" i="7"/>
  <c r="J103" i="7"/>
  <c r="K103" i="7"/>
  <c r="L103" i="7"/>
  <c r="A104" i="7"/>
  <c r="B104" i="7"/>
  <c r="F104" i="7"/>
  <c r="H104" i="7"/>
  <c r="J104" i="7"/>
  <c r="K104" i="7"/>
  <c r="L104" i="7"/>
  <c r="A105" i="7"/>
  <c r="B105" i="7"/>
  <c r="F105" i="7"/>
  <c r="H105" i="7"/>
  <c r="I105" i="7"/>
  <c r="J105" i="7"/>
  <c r="K105" i="7"/>
  <c r="L105" i="7"/>
  <c r="A106" i="7"/>
  <c r="B106" i="7"/>
  <c r="F106" i="7"/>
  <c r="H106" i="7"/>
  <c r="J106" i="7"/>
  <c r="K106" i="7"/>
  <c r="L106" i="7"/>
  <c r="A107" i="7"/>
  <c r="B107" i="7"/>
  <c r="F107" i="7"/>
  <c r="H107" i="7"/>
  <c r="J107" i="7"/>
  <c r="K107" i="7"/>
  <c r="L107" i="7"/>
  <c r="A108" i="7"/>
  <c r="B108" i="7"/>
  <c r="F108" i="7"/>
  <c r="H108" i="7"/>
  <c r="J108" i="7"/>
  <c r="K108" i="7"/>
  <c r="L108" i="7"/>
  <c r="A109" i="7"/>
  <c r="B109" i="7"/>
  <c r="F109" i="7"/>
  <c r="H109" i="7"/>
  <c r="J109" i="7"/>
  <c r="K109" i="7"/>
  <c r="L109" i="7"/>
  <c r="A110" i="7"/>
  <c r="B110" i="7"/>
  <c r="F110" i="7"/>
  <c r="H110" i="7"/>
  <c r="J110" i="7"/>
  <c r="K110" i="7"/>
  <c r="L110" i="7"/>
  <c r="A111" i="7"/>
  <c r="B111" i="7"/>
  <c r="F111" i="7"/>
  <c r="H111" i="7"/>
  <c r="J111" i="7"/>
  <c r="K111" i="7"/>
  <c r="L111" i="7"/>
  <c r="A112" i="7"/>
  <c r="B112" i="7"/>
  <c r="F112" i="7"/>
  <c r="H112" i="7"/>
  <c r="J112" i="7"/>
  <c r="K112" i="7"/>
  <c r="L112" i="7"/>
  <c r="A113" i="7"/>
  <c r="B113" i="7"/>
  <c r="F113" i="7"/>
  <c r="H113" i="7"/>
  <c r="J113" i="7"/>
  <c r="K113" i="7"/>
  <c r="L113" i="7"/>
  <c r="A114" i="7"/>
  <c r="B114" i="7"/>
  <c r="F114" i="7"/>
  <c r="H114" i="7"/>
  <c r="J114" i="7"/>
  <c r="K114" i="7"/>
  <c r="L114" i="7"/>
  <c r="A115" i="7"/>
  <c r="B115" i="7"/>
  <c r="F115" i="7"/>
  <c r="H115" i="7"/>
  <c r="J115" i="7"/>
  <c r="K115" i="7"/>
  <c r="L115" i="7"/>
  <c r="A116" i="7"/>
  <c r="B116" i="7"/>
  <c r="F116" i="7"/>
  <c r="H116" i="7"/>
  <c r="J116" i="7"/>
  <c r="K116" i="7"/>
  <c r="L116" i="7"/>
  <c r="A117" i="7"/>
  <c r="B117" i="7"/>
  <c r="F117" i="7"/>
  <c r="H117" i="7"/>
  <c r="J117" i="7"/>
  <c r="K117" i="7"/>
  <c r="L117" i="7"/>
  <c r="A118" i="7"/>
  <c r="B118" i="7"/>
  <c r="F118" i="7"/>
  <c r="H118" i="7"/>
  <c r="J118" i="7"/>
  <c r="K118" i="7"/>
  <c r="L118" i="7"/>
  <c r="A119" i="7"/>
  <c r="B119" i="7"/>
  <c r="F119" i="7"/>
  <c r="H119" i="7"/>
  <c r="J119" i="7"/>
  <c r="K119" i="7"/>
  <c r="L119" i="7"/>
  <c r="A120" i="7"/>
  <c r="B120" i="7"/>
  <c r="F120" i="7"/>
  <c r="H120" i="7"/>
  <c r="J120" i="7"/>
  <c r="K120" i="7"/>
  <c r="L120" i="7"/>
  <c r="A121" i="7"/>
  <c r="B121" i="7"/>
  <c r="F121" i="7"/>
  <c r="H121" i="7"/>
  <c r="I121" i="7"/>
  <c r="J121" i="7"/>
  <c r="K121" i="7"/>
  <c r="A122" i="7"/>
  <c r="B122" i="7"/>
  <c r="F122" i="7"/>
  <c r="H122" i="7"/>
  <c r="J122" i="7"/>
  <c r="K122" i="7"/>
  <c r="L122" i="7"/>
  <c r="A123" i="7"/>
  <c r="B123" i="7"/>
  <c r="F123" i="7"/>
  <c r="H123" i="7"/>
  <c r="J123" i="7"/>
  <c r="K123" i="7"/>
  <c r="L123" i="7"/>
  <c r="A124" i="7"/>
  <c r="B124" i="7"/>
  <c r="F124" i="7"/>
  <c r="H124" i="7"/>
  <c r="J124" i="7"/>
  <c r="K124" i="7"/>
  <c r="L124" i="7"/>
  <c r="A125" i="7"/>
  <c r="B125" i="7"/>
  <c r="F125" i="7"/>
  <c r="H125" i="7"/>
  <c r="J125" i="7"/>
  <c r="K125" i="7"/>
  <c r="L125" i="7"/>
  <c r="A126" i="7"/>
  <c r="B126" i="7"/>
  <c r="F126" i="7"/>
  <c r="H126" i="7"/>
  <c r="J126" i="7"/>
  <c r="K126" i="7"/>
  <c r="L126" i="7"/>
  <c r="A127" i="7"/>
  <c r="B127" i="7"/>
  <c r="F127" i="7"/>
  <c r="H127" i="7"/>
  <c r="J127" i="7"/>
  <c r="K127" i="7"/>
  <c r="L127" i="7"/>
  <c r="A128" i="7"/>
  <c r="B128" i="7"/>
  <c r="F128" i="7"/>
  <c r="H128" i="7"/>
  <c r="I128" i="7"/>
  <c r="J128" i="7"/>
  <c r="K128" i="7"/>
  <c r="A129" i="7"/>
  <c r="B129" i="7"/>
  <c r="F129" i="7"/>
  <c r="H129" i="7"/>
  <c r="J129" i="7"/>
  <c r="K129" i="7"/>
  <c r="L129" i="7"/>
  <c r="A130" i="7"/>
  <c r="B130" i="7"/>
  <c r="F130" i="7"/>
  <c r="H130" i="7"/>
  <c r="I130" i="7"/>
  <c r="J130" i="7"/>
  <c r="K130" i="7"/>
  <c r="A131" i="7"/>
  <c r="B131" i="7"/>
  <c r="F131" i="7"/>
  <c r="H131" i="7"/>
  <c r="J131" i="7"/>
  <c r="K131" i="7"/>
  <c r="L131" i="7"/>
  <c r="A132" i="7"/>
  <c r="B132" i="7"/>
  <c r="F132" i="7"/>
  <c r="H132" i="7"/>
  <c r="J132" i="7"/>
  <c r="K132" i="7"/>
  <c r="L132" i="7"/>
  <c r="A133" i="7"/>
  <c r="B133" i="7"/>
  <c r="F133" i="7"/>
  <c r="H133" i="7"/>
  <c r="J133" i="7"/>
  <c r="K133" i="7"/>
  <c r="L133" i="7"/>
  <c r="A134" i="7"/>
  <c r="B134" i="7"/>
  <c r="F134" i="7"/>
  <c r="H134" i="7"/>
  <c r="J134" i="7"/>
  <c r="K134" i="7"/>
  <c r="A135" i="7"/>
  <c r="B135" i="7"/>
  <c r="F135" i="7"/>
  <c r="H135" i="7"/>
  <c r="J135" i="7"/>
  <c r="K135" i="7"/>
  <c r="L135" i="7"/>
  <c r="A136" i="7"/>
  <c r="B136" i="7"/>
  <c r="F136" i="7"/>
  <c r="H136" i="7"/>
  <c r="J136" i="7"/>
  <c r="K136" i="7"/>
  <c r="L136" i="7"/>
  <c r="A137" i="7"/>
  <c r="B137" i="7"/>
  <c r="F137" i="7"/>
  <c r="H137" i="7"/>
  <c r="J137" i="7"/>
  <c r="K137" i="7"/>
  <c r="L137" i="7"/>
  <c r="A138" i="7"/>
  <c r="B138" i="7"/>
  <c r="F138" i="7"/>
  <c r="H138" i="7"/>
  <c r="J138" i="7"/>
  <c r="K138" i="7"/>
  <c r="A139" i="7"/>
  <c r="B139" i="7"/>
  <c r="F139" i="7"/>
  <c r="H139" i="7"/>
  <c r="J139" i="7"/>
  <c r="K139" i="7"/>
  <c r="L139" i="7"/>
  <c r="A140" i="7"/>
  <c r="B140" i="7"/>
  <c r="F140" i="7"/>
  <c r="H140" i="7"/>
  <c r="J140" i="7"/>
  <c r="K140" i="7"/>
  <c r="L140" i="7"/>
  <c r="A141" i="7"/>
  <c r="B141" i="7"/>
  <c r="F141" i="7"/>
  <c r="H141" i="7"/>
  <c r="J141" i="7"/>
  <c r="K141" i="7"/>
  <c r="L141" i="7"/>
  <c r="A142" i="7"/>
  <c r="B142" i="7"/>
  <c r="F142" i="7"/>
  <c r="H142" i="7"/>
  <c r="J142" i="7"/>
  <c r="K142" i="7"/>
  <c r="L142" i="7"/>
  <c r="A143" i="7"/>
  <c r="B143" i="7"/>
  <c r="F143" i="7"/>
  <c r="H143" i="7"/>
  <c r="J143" i="7"/>
  <c r="K143" i="7"/>
  <c r="L143" i="7"/>
  <c r="A144" i="7"/>
  <c r="B144" i="7"/>
  <c r="F144" i="7"/>
  <c r="H144" i="7"/>
  <c r="J144" i="7"/>
  <c r="K144" i="7"/>
  <c r="L144" i="7"/>
  <c r="A145" i="7"/>
  <c r="B145" i="7"/>
  <c r="F145" i="7"/>
  <c r="H145" i="7"/>
  <c r="J145" i="7"/>
  <c r="K145" i="7"/>
  <c r="L145" i="7"/>
  <c r="A146" i="7"/>
  <c r="B146" i="7"/>
  <c r="F146" i="7"/>
  <c r="H146" i="7"/>
  <c r="J146" i="7"/>
  <c r="K146" i="7"/>
  <c r="A147" i="7"/>
  <c r="B147" i="7"/>
  <c r="F147" i="7"/>
  <c r="H147" i="7"/>
  <c r="J147" i="7"/>
  <c r="K147" i="7"/>
  <c r="L147" i="7"/>
  <c r="A148" i="7"/>
  <c r="B148" i="7"/>
  <c r="F148" i="7"/>
  <c r="H148" i="7"/>
  <c r="J148" i="7"/>
  <c r="K148" i="7"/>
  <c r="L148" i="7"/>
  <c r="A149" i="7"/>
  <c r="B149" i="7"/>
  <c r="F149" i="7"/>
  <c r="H149" i="7"/>
  <c r="J149" i="7"/>
  <c r="K149" i="7"/>
  <c r="A150" i="7"/>
  <c r="B150" i="7"/>
  <c r="F150" i="7"/>
  <c r="H150" i="7"/>
  <c r="J150" i="7"/>
  <c r="K150" i="7"/>
  <c r="L150" i="7"/>
  <c r="A151" i="7"/>
  <c r="B151" i="7"/>
  <c r="F151" i="7"/>
  <c r="H151" i="7"/>
  <c r="J151" i="7"/>
  <c r="K151" i="7"/>
  <c r="L151" i="7"/>
  <c r="A152" i="7"/>
  <c r="B152" i="7"/>
  <c r="F152" i="7"/>
  <c r="H152" i="7"/>
  <c r="J152" i="7"/>
  <c r="K152" i="7"/>
  <c r="L152" i="7"/>
  <c r="A153" i="7"/>
  <c r="B153" i="7"/>
  <c r="F153" i="7"/>
  <c r="H153" i="7"/>
  <c r="J153" i="7"/>
  <c r="K153" i="7"/>
  <c r="L153" i="7"/>
  <c r="A154" i="7"/>
  <c r="B154" i="7"/>
  <c r="F154" i="7"/>
  <c r="H154" i="7"/>
  <c r="J154" i="7"/>
  <c r="K154" i="7"/>
  <c r="L154" i="7"/>
  <c r="A155" i="7"/>
  <c r="B155" i="7"/>
  <c r="F155" i="7"/>
  <c r="H155" i="7"/>
  <c r="J155" i="7"/>
  <c r="K155" i="7"/>
  <c r="L155" i="7"/>
  <c r="A156" i="7"/>
  <c r="B156" i="7"/>
  <c r="F156" i="7"/>
  <c r="H156" i="7"/>
  <c r="J156" i="7"/>
  <c r="K156" i="7"/>
  <c r="A157" i="7"/>
  <c r="B157" i="7"/>
  <c r="F157" i="7"/>
  <c r="H157" i="7"/>
  <c r="J157" i="7"/>
  <c r="K157" i="7"/>
  <c r="L157" i="7"/>
  <c r="A158" i="7"/>
  <c r="B158" i="7"/>
  <c r="F158" i="7"/>
  <c r="H158" i="7"/>
  <c r="J158" i="7"/>
  <c r="K158" i="7"/>
  <c r="A159" i="7"/>
  <c r="B159" i="7"/>
  <c r="F159" i="7"/>
  <c r="H159" i="7"/>
  <c r="J159" i="7"/>
  <c r="K159" i="7"/>
  <c r="L159" i="7"/>
  <c r="A160" i="7"/>
  <c r="B160" i="7"/>
  <c r="F160" i="7"/>
  <c r="H160" i="7"/>
  <c r="J160" i="7"/>
  <c r="K160" i="7"/>
  <c r="L160" i="7"/>
  <c r="A161" i="7"/>
  <c r="B161" i="7"/>
  <c r="F161" i="7"/>
  <c r="H161" i="7"/>
  <c r="J161" i="7"/>
  <c r="K161" i="7"/>
  <c r="A162" i="7"/>
  <c r="B162" i="7"/>
  <c r="F162" i="7"/>
  <c r="H162" i="7"/>
  <c r="J162" i="7"/>
  <c r="K162" i="7"/>
  <c r="L162" i="7"/>
  <c r="A163" i="7"/>
  <c r="B163" i="7"/>
  <c r="F163" i="7"/>
  <c r="H163" i="7"/>
  <c r="J163" i="7"/>
  <c r="K163" i="7"/>
  <c r="L163" i="7"/>
  <c r="A164" i="7"/>
  <c r="B164" i="7"/>
  <c r="F164" i="7"/>
  <c r="H164" i="7"/>
  <c r="J164" i="7"/>
  <c r="K164" i="7"/>
  <c r="L164" i="7"/>
  <c r="A165" i="7"/>
  <c r="B165" i="7"/>
  <c r="F165" i="7"/>
  <c r="H165" i="7"/>
  <c r="J165" i="7"/>
  <c r="K165" i="7"/>
  <c r="L165" i="7"/>
  <c r="A166" i="7"/>
  <c r="B166" i="7"/>
  <c r="F166" i="7"/>
  <c r="H166" i="7"/>
  <c r="J166" i="7"/>
  <c r="K166" i="7"/>
  <c r="L166" i="7"/>
  <c r="A167" i="7"/>
  <c r="B167" i="7"/>
  <c r="F167" i="7"/>
  <c r="H167" i="7"/>
  <c r="J167" i="7"/>
  <c r="K167" i="7"/>
  <c r="L167" i="7"/>
  <c r="A168" i="7"/>
  <c r="B168" i="7"/>
  <c r="F168" i="7"/>
  <c r="H168" i="7"/>
  <c r="J168" i="7"/>
  <c r="K168" i="7"/>
  <c r="L168" i="7"/>
  <c r="A169" i="7"/>
  <c r="B169" i="7"/>
  <c r="F169" i="7"/>
  <c r="H169" i="7"/>
  <c r="J169" i="7"/>
  <c r="K169" i="7"/>
  <c r="L169" i="7"/>
  <c r="A170" i="7"/>
  <c r="B170" i="7"/>
  <c r="F170" i="7"/>
  <c r="H170" i="7"/>
  <c r="J170" i="7"/>
  <c r="K170" i="7"/>
  <c r="L170" i="7"/>
  <c r="A171" i="7"/>
  <c r="B171" i="7"/>
  <c r="F171" i="7"/>
  <c r="H171" i="7"/>
  <c r="J171" i="7"/>
  <c r="K171" i="7"/>
  <c r="L171" i="7"/>
  <c r="A172" i="7"/>
  <c r="B172" i="7"/>
  <c r="F172" i="7"/>
  <c r="H172" i="7"/>
  <c r="J172" i="7"/>
  <c r="K172" i="7"/>
  <c r="A173" i="7"/>
  <c r="B173" i="7"/>
  <c r="F173" i="7"/>
  <c r="H173" i="7"/>
  <c r="J173" i="7"/>
  <c r="K173" i="7"/>
  <c r="L173" i="7"/>
  <c r="A174" i="7"/>
  <c r="B174" i="7"/>
  <c r="F174" i="7"/>
  <c r="H174" i="7"/>
  <c r="J174" i="7"/>
  <c r="K174" i="7"/>
  <c r="L174" i="7"/>
  <c r="A175" i="7"/>
  <c r="B175" i="7"/>
  <c r="F175" i="7"/>
  <c r="H175" i="7"/>
  <c r="J175" i="7"/>
  <c r="K175" i="7"/>
  <c r="A176" i="7"/>
  <c r="B176" i="7"/>
  <c r="F176" i="7"/>
  <c r="H176" i="7"/>
  <c r="J176" i="7"/>
  <c r="K176" i="7"/>
  <c r="L176" i="7"/>
  <c r="A177" i="7"/>
  <c r="B177" i="7"/>
  <c r="F177" i="7"/>
  <c r="H177" i="7"/>
  <c r="J177" i="7"/>
  <c r="K177" i="7"/>
  <c r="L177" i="7"/>
  <c r="A178" i="7"/>
  <c r="B178" i="7"/>
  <c r="F178" i="7"/>
  <c r="H178" i="7"/>
  <c r="J178" i="7"/>
  <c r="K178" i="7"/>
  <c r="L178" i="7"/>
  <c r="A179" i="7"/>
  <c r="B179" i="7"/>
  <c r="F179" i="7"/>
  <c r="H179" i="7"/>
  <c r="J179" i="7"/>
  <c r="K179" i="7"/>
  <c r="L179" i="7"/>
  <c r="A180" i="7"/>
  <c r="B180" i="7"/>
  <c r="F180" i="7"/>
  <c r="H180" i="7"/>
  <c r="J180" i="7"/>
  <c r="K180" i="7"/>
  <c r="L180" i="7"/>
  <c r="A181" i="7"/>
  <c r="B181" i="7"/>
  <c r="F181" i="7"/>
  <c r="H181" i="7"/>
  <c r="J181" i="7"/>
  <c r="K181" i="7"/>
  <c r="L181" i="7"/>
  <c r="A182" i="7"/>
  <c r="B182" i="7"/>
  <c r="F182" i="7"/>
  <c r="H182" i="7"/>
  <c r="J182" i="7"/>
  <c r="K182" i="7"/>
  <c r="L182" i="7"/>
  <c r="A183" i="7"/>
  <c r="B183" i="7"/>
  <c r="F183" i="7"/>
  <c r="H183" i="7"/>
  <c r="J183" i="7"/>
  <c r="K183" i="7"/>
  <c r="L183" i="7"/>
  <c r="A184" i="7"/>
  <c r="B184" i="7"/>
  <c r="F184" i="7"/>
  <c r="H184" i="7"/>
  <c r="J184" i="7"/>
  <c r="K184" i="7"/>
  <c r="L184" i="7"/>
  <c r="A185" i="7"/>
  <c r="B185" i="7"/>
  <c r="F185" i="7"/>
  <c r="H185" i="7"/>
  <c r="J185" i="7"/>
  <c r="K185" i="7"/>
  <c r="L185" i="7"/>
  <c r="A186" i="7"/>
  <c r="B186" i="7"/>
  <c r="F186" i="7"/>
  <c r="H186" i="7"/>
  <c r="J186" i="7"/>
  <c r="K186" i="7"/>
  <c r="L186" i="7"/>
  <c r="A187" i="7"/>
  <c r="B187" i="7"/>
  <c r="F187" i="7"/>
  <c r="H187" i="7"/>
  <c r="J187" i="7"/>
  <c r="K187" i="7"/>
  <c r="L187" i="7"/>
  <c r="A188" i="7"/>
  <c r="B188" i="7"/>
  <c r="F188" i="7"/>
  <c r="H188" i="7"/>
  <c r="J188" i="7"/>
  <c r="K188" i="7"/>
  <c r="L188" i="7"/>
  <c r="A189" i="7"/>
  <c r="B189" i="7"/>
  <c r="F189" i="7"/>
  <c r="H189" i="7"/>
  <c r="J189" i="7"/>
  <c r="K189" i="7"/>
  <c r="L189" i="7"/>
  <c r="A190" i="7"/>
  <c r="B190" i="7"/>
  <c r="F190" i="7"/>
  <c r="H190" i="7"/>
  <c r="J190" i="7"/>
  <c r="K190" i="7"/>
  <c r="L190" i="7"/>
  <c r="A191" i="7"/>
  <c r="B191" i="7"/>
  <c r="F191" i="7"/>
  <c r="H191" i="7"/>
  <c r="J191" i="7"/>
  <c r="K191" i="7"/>
  <c r="L191" i="7"/>
  <c r="A192" i="7"/>
  <c r="B192" i="7"/>
  <c r="F192" i="7"/>
  <c r="H192" i="7"/>
  <c r="J192" i="7"/>
  <c r="K192" i="7"/>
  <c r="L192" i="7"/>
  <c r="A193" i="7"/>
  <c r="B193" i="7"/>
  <c r="F193" i="7"/>
  <c r="H193" i="7"/>
  <c r="J193" i="7"/>
  <c r="K193" i="7"/>
  <c r="L193" i="7"/>
  <c r="A194" i="7"/>
  <c r="B194" i="7"/>
  <c r="F194" i="7"/>
  <c r="H194" i="7"/>
  <c r="J194" i="7"/>
  <c r="K194" i="7"/>
  <c r="L194" i="7"/>
  <c r="A195" i="7"/>
  <c r="B195" i="7"/>
  <c r="F195" i="7"/>
  <c r="H195" i="7"/>
  <c r="J195" i="7"/>
  <c r="K195" i="7"/>
  <c r="L195" i="7"/>
  <c r="A196" i="7"/>
  <c r="B196" i="7"/>
  <c r="F196" i="7"/>
  <c r="H196" i="7"/>
  <c r="J196" i="7"/>
  <c r="K196" i="7"/>
  <c r="L196" i="7"/>
  <c r="A197" i="7"/>
  <c r="B197" i="7"/>
  <c r="F197" i="7"/>
  <c r="H197" i="7"/>
  <c r="J197" i="7"/>
  <c r="K197" i="7"/>
  <c r="L197" i="7"/>
  <c r="A198" i="7"/>
  <c r="B198" i="7"/>
  <c r="F198" i="7"/>
  <c r="H198" i="7"/>
  <c r="J198" i="7"/>
  <c r="K198" i="7"/>
  <c r="A199" i="7"/>
  <c r="B199" i="7"/>
  <c r="F199" i="7"/>
  <c r="H199" i="7"/>
  <c r="J199" i="7"/>
  <c r="K199" i="7"/>
  <c r="L199" i="7"/>
  <c r="A200" i="7"/>
  <c r="B200" i="7"/>
  <c r="F200" i="7"/>
  <c r="H200" i="7"/>
  <c r="J200" i="7"/>
  <c r="K200" i="7"/>
  <c r="L200" i="7"/>
  <c r="A201" i="7"/>
  <c r="B201" i="7"/>
  <c r="F201" i="7"/>
  <c r="H201" i="7"/>
  <c r="J201" i="7"/>
  <c r="K201" i="7"/>
  <c r="L201" i="7"/>
  <c r="A202" i="7"/>
  <c r="B202" i="7"/>
  <c r="F202" i="7"/>
  <c r="H202" i="7"/>
  <c r="J202" i="7"/>
  <c r="K202" i="7"/>
  <c r="L202" i="7"/>
  <c r="A203" i="7"/>
  <c r="B203" i="7"/>
  <c r="F203" i="7"/>
  <c r="H203" i="7"/>
  <c r="J203" i="7"/>
  <c r="K203" i="7"/>
  <c r="L203" i="7"/>
  <c r="A204" i="7"/>
  <c r="B204" i="7"/>
  <c r="F204" i="7"/>
  <c r="H204" i="7"/>
  <c r="J204" i="7"/>
  <c r="K204" i="7"/>
  <c r="L204" i="7"/>
  <c r="A205" i="7"/>
  <c r="B205" i="7"/>
  <c r="F205" i="7"/>
  <c r="H205" i="7"/>
  <c r="J205" i="7"/>
  <c r="K205" i="7"/>
  <c r="L205" i="7"/>
  <c r="A206" i="7"/>
  <c r="B206" i="7"/>
  <c r="F206" i="7"/>
  <c r="H206" i="7"/>
  <c r="J206" i="7"/>
  <c r="K206" i="7"/>
  <c r="L206" i="7"/>
  <c r="A207" i="7"/>
  <c r="B207" i="7"/>
  <c r="F207" i="7"/>
  <c r="H207" i="7"/>
  <c r="J207" i="7"/>
  <c r="K207" i="7"/>
  <c r="L207" i="7"/>
  <c r="A208" i="7"/>
  <c r="B208" i="7"/>
  <c r="F208" i="7"/>
  <c r="H208" i="7"/>
  <c r="J208" i="7"/>
  <c r="K208" i="7"/>
  <c r="L208" i="7"/>
  <c r="A209" i="7"/>
  <c r="B209" i="7"/>
  <c r="F209" i="7"/>
  <c r="H209" i="7"/>
  <c r="J209" i="7"/>
  <c r="K209" i="7"/>
  <c r="L209" i="7"/>
  <c r="A210" i="7"/>
  <c r="B210" i="7"/>
  <c r="F210" i="7"/>
  <c r="H210" i="7"/>
  <c r="J210" i="7"/>
  <c r="K210" i="7"/>
  <c r="L210" i="7"/>
  <c r="A211" i="7"/>
  <c r="B211" i="7"/>
  <c r="F211" i="7"/>
  <c r="H211" i="7"/>
  <c r="J211" i="7"/>
  <c r="K211" i="7"/>
  <c r="L211" i="7"/>
  <c r="A212" i="7"/>
  <c r="B212" i="7"/>
  <c r="F212" i="7"/>
  <c r="H212" i="7"/>
  <c r="J212" i="7"/>
  <c r="K212" i="7"/>
  <c r="L212" i="7"/>
  <c r="A213" i="7"/>
  <c r="B213" i="7"/>
  <c r="F213" i="7"/>
  <c r="H213" i="7"/>
  <c r="J213" i="7"/>
  <c r="K213" i="7"/>
  <c r="L213" i="7"/>
  <c r="A214" i="7"/>
  <c r="B214" i="7"/>
  <c r="F214" i="7"/>
  <c r="H214" i="7"/>
  <c r="J214" i="7"/>
  <c r="K214" i="7"/>
  <c r="L214" i="7"/>
  <c r="A215" i="7"/>
  <c r="B215" i="7"/>
  <c r="F215" i="7"/>
  <c r="H215" i="7"/>
  <c r="J215" i="7"/>
  <c r="K215" i="7"/>
  <c r="L215" i="7"/>
  <c r="A216" i="7"/>
  <c r="B216" i="7"/>
  <c r="F216" i="7"/>
  <c r="H216" i="7"/>
  <c r="J216" i="7"/>
  <c r="K216" i="7"/>
  <c r="L216" i="7"/>
  <c r="A217" i="7"/>
  <c r="B217" i="7"/>
  <c r="F217" i="7"/>
  <c r="H217" i="7"/>
  <c r="J217" i="7"/>
  <c r="K217" i="7"/>
  <c r="A218" i="7"/>
  <c r="B218" i="7"/>
  <c r="F218" i="7"/>
  <c r="H218" i="7"/>
  <c r="J218" i="7"/>
  <c r="K218" i="7"/>
  <c r="L218" i="7"/>
  <c r="A219" i="7"/>
  <c r="B219" i="7"/>
  <c r="F219" i="7"/>
  <c r="H219" i="7"/>
  <c r="J219" i="7"/>
  <c r="K219" i="7"/>
  <c r="L219" i="7"/>
  <c r="A220" i="7"/>
  <c r="B220" i="7"/>
  <c r="F220" i="7"/>
  <c r="H220" i="7"/>
  <c r="J220" i="7"/>
  <c r="K220" i="7"/>
  <c r="L220" i="7"/>
  <c r="A221" i="7"/>
  <c r="B221" i="7"/>
  <c r="F221" i="7"/>
  <c r="H221" i="7"/>
  <c r="J221" i="7"/>
  <c r="K221" i="7"/>
  <c r="L221" i="7"/>
  <c r="A222" i="7"/>
  <c r="B222" i="7"/>
  <c r="F222" i="7"/>
  <c r="H222" i="7"/>
  <c r="J222" i="7"/>
  <c r="K222" i="7"/>
  <c r="L222" i="7"/>
  <c r="A223" i="7"/>
  <c r="B223" i="7"/>
  <c r="F223" i="7"/>
  <c r="H223" i="7"/>
  <c r="J223" i="7"/>
  <c r="K223" i="7"/>
  <c r="L223" i="7"/>
  <c r="A224" i="7"/>
  <c r="B224" i="7"/>
  <c r="F224" i="7"/>
  <c r="H224" i="7"/>
  <c r="J224" i="7"/>
  <c r="K224" i="7"/>
  <c r="A225" i="7"/>
  <c r="B225" i="7"/>
  <c r="F225" i="7"/>
  <c r="H225" i="7"/>
  <c r="J225" i="7"/>
  <c r="K225" i="7"/>
  <c r="L225" i="7"/>
  <c r="A226" i="7"/>
  <c r="B226" i="7"/>
  <c r="F226" i="7"/>
  <c r="H226" i="7"/>
  <c r="J226" i="7"/>
  <c r="K226" i="7"/>
  <c r="L226" i="7"/>
  <c r="A227" i="7"/>
  <c r="B227" i="7"/>
  <c r="F227" i="7"/>
  <c r="H227" i="7"/>
  <c r="J227" i="7"/>
  <c r="K227" i="7"/>
  <c r="L227" i="7"/>
  <c r="A228" i="7"/>
  <c r="B228" i="7"/>
  <c r="F228" i="7"/>
  <c r="H228" i="7"/>
  <c r="J228" i="7"/>
  <c r="K228" i="7"/>
  <c r="L228" i="7"/>
  <c r="A229" i="7"/>
  <c r="B229" i="7"/>
  <c r="F229" i="7"/>
  <c r="H229" i="7"/>
  <c r="J229" i="7"/>
  <c r="K229" i="7"/>
  <c r="L229" i="7"/>
  <c r="A230" i="7"/>
  <c r="B230" i="7"/>
  <c r="F230" i="7"/>
  <c r="H230" i="7"/>
  <c r="J230" i="7"/>
  <c r="K230" i="7"/>
  <c r="L230" i="7"/>
  <c r="A231" i="7"/>
  <c r="B231" i="7"/>
  <c r="F231" i="7"/>
  <c r="H231" i="7"/>
  <c r="J231" i="7"/>
  <c r="K231" i="7"/>
  <c r="L231" i="7"/>
  <c r="A232" i="7"/>
  <c r="B232" i="7"/>
  <c r="F232" i="7"/>
  <c r="H232" i="7"/>
  <c r="J232" i="7"/>
  <c r="K232" i="7"/>
  <c r="L232" i="7"/>
  <c r="A233" i="7"/>
  <c r="B233" i="7"/>
  <c r="F233" i="7"/>
  <c r="H233" i="7"/>
  <c r="J233" i="7"/>
  <c r="K233" i="7"/>
  <c r="L233" i="7"/>
  <c r="A234" i="7"/>
  <c r="B234" i="7"/>
  <c r="F234" i="7"/>
  <c r="H234" i="7"/>
  <c r="J234" i="7"/>
  <c r="K234" i="7"/>
  <c r="L234" i="7"/>
  <c r="A235" i="7"/>
  <c r="B235" i="7"/>
  <c r="F235" i="7"/>
  <c r="H235" i="7"/>
  <c r="J235" i="7"/>
  <c r="K235" i="7"/>
  <c r="L235" i="7"/>
  <c r="A236" i="7"/>
  <c r="B236" i="7"/>
  <c r="F236" i="7"/>
  <c r="H236" i="7"/>
  <c r="J236" i="7"/>
  <c r="K236" i="7"/>
  <c r="L236" i="7"/>
  <c r="A237" i="7"/>
  <c r="B237" i="7"/>
  <c r="F237" i="7"/>
  <c r="H237" i="7"/>
  <c r="J237" i="7"/>
  <c r="K237" i="7"/>
  <c r="L237" i="7"/>
  <c r="A238" i="7"/>
  <c r="B238" i="7"/>
  <c r="F238" i="7"/>
  <c r="H238" i="7"/>
  <c r="J238" i="7"/>
  <c r="K238" i="7"/>
  <c r="L238" i="7"/>
  <c r="A239" i="7"/>
  <c r="B239" i="7"/>
  <c r="F239" i="7"/>
  <c r="H239" i="7"/>
  <c r="J239" i="7"/>
  <c r="K239" i="7"/>
  <c r="L239" i="7"/>
  <c r="A240" i="7"/>
  <c r="B240" i="7"/>
  <c r="F240" i="7"/>
  <c r="H240" i="7"/>
  <c r="J240" i="7"/>
  <c r="K240" i="7"/>
  <c r="L240" i="7"/>
  <c r="A241" i="7"/>
  <c r="B241" i="7"/>
  <c r="F241" i="7"/>
  <c r="H241" i="7"/>
  <c r="J241" i="7"/>
  <c r="K241" i="7"/>
  <c r="L241" i="7"/>
  <c r="A242" i="7"/>
  <c r="B242" i="7"/>
  <c r="F242" i="7"/>
  <c r="H242" i="7"/>
  <c r="J242" i="7"/>
  <c r="K242" i="7"/>
  <c r="L242" i="7"/>
  <c r="A243" i="7"/>
  <c r="B243" i="7"/>
  <c r="F243" i="7"/>
  <c r="H243" i="7"/>
  <c r="J243" i="7"/>
  <c r="K243" i="7"/>
  <c r="A244" i="7"/>
  <c r="B244" i="7"/>
  <c r="F244" i="7"/>
  <c r="H244" i="7"/>
  <c r="J244" i="7"/>
  <c r="K244" i="7"/>
  <c r="L244" i="7"/>
  <c r="A245" i="7"/>
  <c r="B245" i="7"/>
  <c r="F245" i="7"/>
  <c r="H245" i="7"/>
  <c r="J245" i="7"/>
  <c r="K245" i="7"/>
  <c r="L245" i="7"/>
  <c r="A246" i="7"/>
  <c r="B246" i="7"/>
  <c r="F246" i="7"/>
  <c r="H246" i="7"/>
  <c r="J246" i="7"/>
  <c r="K246" i="7"/>
  <c r="L246" i="7"/>
  <c r="A247" i="7"/>
  <c r="B247" i="7"/>
  <c r="F247" i="7"/>
  <c r="H247" i="7"/>
  <c r="J247" i="7"/>
  <c r="K247" i="7"/>
  <c r="L247" i="7"/>
  <c r="A248" i="7"/>
  <c r="B248" i="7"/>
  <c r="F248" i="7"/>
  <c r="H248" i="7"/>
  <c r="J248" i="7"/>
  <c r="K248" i="7"/>
  <c r="L248" i="7"/>
  <c r="A249" i="7"/>
  <c r="B249" i="7"/>
  <c r="F249" i="7"/>
  <c r="H249" i="7"/>
  <c r="J249" i="7"/>
  <c r="K249" i="7"/>
  <c r="L249" i="7"/>
  <c r="A250" i="7"/>
  <c r="B250" i="7"/>
  <c r="F250" i="7"/>
  <c r="H250" i="7"/>
  <c r="J250" i="7"/>
  <c r="K250" i="7"/>
  <c r="A251" i="7"/>
  <c r="B251" i="7"/>
  <c r="F251" i="7"/>
  <c r="H251" i="7"/>
  <c r="J251" i="7"/>
  <c r="K251" i="7"/>
  <c r="L251" i="7"/>
  <c r="A252" i="7"/>
  <c r="B252" i="7"/>
  <c r="F252" i="7"/>
  <c r="H252" i="7"/>
  <c r="J252" i="7"/>
  <c r="K252" i="7"/>
  <c r="A253" i="7"/>
  <c r="B253" i="7"/>
  <c r="F253" i="7"/>
  <c r="H253" i="7"/>
  <c r="J253" i="7"/>
  <c r="K253" i="7"/>
  <c r="A254" i="7"/>
  <c r="B254" i="7"/>
  <c r="F254" i="7"/>
  <c r="H254" i="7"/>
  <c r="J254" i="7"/>
  <c r="K254" i="7"/>
  <c r="A255" i="7"/>
  <c r="B255" i="7"/>
  <c r="F255" i="7"/>
  <c r="H255" i="7"/>
  <c r="J255" i="7"/>
  <c r="K255" i="7"/>
  <c r="A256" i="7"/>
  <c r="B256" i="7"/>
  <c r="F256" i="7"/>
  <c r="H256" i="7"/>
  <c r="J256" i="7"/>
  <c r="K256" i="7"/>
  <c r="A257" i="7"/>
  <c r="B257" i="7"/>
  <c r="F257" i="7"/>
  <c r="H257" i="7"/>
  <c r="J257" i="7"/>
  <c r="K257" i="7"/>
  <c r="A258" i="7"/>
  <c r="B258" i="7"/>
  <c r="F258" i="7"/>
  <c r="H258" i="7"/>
  <c r="J258" i="7"/>
  <c r="K258" i="7"/>
  <c r="A259" i="7"/>
  <c r="B259" i="7"/>
  <c r="F259" i="7"/>
  <c r="H259" i="7"/>
  <c r="J259" i="7"/>
  <c r="K259" i="7"/>
  <c r="L259" i="7"/>
  <c r="A260" i="7"/>
  <c r="B260" i="7"/>
  <c r="F260" i="7"/>
  <c r="H260" i="7"/>
  <c r="J260" i="7"/>
  <c r="K260" i="7"/>
  <c r="L260" i="7"/>
  <c r="A261" i="7"/>
  <c r="B261" i="7"/>
  <c r="F261" i="7"/>
  <c r="H261" i="7"/>
  <c r="J261" i="7"/>
  <c r="K261" i="7"/>
  <c r="L261" i="7"/>
  <c r="A262" i="7"/>
  <c r="B262" i="7"/>
  <c r="F262" i="7"/>
  <c r="H262" i="7"/>
  <c r="J262" i="7"/>
  <c r="K262" i="7"/>
  <c r="L262" i="7"/>
  <c r="A263" i="7"/>
  <c r="B263" i="7"/>
  <c r="F263" i="7"/>
  <c r="H263" i="7"/>
  <c r="J263" i="7"/>
  <c r="K263" i="7"/>
  <c r="L263" i="7"/>
  <c r="A264" i="7"/>
  <c r="B264" i="7"/>
  <c r="F264" i="7"/>
  <c r="H264" i="7"/>
  <c r="J264" i="7"/>
  <c r="K264" i="7"/>
  <c r="L264" i="7"/>
  <c r="A265" i="7"/>
  <c r="B265" i="7"/>
  <c r="F265" i="7"/>
  <c r="H265" i="7"/>
  <c r="J265" i="7"/>
  <c r="K265" i="7"/>
  <c r="L265" i="7"/>
  <c r="A266" i="7"/>
  <c r="B266" i="7"/>
  <c r="F266" i="7"/>
  <c r="H266" i="7"/>
  <c r="J266" i="7"/>
  <c r="K266" i="7"/>
  <c r="L266" i="7"/>
  <c r="A267" i="7"/>
  <c r="B267" i="7"/>
  <c r="F267" i="7"/>
  <c r="H267" i="7"/>
  <c r="J267" i="7"/>
  <c r="K267" i="7"/>
  <c r="L267" i="7"/>
  <c r="A268" i="7"/>
  <c r="B268" i="7"/>
  <c r="F268" i="7"/>
  <c r="H268" i="7"/>
  <c r="J268" i="7"/>
  <c r="K268" i="7"/>
  <c r="L268" i="7"/>
  <c r="A269" i="7"/>
  <c r="B269" i="7"/>
  <c r="F269" i="7"/>
  <c r="H269" i="7"/>
  <c r="J269" i="7"/>
  <c r="K269" i="7"/>
  <c r="L269" i="7"/>
  <c r="A270" i="7"/>
  <c r="B270" i="7"/>
  <c r="F270" i="7"/>
  <c r="H270" i="7"/>
  <c r="J270" i="7"/>
  <c r="K270" i="7"/>
  <c r="L270" i="7"/>
  <c r="A271" i="7"/>
  <c r="B271" i="7"/>
  <c r="F271" i="7"/>
  <c r="H271" i="7"/>
  <c r="J271" i="7"/>
  <c r="K271" i="7"/>
  <c r="L271" i="7"/>
  <c r="A272" i="7"/>
  <c r="B272" i="7"/>
  <c r="F272" i="7"/>
  <c r="H272" i="7"/>
  <c r="J272" i="7"/>
  <c r="K272" i="7"/>
  <c r="L272" i="7"/>
  <c r="A273" i="7"/>
  <c r="B273" i="7"/>
  <c r="F273" i="7"/>
  <c r="H273" i="7"/>
  <c r="J273" i="7"/>
  <c r="K273" i="7"/>
  <c r="A274" i="7"/>
  <c r="B274" i="7"/>
  <c r="F274" i="7"/>
  <c r="H274" i="7"/>
  <c r="J274" i="7"/>
  <c r="K274" i="7"/>
  <c r="A275" i="7"/>
  <c r="B275" i="7"/>
  <c r="F275" i="7"/>
  <c r="H275" i="7"/>
  <c r="J275" i="7"/>
  <c r="K275" i="7"/>
  <c r="A276" i="7"/>
  <c r="B276" i="7"/>
  <c r="F276" i="7"/>
  <c r="H276" i="7"/>
  <c r="J276" i="7"/>
  <c r="K276" i="7"/>
  <c r="A277" i="7"/>
  <c r="B277" i="7"/>
  <c r="F277" i="7"/>
  <c r="H277" i="7"/>
  <c r="J277" i="7"/>
  <c r="K277" i="7"/>
  <c r="A278" i="7"/>
  <c r="B278" i="7"/>
  <c r="F278" i="7"/>
  <c r="H278" i="7"/>
  <c r="J278" i="7"/>
  <c r="K278" i="7"/>
  <c r="A279" i="7"/>
  <c r="B279" i="7"/>
  <c r="F279" i="7"/>
  <c r="H279" i="7"/>
  <c r="J279" i="7"/>
  <c r="K279" i="7"/>
  <c r="A280" i="7"/>
  <c r="B280" i="7"/>
  <c r="F280" i="7"/>
  <c r="H280" i="7"/>
  <c r="J280" i="7"/>
  <c r="K280" i="7"/>
  <c r="A281" i="7"/>
  <c r="B281" i="7"/>
  <c r="F281" i="7"/>
  <c r="H281" i="7"/>
  <c r="J281" i="7"/>
  <c r="K281" i="7"/>
  <c r="A282" i="7"/>
  <c r="B282" i="7"/>
  <c r="F282" i="7"/>
  <c r="H282" i="7"/>
  <c r="J282" i="7"/>
  <c r="K282" i="7"/>
  <c r="A283" i="7"/>
  <c r="B283" i="7"/>
  <c r="F283" i="7"/>
  <c r="H283" i="7"/>
  <c r="J283" i="7"/>
  <c r="K283" i="7"/>
  <c r="A284" i="7"/>
  <c r="B284" i="7"/>
  <c r="F284" i="7"/>
  <c r="H284" i="7"/>
  <c r="J284" i="7"/>
  <c r="K284" i="7"/>
  <c r="A285" i="7"/>
  <c r="B285" i="7"/>
  <c r="F285" i="7"/>
  <c r="H285" i="7"/>
  <c r="J285" i="7"/>
  <c r="K285" i="7"/>
  <c r="A286" i="7"/>
  <c r="B286" i="7"/>
  <c r="F286" i="7"/>
  <c r="H286" i="7"/>
  <c r="J286" i="7"/>
  <c r="K286" i="7"/>
  <c r="A287" i="7"/>
  <c r="B287" i="7"/>
  <c r="F287" i="7"/>
  <c r="H287" i="7"/>
  <c r="J287" i="7"/>
  <c r="K287" i="7"/>
  <c r="A288" i="7"/>
  <c r="B288" i="7"/>
  <c r="F288" i="7"/>
  <c r="H288" i="7"/>
  <c r="J288" i="7"/>
  <c r="K288" i="7"/>
  <c r="A289" i="7"/>
  <c r="B289" i="7"/>
  <c r="F289" i="7"/>
  <c r="H289" i="7"/>
  <c r="J289" i="7"/>
  <c r="K289" i="7"/>
  <c r="A290" i="7"/>
  <c r="B290" i="7"/>
  <c r="F290" i="7"/>
  <c r="H290" i="7"/>
  <c r="J290" i="7"/>
  <c r="K290" i="7"/>
  <c r="A291" i="7"/>
  <c r="B291" i="7"/>
  <c r="F291" i="7"/>
  <c r="H291" i="7"/>
  <c r="J291" i="7"/>
  <c r="K291" i="7"/>
  <c r="A292" i="7"/>
  <c r="B292" i="7"/>
  <c r="F292" i="7"/>
  <c r="H292" i="7"/>
  <c r="J292" i="7"/>
  <c r="K292" i="7"/>
  <c r="A293" i="7"/>
  <c r="B293" i="7"/>
  <c r="F293" i="7"/>
  <c r="H293" i="7"/>
  <c r="J293" i="7"/>
  <c r="K293" i="7"/>
  <c r="A294" i="7"/>
  <c r="B294" i="7"/>
  <c r="F294" i="7"/>
  <c r="H294" i="7"/>
  <c r="J294" i="7"/>
  <c r="K294" i="7"/>
  <c r="A295" i="7"/>
  <c r="B295" i="7"/>
  <c r="F295" i="7"/>
  <c r="H295" i="7"/>
  <c r="J295" i="7"/>
  <c r="K295" i="7"/>
  <c r="A296" i="7"/>
  <c r="B296" i="7"/>
  <c r="F296" i="7"/>
  <c r="H296" i="7"/>
  <c r="J296" i="7"/>
  <c r="K296" i="7"/>
  <c r="A297" i="7"/>
  <c r="B297" i="7"/>
  <c r="F297" i="7"/>
  <c r="H297" i="7"/>
  <c r="J297" i="7"/>
  <c r="K297" i="7"/>
  <c r="A298" i="7"/>
  <c r="B298" i="7"/>
  <c r="F298" i="7"/>
  <c r="H298" i="7"/>
  <c r="J298" i="7"/>
  <c r="K298" i="7"/>
  <c r="A299" i="7"/>
  <c r="B299" i="7"/>
  <c r="F299" i="7"/>
  <c r="H299" i="7"/>
  <c r="J299" i="7"/>
  <c r="K299" i="7"/>
  <c r="A300" i="7"/>
  <c r="B300" i="7"/>
  <c r="F300" i="7"/>
  <c r="H300" i="7"/>
  <c r="J300" i="7"/>
  <c r="K300" i="7"/>
  <c r="A301" i="7"/>
  <c r="B301" i="7"/>
  <c r="F301" i="7"/>
  <c r="H301" i="7"/>
  <c r="J301" i="7"/>
  <c r="K301" i="7"/>
  <c r="C319" i="7"/>
  <c r="D319" i="7"/>
  <c r="E319" i="7"/>
  <c r="F319" i="7"/>
  <c r="G319" i="7"/>
  <c r="H319" i="7"/>
  <c r="J319" i="7"/>
  <c r="K319" i="7"/>
  <c r="L319" i="7"/>
  <c r="M319" i="7"/>
  <c r="N319" i="7"/>
  <c r="O319" i="7"/>
  <c r="P319" i="7"/>
  <c r="Q319" i="7"/>
  <c r="R319" i="7"/>
  <c r="S319" i="7"/>
  <c r="T319" i="7"/>
  <c r="U319" i="7"/>
  <c r="V319" i="7"/>
  <c r="W319" i="7"/>
  <c r="X319" i="7"/>
  <c r="Y319" i="7"/>
  <c r="Z319" i="7"/>
  <c r="AA319" i="7"/>
  <c r="AB319" i="7"/>
  <c r="AC319" i="7"/>
  <c r="AD319" i="7"/>
  <c r="AE319" i="7"/>
  <c r="AF319" i="7"/>
  <c r="AG319" i="7"/>
  <c r="AH319" i="7"/>
  <c r="AI319" i="7"/>
  <c r="AJ319" i="7"/>
  <c r="AK319" i="7"/>
  <c r="AL319" i="7"/>
  <c r="AM319" i="7"/>
  <c r="AN319" i="7"/>
  <c r="AO319" i="7"/>
  <c r="AP319" i="7"/>
  <c r="AQ319" i="7"/>
  <c r="AR319" i="7"/>
  <c r="AS319" i="7"/>
  <c r="AT319" i="7"/>
  <c r="AU319" i="7"/>
  <c r="C320" i="7"/>
  <c r="D320" i="7"/>
  <c r="E320" i="7"/>
  <c r="F320" i="7"/>
  <c r="G320" i="7"/>
  <c r="H320" i="7"/>
  <c r="J320" i="7"/>
  <c r="K320" i="7"/>
  <c r="L320" i="7"/>
  <c r="M320" i="7"/>
  <c r="N320" i="7"/>
  <c r="O320" i="7"/>
  <c r="P320" i="7"/>
  <c r="Q320" i="7"/>
  <c r="R320" i="7"/>
  <c r="S320" i="7"/>
  <c r="T320" i="7"/>
  <c r="U320" i="7"/>
  <c r="V320" i="7"/>
  <c r="W320" i="7"/>
  <c r="X320" i="7"/>
  <c r="Y320" i="7"/>
  <c r="Z320" i="7"/>
  <c r="AA320" i="7"/>
  <c r="AB320" i="7"/>
  <c r="AC320" i="7"/>
  <c r="AD320" i="7"/>
  <c r="AE320" i="7"/>
  <c r="AF320" i="7"/>
  <c r="AG320" i="7"/>
  <c r="AH320" i="7"/>
  <c r="AI320" i="7"/>
  <c r="AJ320" i="7"/>
  <c r="AK320" i="7"/>
  <c r="AL320" i="7"/>
  <c r="AM320" i="7"/>
  <c r="AN320" i="7"/>
  <c r="AO320" i="7"/>
  <c r="AP320" i="7"/>
  <c r="AQ320" i="7"/>
  <c r="AR320" i="7"/>
  <c r="AS320" i="7"/>
  <c r="AT320" i="7"/>
  <c r="AU320" i="7"/>
  <c r="C321" i="7"/>
  <c r="D321" i="7"/>
  <c r="E321" i="7"/>
  <c r="F321" i="7"/>
  <c r="G321" i="7"/>
  <c r="H321" i="7"/>
  <c r="J321" i="7"/>
  <c r="K321" i="7"/>
  <c r="L321" i="7"/>
  <c r="M321" i="7"/>
  <c r="N321" i="7"/>
  <c r="O321" i="7"/>
  <c r="P321" i="7"/>
  <c r="Q321" i="7"/>
  <c r="R321" i="7"/>
  <c r="S321" i="7"/>
  <c r="T321" i="7"/>
  <c r="U321" i="7"/>
  <c r="V321" i="7"/>
  <c r="W321" i="7"/>
  <c r="X321" i="7"/>
  <c r="Y321" i="7"/>
  <c r="Z321" i="7"/>
  <c r="AA321" i="7"/>
  <c r="AB321" i="7"/>
  <c r="AC321" i="7"/>
  <c r="AD321" i="7"/>
  <c r="AE321" i="7"/>
  <c r="AF321" i="7"/>
  <c r="AG321" i="7"/>
  <c r="AH321" i="7"/>
  <c r="AI321" i="7"/>
  <c r="AJ321" i="7"/>
  <c r="AK321" i="7"/>
  <c r="AL321" i="7"/>
  <c r="AM321" i="7"/>
  <c r="AN321" i="7"/>
  <c r="AO321" i="7"/>
  <c r="AP321" i="7"/>
  <c r="AQ321" i="7"/>
  <c r="AR321" i="7"/>
  <c r="AS321" i="7"/>
  <c r="AT321" i="7"/>
  <c r="AU321" i="7"/>
  <c r="K4" i="13"/>
  <c r="B5" i="13"/>
  <c r="C5" i="13"/>
  <c r="D5" i="13"/>
  <c r="E5" i="13"/>
  <c r="F5" i="13"/>
  <c r="G5" i="13"/>
  <c r="H5" i="13"/>
  <c r="I5" i="13"/>
  <c r="K5" i="13"/>
  <c r="B6" i="13"/>
  <c r="C6" i="13"/>
  <c r="D6" i="13"/>
  <c r="E6" i="13"/>
  <c r="F6" i="13"/>
  <c r="G6" i="13"/>
  <c r="H6" i="13"/>
  <c r="I6" i="13"/>
  <c r="B7" i="13"/>
  <c r="C7" i="13"/>
  <c r="D7" i="13"/>
  <c r="E7" i="13"/>
  <c r="F7" i="13"/>
  <c r="G7" i="13"/>
  <c r="H7" i="13"/>
  <c r="I7" i="13"/>
  <c r="K7" i="13"/>
  <c r="F4" i="15"/>
  <c r="G4" i="15"/>
  <c r="F5" i="15"/>
  <c r="G5" i="15"/>
  <c r="F6" i="15"/>
  <c r="G6" i="15"/>
  <c r="F7" i="15"/>
  <c r="G7" i="15"/>
  <c r="F8" i="15"/>
  <c r="G8" i="15"/>
  <c r="F9" i="15"/>
  <c r="G9" i="15"/>
  <c r="F10" i="15"/>
  <c r="G10" i="15"/>
  <c r="F11" i="15"/>
  <c r="G11" i="15"/>
  <c r="B13" i="15"/>
  <c r="C13" i="15"/>
  <c r="D13" i="15"/>
  <c r="E13" i="15"/>
  <c r="F13" i="15"/>
  <c r="G13" i="15"/>
  <c r="B3" i="14"/>
  <c r="C3" i="14"/>
  <c r="D3" i="14"/>
  <c r="E3" i="14"/>
  <c r="F3" i="14"/>
  <c r="G3" i="14"/>
  <c r="B4" i="14"/>
  <c r="C4" i="14"/>
  <c r="D4" i="14"/>
  <c r="E4" i="14"/>
  <c r="F4" i="14"/>
  <c r="G4" i="14"/>
  <c r="B5" i="14"/>
  <c r="C5" i="14"/>
  <c r="D5" i="14"/>
  <c r="E5" i="14"/>
  <c r="F5" i="14"/>
  <c r="G5" i="14"/>
  <c r="B6" i="14"/>
  <c r="C6" i="14"/>
  <c r="D6" i="14"/>
  <c r="E6" i="14"/>
  <c r="F6" i="14"/>
  <c r="G6" i="14"/>
  <c r="A13" i="14"/>
  <c r="A14" i="14"/>
  <c r="A15" i="14"/>
  <c r="A16" i="14"/>
  <c r="B16" i="14"/>
  <c r="F16" i="14"/>
  <c r="F25" i="14"/>
  <c r="C2" i="11"/>
  <c r="C3" i="11"/>
  <c r="C4" i="11"/>
  <c r="C5" i="11"/>
  <c r="C6" i="11"/>
  <c r="C11" i="11"/>
  <c r="C15" i="11"/>
  <c r="A20" i="11"/>
  <c r="C21" i="11"/>
  <c r="C22" i="11"/>
  <c r="C24" i="11"/>
  <c r="C26" i="11"/>
  <c r="C28" i="11"/>
</calcChain>
</file>

<file path=xl/comments1.xml><?xml version="1.0" encoding="utf-8"?>
<comments xmlns="http://schemas.openxmlformats.org/spreadsheetml/2006/main">
  <authors>
    <author>Ein geschätzter Microsoft Office Anwender</author>
  </authors>
  <commentList>
    <comment ref="E6" authorId="0">
      <text>
        <r>
          <rPr>
            <sz val="9"/>
            <color indexed="81"/>
            <rFont val="Tahoma"/>
            <charset val="1"/>
          </rPr>
          <t>ohne Kiga:
Fu 200 sollte dem Schulgeld entsprechen. Dieses wird nun aber abegzogen, um Doppelzählungen zu vermeiden.
Ist FUu 2000 grösser als das Schulgeld, muss in Spalte J und P eine manuelle Korrektur vorgenommen werden.</t>
        </r>
      </text>
    </comment>
  </commentList>
</comments>
</file>

<file path=xl/sharedStrings.xml><?xml version="1.0" encoding="utf-8"?>
<sst xmlns="http://schemas.openxmlformats.org/spreadsheetml/2006/main" count="1190" uniqueCount="433">
  <si>
    <t>Schrittweises Vorgehen beim Erstellen der Broschüre 'Thurgauer Volksschulwesen in Zahlen'</t>
  </si>
  <si>
    <t>Ausgesuchte Kennzahlen</t>
  </si>
  <si>
    <t>Schule</t>
  </si>
  <si>
    <t>Anzahl Kinder</t>
  </si>
  <si>
    <t>Volkschulkosten 100%                                            pro</t>
  </si>
  <si>
    <t>Unterrichtsaufwand        pro</t>
  </si>
  <si>
    <r>
      <t xml:space="preserve">davon für Schulmaterial            pro                          </t>
    </r>
    <r>
      <rPr>
        <sz val="8"/>
        <rFont val="Arial"/>
        <family val="2"/>
      </rPr>
      <t>(0 := keine Angaben)</t>
    </r>
  </si>
  <si>
    <t>Verwaltungs-aufwand               pro</t>
  </si>
  <si>
    <r>
      <t>davon für Behörde                    pro                                                                      
(</t>
    </r>
    <r>
      <rPr>
        <sz val="8"/>
        <rFont val="Arial"/>
        <family val="2"/>
      </rPr>
      <t>0 := keine Angaben)</t>
    </r>
  </si>
  <si>
    <t>Abschreibung Schulhäuser               pro</t>
  </si>
  <si>
    <t>Unterhalt Schul-         häuser netto                                pro</t>
  </si>
  <si>
    <t>Zinsen mittel. u. langfr. Schulden                                       pro</t>
  </si>
  <si>
    <t>Gesundheitskosten netto                                                          pro</t>
  </si>
  <si>
    <t>übriger Aufwand         pro</t>
  </si>
  <si>
    <t>Unterichts-aufwand</t>
  </si>
  <si>
    <t>Ver-waltungs-aufwand</t>
  </si>
  <si>
    <t>davon für Behörde</t>
  </si>
  <si>
    <t>Abschrei-bung Schul-häuser</t>
  </si>
  <si>
    <t>Unterhalt Schulhäuser</t>
  </si>
  <si>
    <t>Zinsen mittel. u. langfr. Schulden</t>
  </si>
  <si>
    <t>Gesundheits-kosten netto</t>
  </si>
  <si>
    <t>übriger Aufwand</t>
  </si>
  <si>
    <t>Kapital-dienst-        anteil</t>
  </si>
  <si>
    <t>Zinsbe-lastungs-anteil</t>
  </si>
  <si>
    <t>Kantons-anteil Volk-schulkosten</t>
  </si>
  <si>
    <t>Kind</t>
  </si>
  <si>
    <t>Lehrstelle</t>
  </si>
  <si>
    <t>in %</t>
  </si>
  <si>
    <t>Durchschnittswerte</t>
  </si>
  <si>
    <t>Total PSG</t>
  </si>
  <si>
    <t>Total KiGa</t>
  </si>
  <si>
    <t>Total OSG</t>
  </si>
  <si>
    <t>Total TG</t>
  </si>
  <si>
    <t>Höchstwerte</t>
  </si>
  <si>
    <t>PSG</t>
  </si>
  <si>
    <t>KiGa</t>
  </si>
  <si>
    <t>VSG</t>
  </si>
  <si>
    <t>OSG</t>
  </si>
  <si>
    <t>Minimalwerte</t>
  </si>
  <si>
    <t>Primarschulen</t>
  </si>
  <si>
    <t xml:space="preserve">     Schule geschlossen</t>
  </si>
  <si>
    <t>Durchschnitt PSG</t>
  </si>
  <si>
    <t>Durchschnitt Kindergärten</t>
  </si>
  <si>
    <t>Zuben-Schönenb.</t>
  </si>
  <si>
    <t>Volksschulen</t>
  </si>
  <si>
    <t>Durchschnitt Oberstufen</t>
  </si>
  <si>
    <t>*PSG, die ihre Oberstufenschüler mit Vertrag einer anderen Gemeinde zuweisen.</t>
  </si>
  <si>
    <t>Das Thurgauer Volksschulwesen in Zahlen</t>
  </si>
  <si>
    <t>Rechnung 1995</t>
  </si>
  <si>
    <t>Auszug aus funktionaler Gliederung</t>
  </si>
  <si>
    <t>ausblenden</t>
  </si>
  <si>
    <t>Art</t>
  </si>
  <si>
    <t>bew. Lehr-stellen</t>
  </si>
  <si>
    <t>Anzahl Schüler</t>
  </si>
  <si>
    <t>Volkschul-ausgaben*           100%</t>
  </si>
  <si>
    <t>Rest</t>
  </si>
  <si>
    <t>Gesamtauf-wand*</t>
  </si>
  <si>
    <t>Berufsschule</t>
  </si>
  <si>
    <t>übriges Bildungs-wesen</t>
  </si>
  <si>
    <t>Schulgelder an andere TG Gemeinden</t>
  </si>
  <si>
    <t>Korrektur für VSG*</t>
  </si>
  <si>
    <t>Bemerkung Schulgeld nach</t>
  </si>
  <si>
    <t>Unterrichtsaufwand*</t>
  </si>
  <si>
    <t>Verwaltungsaufwand</t>
  </si>
  <si>
    <t xml:space="preserve">Unterhalt Schulliegenschaften </t>
  </si>
  <si>
    <t>Abschr. Schulliegenschaften</t>
  </si>
  <si>
    <t>Unterhalt Schulliegenschaften netto</t>
  </si>
  <si>
    <t>Gesundheitskosten netto</t>
  </si>
  <si>
    <t>Zinsen für mittel- und langfristige Schulden</t>
  </si>
  <si>
    <t>Konten/Kennzahlenpunkt</t>
  </si>
  <si>
    <t>PS oder Kiga + Rest im Verhältnis 200/(200+210+215)</t>
  </si>
  <si>
    <t>VE-200-210-215</t>
  </si>
  <si>
    <t>290 saldiert</t>
  </si>
  <si>
    <t>352 abzügl.
Steuerbezugs-
provision</t>
  </si>
  <si>
    <t>seit 1996 nicht mehr</t>
  </si>
  <si>
    <t>3
abzügl. Schulgelder</t>
  </si>
  <si>
    <t>Korrektur KiGA/PS</t>
  </si>
  <si>
    <t>KiGa/PS</t>
  </si>
  <si>
    <t>PS/KiGa</t>
  </si>
  <si>
    <t>217 saldiert</t>
  </si>
  <si>
    <t>in Prozent</t>
  </si>
  <si>
    <t>Schüler</t>
  </si>
  <si>
    <t>pro Lehrstelle</t>
  </si>
  <si>
    <t>pro Schüler</t>
  </si>
  <si>
    <t>nicht aufgteteilt</t>
  </si>
  <si>
    <t>Total</t>
  </si>
  <si>
    <t>Soll</t>
  </si>
  <si>
    <t>Haben</t>
  </si>
  <si>
    <t>Aadorf</t>
  </si>
  <si>
    <t>Affeltrangen</t>
  </si>
  <si>
    <t>Alterswilen</t>
  </si>
  <si>
    <t>Altishausen-Graltshausen</t>
  </si>
  <si>
    <t>Altnau</t>
  </si>
  <si>
    <t>Amlikon</t>
  </si>
  <si>
    <t>Amriswil</t>
  </si>
  <si>
    <t>Au</t>
  </si>
  <si>
    <t>Balterswil</t>
  </si>
  <si>
    <t xml:space="preserve">Basadingen-Willisdorf </t>
  </si>
  <si>
    <t>Berg</t>
  </si>
  <si>
    <t>Berlingen</t>
  </si>
  <si>
    <t>Bettwiesen</t>
  </si>
  <si>
    <t>Bichelsee</t>
  </si>
  <si>
    <t>Bischofszell</t>
  </si>
  <si>
    <t>Blidegg</t>
  </si>
  <si>
    <t>Bottighofen</t>
  </si>
  <si>
    <t>Braunau</t>
  </si>
  <si>
    <t>Buch bei Frauenfeld</t>
  </si>
  <si>
    <t>Buhwil-Neukirch an der Thur</t>
  </si>
  <si>
    <t>Bürglen</t>
  </si>
  <si>
    <t>Bussnang-Rothenhausen</t>
  </si>
  <si>
    <t>Busswil</t>
  </si>
  <si>
    <t>Dettighofen-Lanzenneunforn</t>
  </si>
  <si>
    <t>Diessenhofen</t>
  </si>
  <si>
    <t>Dingetswil</t>
  </si>
  <si>
    <t>Donzhausen</t>
  </si>
  <si>
    <t>Dozwil</t>
  </si>
  <si>
    <t>Dussnang-Oberwangen</t>
  </si>
  <si>
    <t>Egg</t>
  </si>
  <si>
    <t>Eggethof</t>
  </si>
  <si>
    <t>Egnach</t>
  </si>
  <si>
    <t>Engelswilen-Dotnacht</t>
  </si>
  <si>
    <t>Engwang-Wagerswil</t>
  </si>
  <si>
    <t>Ermatingen</t>
  </si>
  <si>
    <t>Eschenz</t>
  </si>
  <si>
    <t>Ettenhausen</t>
  </si>
  <si>
    <t>Felben-Wellhausen</t>
  </si>
  <si>
    <t>Fimmelsberg-Holzhäusern</t>
  </si>
  <si>
    <t>Fischingen</t>
  </si>
  <si>
    <t>Frauenfeld</t>
  </si>
  <si>
    <t>Friltschen</t>
  </si>
  <si>
    <t>Gachnang</t>
  </si>
  <si>
    <t>Götighofen</t>
  </si>
  <si>
    <t>Gottlieben</t>
  </si>
  <si>
    <t>Gottshaus</t>
  </si>
  <si>
    <t>Gündelhart-Hörhausen</t>
  </si>
  <si>
    <t>Guntershausen</t>
  </si>
  <si>
    <t>Güttingen</t>
  </si>
  <si>
    <t>Halden-Kenzenau</t>
  </si>
  <si>
    <t>Hauptwil</t>
  </si>
  <si>
    <t>Häuslenen-Aawangen</t>
  </si>
  <si>
    <t>Hefenhofen</t>
  </si>
  <si>
    <t>Hegi-Winden</t>
  </si>
  <si>
    <t>Herdern</t>
  </si>
  <si>
    <t>Herrenhof-Langrickenbach</t>
  </si>
  <si>
    <t>Hohentannen</t>
  </si>
  <si>
    <t>Homburg-Hörstetten</t>
  </si>
  <si>
    <t>Hugelshofen-Lippoldswilen</t>
  </si>
  <si>
    <t>Hüttlingen</t>
  </si>
  <si>
    <t>Hüttwilen</t>
  </si>
  <si>
    <t>Illighausen</t>
  </si>
  <si>
    <t>Istighofen</t>
  </si>
  <si>
    <t>Kaltenbach</t>
  </si>
  <si>
    <t>Kesswil</t>
  </si>
  <si>
    <t>Kreuzlingen</t>
  </si>
  <si>
    <t>Landschlacht</t>
  </si>
  <si>
    <t>Lanterswil</t>
  </si>
  <si>
    <t>Leimbach</t>
  </si>
  <si>
    <t>Lommis</t>
  </si>
  <si>
    <t>Mammern</t>
  </si>
  <si>
    <t>Märstetten</t>
  </si>
  <si>
    <t>Märwil</t>
  </si>
  <si>
    <t>Mattwil-Birwinken-Happerswil</t>
  </si>
  <si>
    <t>Matzingen</t>
  </si>
  <si>
    <t>Mauren</t>
  </si>
  <si>
    <t>Mettlen</t>
  </si>
  <si>
    <t>Müllheim</t>
  </si>
  <si>
    <t>Neukirch-Egnach</t>
  </si>
  <si>
    <t>Neuwilen</t>
  </si>
  <si>
    <t>Nussbaumen</t>
  </si>
  <si>
    <t>Oberhofen-Lengwil</t>
  </si>
  <si>
    <t>Ottoberg</t>
  </si>
  <si>
    <t>Pfyn</t>
  </si>
  <si>
    <t>Raperswilen-Illhart</t>
  </si>
  <si>
    <t>Rickenbach</t>
  </si>
  <si>
    <t>Ringenzeichen</t>
  </si>
  <si>
    <t>Romanshorn</t>
  </si>
  <si>
    <t>Salenstein</t>
  </si>
  <si>
    <t>Salmsach-Hungerbühl</t>
  </si>
  <si>
    <t>Scherzingen</t>
  </si>
  <si>
    <t>Schlatt</t>
  </si>
  <si>
    <t>Schlattingen</t>
  </si>
  <si>
    <t>Schmidshof</t>
  </si>
  <si>
    <t>Schönenberg-Kradolf</t>
  </si>
  <si>
    <t>Schönholzerswilen</t>
  </si>
  <si>
    <t>Schurten</t>
  </si>
  <si>
    <t>Sirnach</t>
  </si>
  <si>
    <t>Sitterdorf</t>
  </si>
  <si>
    <t>Sommeri</t>
  </si>
  <si>
    <t>Sonterswil</t>
  </si>
  <si>
    <t>Steckborn</t>
  </si>
  <si>
    <t>Steinebrunn</t>
  </si>
  <si>
    <t>Stettfurt</t>
  </si>
  <si>
    <t>Strohwilen-Wolfikon</t>
  </si>
  <si>
    <t>Sulgen</t>
  </si>
  <si>
    <t>Tägerwilen</t>
  </si>
  <si>
    <t>Thundorf</t>
  </si>
  <si>
    <t>Tobel</t>
  </si>
  <si>
    <t>Uesslingen</t>
  </si>
  <si>
    <t>Uttwil</t>
  </si>
  <si>
    <t>Wagenhausen-Rheinklingen</t>
  </si>
  <si>
    <t>Wäldi</t>
  </si>
  <si>
    <t>Warth-Weiningen</t>
  </si>
  <si>
    <t>Weinfelden</t>
  </si>
  <si>
    <t>Wigoltingen</t>
  </si>
  <si>
    <t>Wilen bei Wil</t>
  </si>
  <si>
    <t>Wittenwil</t>
  </si>
  <si>
    <t>Wuppenau</t>
  </si>
  <si>
    <t>Zezikon</t>
  </si>
  <si>
    <t>Zihlschlacht</t>
  </si>
  <si>
    <t>Zuben-Schönenbaumgarten</t>
  </si>
  <si>
    <t>Arbon</t>
  </si>
  <si>
    <t>Erlen-Riedt-Ennetaach</t>
  </si>
  <si>
    <t>Eschlikon</t>
  </si>
  <si>
    <t>Horn</t>
  </si>
  <si>
    <t>Münchwilen</t>
  </si>
  <si>
    <t>Wängi</t>
  </si>
  <si>
    <t>Andwil</t>
  </si>
  <si>
    <t>VSG*</t>
  </si>
  <si>
    <t>Frasnacht</t>
  </si>
  <si>
    <t>Freidorf-Watt</t>
  </si>
  <si>
    <t>Kümmertshausen</t>
  </si>
  <si>
    <t>Neunforn</t>
  </si>
  <si>
    <t>Roggwil</t>
  </si>
  <si>
    <t>Speiserslehn</t>
  </si>
  <si>
    <t>KiGa*</t>
  </si>
  <si>
    <t>Balterswil-Bichelsee</t>
  </si>
  <si>
    <t>Dozwil-Kesswil-Uttwil</t>
  </si>
  <si>
    <t>Halingen</t>
  </si>
  <si>
    <t>Romanshorn-Salmsach</t>
  </si>
  <si>
    <t>Sulgen-Schönenberg-Kradolf</t>
  </si>
  <si>
    <t>davon ??? Mio. Löhne</t>
  </si>
  <si>
    <t>Hilfe für PSP</t>
  </si>
  <si>
    <t>Hilfe für PSG</t>
  </si>
  <si>
    <t>Hilfe für Kiga</t>
  </si>
  <si>
    <t xml:space="preserve">Bemerkung: </t>
  </si>
  <si>
    <t>Die Kosten der VG wurden zu 2/3 der Primarschule und zu 1/3 der Obestufe zugewiesen</t>
  </si>
  <si>
    <t>*=Korrektur bei VSG*</t>
  </si>
  <si>
    <t>Rechnung 1998</t>
  </si>
  <si>
    <t>Artengliederung</t>
  </si>
  <si>
    <t>Gesamt-aufwand*</t>
  </si>
  <si>
    <t>Personalaufwand</t>
  </si>
  <si>
    <t>Sachaufwand total</t>
  </si>
  <si>
    <t>davon für Schulmaterial</t>
  </si>
  <si>
    <t>davon Mobilien</t>
  </si>
  <si>
    <t>Passivzinsen</t>
  </si>
  <si>
    <t>davon für mittel. u. lfr. Schulden</t>
  </si>
  <si>
    <r>
      <t xml:space="preserve">Abschreibungen                              </t>
    </r>
    <r>
      <rPr>
        <b/>
        <sz val="8"/>
        <rFont val="Century Gothic"/>
        <family val="2"/>
      </rPr>
      <t>(inkl. Bilanzfehlbetrag)</t>
    </r>
  </si>
  <si>
    <t>davon für Verwaltungsv.</t>
  </si>
  <si>
    <t>Staatsbei-träge Lehrerlöhne</t>
  </si>
  <si>
    <t>Finanz-ausgleichs-beiträge</t>
  </si>
  <si>
    <t>Kantonsanteil der Volk-schulkosten</t>
  </si>
  <si>
    <t>Konto/Kennzahlenpunkt</t>
  </si>
  <si>
    <t>zur Auteilung   Volkssch.-200-210-215</t>
  </si>
  <si>
    <t>PS od. Kiga. + Anteil Rest</t>
  </si>
  <si>
    <t>PS/Kiga</t>
  </si>
  <si>
    <t>Schulortprinzip</t>
  </si>
  <si>
    <t>331+332</t>
  </si>
  <si>
    <t>Abschr.-</t>
  </si>
  <si>
    <t>Residuum</t>
  </si>
  <si>
    <t>satz</t>
  </si>
  <si>
    <t>Das Thurgauer Volkschulwesen in Zahlen</t>
  </si>
  <si>
    <t>ausgesuchte Kennzahlen</t>
  </si>
  <si>
    <t>grün: Daten aus RIRUS kopieren</t>
  </si>
  <si>
    <t>a   u   s   b   l   e   n   d   e   n</t>
  </si>
  <si>
    <t>Volkschul-ausgaben           100%</t>
  </si>
  <si>
    <t>Volkschul-ausgaben           pro Schüler</t>
  </si>
  <si>
    <t>Volkschul-ausgaben           pro Kopf</t>
  </si>
  <si>
    <t>Steuerertrag saldiert</t>
  </si>
  <si>
    <t>Steuerkraft 100%</t>
  </si>
  <si>
    <t>Steuerkraft pro Kopf</t>
  </si>
  <si>
    <t>Steuerkraft pro Schüler</t>
  </si>
  <si>
    <t>Gesundheits-dienst            pro Schüler</t>
  </si>
  <si>
    <t>Anteil Sonder-schüler</t>
  </si>
  <si>
    <t>Aufwand- od. Ertragsüberschuss</t>
  </si>
  <si>
    <t>Entgelte</t>
  </si>
  <si>
    <t>Steuerabschreibungen</t>
  </si>
  <si>
    <t>Korrektur 10.SJ und im Total für VSG*</t>
  </si>
  <si>
    <t>ohne Kiga</t>
  </si>
  <si>
    <t>KiGa/PS im Verhältnis Löhne</t>
  </si>
  <si>
    <t>Bürger</t>
  </si>
  <si>
    <t>Kigas</t>
  </si>
  <si>
    <t>1/2-jährig</t>
  </si>
  <si>
    <t>Regel-schüler</t>
  </si>
  <si>
    <t>Sonder-
schüler</t>
  </si>
  <si>
    <t>Volks-schüler</t>
  </si>
  <si>
    <t>33à1</t>
  </si>
  <si>
    <t>138à2</t>
  </si>
  <si>
    <t>plus SG VSG*</t>
  </si>
  <si>
    <t>manuelle Korrektur um PSG der VSG aus Schülerstatistik</t>
  </si>
  <si>
    <t>10SJ. K"lingen 84, F'feld 105</t>
  </si>
  <si>
    <t>Achtung Dingetswil in Druck!!!!</t>
  </si>
  <si>
    <t>ausgesuchte Kennzahlen aus der Revision</t>
  </si>
  <si>
    <t>Vermögen</t>
  </si>
  <si>
    <t>Verwalt-ungs-vermögen</t>
  </si>
  <si>
    <t>Finanz-vermögen</t>
  </si>
  <si>
    <t>Ertrag auf Vermögen</t>
  </si>
  <si>
    <t>Rendite des Ver-mögens</t>
  </si>
  <si>
    <t>Total Gemeinde</t>
  </si>
  <si>
    <t>Behördenentschädigung</t>
  </si>
  <si>
    <t>Pfleger und Präsident: Details</t>
  </si>
  <si>
    <t>pro</t>
  </si>
  <si>
    <t>Präsident</t>
  </si>
  <si>
    <t>Pfleger</t>
  </si>
  <si>
    <t>Total P+P</t>
  </si>
  <si>
    <t>Sitzung</t>
  </si>
  <si>
    <t>Lehrst.</t>
  </si>
  <si>
    <t>Besoldung</t>
  </si>
  <si>
    <t>Spesen</t>
  </si>
  <si>
    <t xml:space="preserve">Büroent.  </t>
  </si>
  <si>
    <t>Diverses</t>
  </si>
  <si>
    <t>Hilfsdatei: Aufteilung der nicht direkt zuteilbaren Kosten  (KIGA / PS)</t>
  </si>
  <si>
    <t>Funktion 200</t>
  </si>
  <si>
    <t>Funktion 210</t>
  </si>
  <si>
    <t>Funktion 215</t>
  </si>
  <si>
    <t>Total Primarschüler</t>
  </si>
  <si>
    <t>Gesamttotal</t>
  </si>
  <si>
    <t>Korrektur</t>
  </si>
  <si>
    <t>manuelle Korrekur 
= 1 / 0</t>
  </si>
  <si>
    <t>Fu200 &gt; Schulgeld</t>
  </si>
  <si>
    <t>wenn ohne KiGa</t>
  </si>
  <si>
    <t>für die Rechnung</t>
  </si>
  <si>
    <t xml:space="preserve">Manuelles Festlegen des Kiga-Minimums </t>
  </si>
  <si>
    <t>Gehe in Tabelle 'Funktional' und suche in der Tabelle Rest die Kindergartengemeinde mit dem Minimalwert.</t>
  </si>
  <si>
    <t>Trage anschliessend den dazugehörigen Absoltuwert (siehe Tabelle Druck) unten ein.</t>
  </si>
  <si>
    <t>Gemeinde</t>
  </si>
  <si>
    <t>Soll-Kennzahlen: max. Grössen, die im Finanzausgleich anerkannt werden</t>
  </si>
  <si>
    <t>WAS</t>
  </si>
  <si>
    <t>Maximalwert</t>
  </si>
  <si>
    <t>Bemerkung</t>
  </si>
  <si>
    <t>Schulmaterial pro Schüler</t>
  </si>
  <si>
    <t>von Hans Böhlen und dem Schulinspektorat zu bestimmen</t>
  </si>
  <si>
    <t>Kochmaterial pro Schüler (im Tag)</t>
  </si>
  <si>
    <t>von B. Fuster zu bestimmen</t>
  </si>
  <si>
    <t>Schullagerkosten pro Schüler</t>
  </si>
  <si>
    <t>max. Kosten nach Abzug der Elternbeiträge</t>
  </si>
  <si>
    <t>Skilagerkosten pro Schüler</t>
  </si>
  <si>
    <t>Zusatzentschädigung der Lehrkräftefür Spezialjobs</t>
  </si>
  <si>
    <t>Spezialausrüstung</t>
  </si>
  <si>
    <t>Werte für Video, Computer (Inventar) etc.</t>
  </si>
  <si>
    <t>was sonst noch: bitte auflisten</t>
  </si>
  <si>
    <t>Legende</t>
  </si>
  <si>
    <t>aus Hilfsblatt</t>
  </si>
  <si>
    <t>Kennzahlen</t>
  </si>
  <si>
    <t>Konto</t>
  </si>
  <si>
    <t>Volkschulausgaben 100%</t>
  </si>
  <si>
    <t>Gesamtaufwand ./. Ertragsüberschuss</t>
  </si>
  <si>
    <t>./. Berufsschulaufwand</t>
  </si>
  <si>
    <t>230+231+232</t>
  </si>
  <si>
    <t>./. übriges Bildungswesen</t>
  </si>
  <si>
    <t>Unterrichtsaufwand</t>
  </si>
  <si>
    <t>zusammengesetzt aus</t>
  </si>
  <si>
    <t>Kindergarten</t>
  </si>
  <si>
    <t>Primarschule ink. Sonderklassen</t>
  </si>
  <si>
    <t>Oberstufe inkl. Sonderklasse</t>
  </si>
  <si>
    <t>Handarbeit</t>
  </si>
  <si>
    <t>Volksschule allgemein</t>
  </si>
  <si>
    <t>Bibliothek</t>
  </si>
  <si>
    <t>Verwaltungsaufwand netto</t>
  </si>
  <si>
    <t>Legislative</t>
  </si>
  <si>
    <t>Schulverwaltung saldiert</t>
  </si>
  <si>
    <t>219*</t>
  </si>
  <si>
    <t>Besolung Präsident</t>
  </si>
  <si>
    <t>Besoldung Pfleger</t>
  </si>
  <si>
    <t>Büroentschädigung</t>
  </si>
  <si>
    <t>div. Entschädigung</t>
  </si>
  <si>
    <t>Funktionale Gliederung</t>
  </si>
  <si>
    <r>
      <t xml:space="preserve">übriger Aufwand </t>
    </r>
    <r>
      <rPr>
        <sz val="6"/>
        <rFont val="Arial"/>
        <family val="2"/>
      </rPr>
      <t>(Rest als Resiualgrösse errechnet)</t>
    </r>
  </si>
  <si>
    <t>Volkschulaufwand</t>
  </si>
  <si>
    <t>=</t>
  </si>
  <si>
    <t xml:space="preserve">Gesamtaufwand </t>
  </si>
  <si>
    <t>Ertragsüberschuss</t>
  </si>
  <si>
    <t>-</t>
  </si>
  <si>
    <t>Berufschulaufwand</t>
  </si>
  <si>
    <t>übriges Bildungswesen</t>
  </si>
  <si>
    <t>Schulgelder Einnahmen</t>
  </si>
  <si>
    <t>(Schulgeldaufwand im Gesamtaufwand enthalten)</t>
  </si>
  <si>
    <t>??? in Artengliederung eher Gesamtaufwand notwendig?????</t>
  </si>
  <si>
    <t>Sachaufwand</t>
  </si>
  <si>
    <t>(Schulmaterial sep.)</t>
  </si>
  <si>
    <t>(mfr. + lfr. Zinsen sep.)</t>
  </si>
  <si>
    <t>Abschreibunen</t>
  </si>
  <si>
    <t>(auf VV sep.)</t>
  </si>
  <si>
    <t>(Residualgrösse)</t>
  </si>
  <si>
    <t>Kantonsanteil der Volksschulkosten</t>
  </si>
  <si>
    <t>(Gemeindeeinnahmen vom Kanton in % Volksschulkosten)</t>
  </si>
  <si>
    <t>Kannzahlen</t>
  </si>
  <si>
    <t>Volkschulausgaben  pro Schüler</t>
  </si>
  <si>
    <t>Volkschulausgaben pro Einwohner</t>
  </si>
  <si>
    <t>Gesundheitsdienst pro Schüler</t>
  </si>
  <si>
    <t>Behördenentschädigung in % Volkschulkosten</t>
  </si>
  <si>
    <t>Behördenentschädigung pro Schüler</t>
  </si>
  <si>
    <t>Kennzahlen aus Revision</t>
  </si>
  <si>
    <t>Kapitaldienstanteil</t>
  </si>
  <si>
    <t>Zinsbelastungsanteil</t>
  </si>
  <si>
    <t>Rendite des Vermögens</t>
  </si>
  <si>
    <t>Behördenentschädigung Total</t>
  </si>
  <si>
    <t>Besoldung Präsidet</t>
  </si>
  <si>
    <t>Sitzungsgeld</t>
  </si>
  <si>
    <t>Büroentschädigungen</t>
  </si>
  <si>
    <t>Volkschul-ausgaben</t>
  </si>
  <si>
    <t>Unterhalt Schulliegenschaften</t>
  </si>
  <si>
    <t>Abschreibungen Schulliegenschaften</t>
  </si>
  <si>
    <t>Zinsen mittel- u. lfr. Schulden</t>
  </si>
  <si>
    <t>Löhne Lehrkräfte</t>
  </si>
  <si>
    <t>sonstiger Unterrichtsaufwand</t>
  </si>
  <si>
    <t>übriger Unterrichtsaufwand</t>
  </si>
  <si>
    <t>Gesamtaufwand</t>
  </si>
  <si>
    <t>Abschreibungen</t>
  </si>
  <si>
    <t>Kosten  pro Schüler</t>
  </si>
  <si>
    <t>Gesamtkosten pro Kind</t>
  </si>
  <si>
    <t>Sonstiger
Unterrichtsaufwand</t>
  </si>
  <si>
    <t>Abschreibung
Schulliegen-
schaften</t>
  </si>
  <si>
    <t>Unterhalt
Schulliegenschaften</t>
  </si>
  <si>
    <t>Prozentuale Veränderung</t>
  </si>
  <si>
    <t>absolut</t>
  </si>
  <si>
    <t>Rundungskorrektur für Total</t>
  </si>
  <si>
    <t>Kosten 1999 pro Kind nach Volksschulstufe</t>
  </si>
  <si>
    <t>Veränderung zum Vorjahr</t>
  </si>
  <si>
    <t>Kosten pro Kind</t>
  </si>
  <si>
    <t>Gesamtkosten</t>
  </si>
  <si>
    <t>Primarschule</t>
  </si>
  <si>
    <t>Oberstufe</t>
  </si>
  <si>
    <t>406 Mio</t>
  </si>
  <si>
    <t>400 Mio</t>
  </si>
  <si>
    <t>386 Mio</t>
  </si>
  <si>
    <t>Kostensteigerung 95-00</t>
  </si>
  <si>
    <t>Aufwandposition (pro Kind)</t>
  </si>
  <si>
    <t>Schnitt</t>
  </si>
  <si>
    <t xml:space="preserve">Gesamtkosten </t>
  </si>
  <si>
    <t>Sonstiger Unterrichtsaufwand</t>
  </si>
  <si>
    <t>Abschreibung Schulliegenschaften</t>
  </si>
  <si>
    <t>Kontrolle</t>
  </si>
  <si>
    <t>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</si>
</sst>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 &quot;Fr.&quot;\ * #,##0.00_ ;_ &quot;Fr.&quot;\ * \-#,##0.00_ ;_ &quot;Fr.&quot;\ * &quot;-&quot;??_ ;_ @_ "/>
    <numFmt numFmtId="43" formatCode="_ * #,##0.00_ ;_ * \-#,##0.00_ ;_ * &quot;-&quot;??_ ;_ @_ "/>
    <numFmt numFmtId="168" formatCode="_ &quot;SFr.&quot;\ * #,##0_ ;_ &quot;SFr.&quot;\ * \-#,##0_ ;_ &quot;SFr.&quot;\ * &quot;-&quot;_ ;_ @_ "/>
    <numFmt numFmtId="169" formatCode="_ &quot;SFr.&quot;\ * #,##0.00_ ;_ &quot;SFr.&quot;\ * \-#,##0.00_ ;_ &quot;SFr.&quot;\ * &quot;-&quot;??_ ;_ @_ "/>
    <numFmt numFmtId="178" formatCode="0.0%"/>
    <numFmt numFmtId="181" formatCode="_ * #,##0_ ;_ * \-#,##0_ ;_ * &quot;-&quot;??_ ;_ @_ "/>
  </numFmts>
  <fonts count="27" x14ac:knownFonts="1">
    <font>
      <sz val="10"/>
      <name val="Arial"/>
    </font>
    <font>
      <b/>
      <sz val="10"/>
      <name val="Arial"/>
    </font>
    <font>
      <sz val="10"/>
      <name val="Arial"/>
    </font>
    <font>
      <sz val="10"/>
      <name val="Century Gothic"/>
      <family val="2"/>
    </font>
    <font>
      <sz val="18"/>
      <name val="Century Gothic"/>
      <family val="2"/>
    </font>
    <font>
      <b/>
      <sz val="10"/>
      <name val="Century Gothic"/>
      <family val="2"/>
    </font>
    <font>
      <b/>
      <sz val="10"/>
      <name val="Century Gothic"/>
    </font>
    <font>
      <sz val="10"/>
      <name val="Arial"/>
    </font>
    <font>
      <sz val="10"/>
      <name val="Century Gothic"/>
    </font>
    <font>
      <sz val="8"/>
      <name val="Arial"/>
      <family val="2"/>
    </font>
    <font>
      <sz val="6"/>
      <name val="Arial"/>
      <family val="2"/>
    </font>
    <font>
      <b/>
      <i/>
      <sz val="10"/>
      <name val="Century Gothic"/>
      <family val="2"/>
    </font>
    <font>
      <sz val="8"/>
      <name val="Century Gothic"/>
      <family val="2"/>
    </font>
    <font>
      <sz val="7"/>
      <name val="Century Gothic"/>
      <family val="2"/>
    </font>
    <font>
      <sz val="8"/>
      <name val="Arial"/>
    </font>
    <font>
      <sz val="6"/>
      <name val="Century Gothic"/>
      <family val="2"/>
    </font>
    <font>
      <b/>
      <sz val="8"/>
      <name val="Century Gothic"/>
      <family val="2"/>
    </font>
    <font>
      <sz val="10"/>
      <name val="Arial"/>
      <family val="2"/>
    </font>
    <font>
      <i/>
      <sz val="8"/>
      <name val="Century Gothic"/>
      <family val="2"/>
    </font>
    <font>
      <b/>
      <i/>
      <sz val="8"/>
      <name val="Century Gothic"/>
      <family val="2"/>
    </font>
    <font>
      <sz val="10"/>
      <color indexed="12"/>
      <name val="Century Gothic"/>
    </font>
    <font>
      <sz val="11"/>
      <name val="Arial"/>
      <family val="2"/>
    </font>
    <font>
      <b/>
      <sz val="10"/>
      <name val="Arial"/>
      <family val="2"/>
    </font>
    <font>
      <i/>
      <sz val="8"/>
      <color indexed="14"/>
      <name val="Arial"/>
      <family val="2"/>
    </font>
    <font>
      <sz val="8"/>
      <color indexed="14"/>
      <name val="Century Gothic"/>
    </font>
    <font>
      <b/>
      <sz val="10"/>
      <color indexed="10"/>
      <name val="Century Gothic"/>
      <family val="2"/>
    </font>
    <font>
      <sz val="9"/>
      <color indexed="81"/>
      <name val="Tahoma"/>
      <charset val="1"/>
    </font>
  </fonts>
  <fills count="6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33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425">
    <xf numFmtId="0" fontId="0" fillId="0" borderId="0" xfId="0"/>
    <xf numFmtId="38" fontId="3" fillId="0" borderId="0" xfId="1" applyNumberFormat="1" applyFont="1" applyBorder="1"/>
    <xf numFmtId="38" fontId="3" fillId="0" borderId="0" xfId="1" applyNumberFormat="1" applyFont="1"/>
    <xf numFmtId="0" fontId="4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0" xfId="0" applyFont="1" applyAlignment="1">
      <alignment horizontal="centerContinuous"/>
    </xf>
    <xf numFmtId="0" fontId="3" fillId="0" borderId="0" xfId="0" applyFont="1" applyAlignment="1">
      <alignment horizontal="center"/>
    </xf>
    <xf numFmtId="9" fontId="3" fillId="0" borderId="0" xfId="0" applyNumberFormat="1" applyFont="1"/>
    <xf numFmtId="0" fontId="6" fillId="0" borderId="0" xfId="0" applyFont="1" applyAlignment="1">
      <alignment vertical="center"/>
    </xf>
    <xf numFmtId="1" fontId="3" fillId="0" borderId="0" xfId="0" applyNumberFormat="1" applyFont="1"/>
    <xf numFmtId="1" fontId="0" fillId="0" borderId="0" xfId="0" applyNumberFormat="1"/>
    <xf numFmtId="1" fontId="3" fillId="0" borderId="0" xfId="0" applyNumberFormat="1" applyFont="1" applyAlignment="1">
      <alignment horizontal="centerContinuous"/>
    </xf>
    <xf numFmtId="0" fontId="6" fillId="0" borderId="0" xfId="0" applyFont="1" applyAlignment="1">
      <alignment horizontal="centerContinuous"/>
    </xf>
    <xf numFmtId="0" fontId="1" fillId="0" borderId="0" xfId="0" applyFont="1"/>
    <xf numFmtId="1" fontId="6" fillId="0" borderId="0" xfId="0" applyNumberFormat="1" applyFont="1" applyAlignment="1">
      <alignment horizontal="centerContinuous"/>
    </xf>
    <xf numFmtId="10" fontId="3" fillId="0" borderId="0" xfId="0" applyNumberFormat="1" applyFont="1"/>
    <xf numFmtId="10" fontId="3" fillId="0" borderId="0" xfId="0" applyNumberFormat="1" applyFont="1" applyAlignment="1">
      <alignment horizontal="center"/>
    </xf>
    <xf numFmtId="0" fontId="6" fillId="0" borderId="0" xfId="0" applyFont="1"/>
    <xf numFmtId="10" fontId="6" fillId="0" borderId="0" xfId="0" applyNumberFormat="1" applyFont="1"/>
    <xf numFmtId="9" fontId="6" fillId="0" borderId="0" xfId="0" applyNumberFormat="1" applyFont="1"/>
    <xf numFmtId="1" fontId="6" fillId="0" borderId="0" xfId="0" applyNumberFormat="1" applyFont="1"/>
    <xf numFmtId="0" fontId="0" fillId="0" borderId="0" xfId="0" applyAlignment="1">
      <alignment wrapText="1"/>
    </xf>
    <xf numFmtId="0" fontId="0" fillId="0" borderId="0" xfId="0" applyAlignment="1">
      <alignment horizontal="right"/>
    </xf>
    <xf numFmtId="0" fontId="9" fillId="0" borderId="0" xfId="0" applyFont="1"/>
    <xf numFmtId="3" fontId="3" fillId="0" borderId="0" xfId="0" applyNumberFormat="1" applyFont="1"/>
    <xf numFmtId="3" fontId="3" fillId="0" borderId="0" xfId="0" applyNumberFormat="1" applyFont="1" applyAlignment="1">
      <alignment horizontal="center"/>
    </xf>
    <xf numFmtId="3" fontId="0" fillId="0" borderId="0" xfId="0" applyNumberFormat="1"/>
    <xf numFmtId="3" fontId="4" fillId="0" borderId="0" xfId="0" applyNumberFormat="1" applyFont="1" applyAlignment="1">
      <alignment vertical="center"/>
    </xf>
    <xf numFmtId="3" fontId="5" fillId="0" borderId="0" xfId="0" applyNumberFormat="1" applyFont="1"/>
    <xf numFmtId="3" fontId="3" fillId="0" borderId="0" xfId="0" applyNumberFormat="1" applyFont="1" applyAlignment="1">
      <alignment horizontal="centerContinuous"/>
    </xf>
    <xf numFmtId="3" fontId="6" fillId="0" borderId="0" xfId="0" applyNumberFormat="1" applyFont="1" applyAlignment="1">
      <alignment vertical="center" wrapText="1"/>
    </xf>
    <xf numFmtId="3" fontId="5" fillId="0" borderId="0" xfId="0" applyNumberFormat="1" applyFont="1" applyAlignment="1">
      <alignment horizontal="centerContinuous" wrapText="1"/>
    </xf>
    <xf numFmtId="3" fontId="5" fillId="0" borderId="0" xfId="0" applyNumberFormat="1" applyFont="1" applyAlignment="1">
      <alignment horizontal="centerContinuous"/>
    </xf>
    <xf numFmtId="3" fontId="3" fillId="0" borderId="0" xfId="1" applyNumberFormat="1" applyFont="1"/>
    <xf numFmtId="3" fontId="7" fillId="0" borderId="0" xfId="0" applyNumberFormat="1" applyFont="1"/>
    <xf numFmtId="2" fontId="3" fillId="0" borderId="0" xfId="0" applyNumberFormat="1" applyFont="1"/>
    <xf numFmtId="10" fontId="5" fillId="0" borderId="0" xfId="0" applyNumberFormat="1" applyFont="1" applyAlignment="1">
      <alignment horizontal="centerContinuous" wrapText="1"/>
    </xf>
    <xf numFmtId="0" fontId="3" fillId="0" borderId="0" xfId="0" applyNumberFormat="1" applyFont="1" applyFill="1" applyAlignment="1">
      <alignment horizontal="center"/>
    </xf>
    <xf numFmtId="3" fontId="3" fillId="0" borderId="0" xfId="0" applyNumberFormat="1" applyFont="1" applyFill="1" applyAlignment="1">
      <alignment horizontal="centerContinuous"/>
    </xf>
    <xf numFmtId="3" fontId="3" fillId="0" borderId="0" xfId="0" applyNumberFormat="1" applyFont="1" applyFill="1" applyAlignment="1">
      <alignment horizontal="center"/>
    </xf>
    <xf numFmtId="38" fontId="3" fillId="0" borderId="1" xfId="1" applyNumberFormat="1" applyFont="1" applyBorder="1"/>
    <xf numFmtId="10" fontId="3" fillId="0" borderId="1" xfId="0" applyNumberFormat="1" applyFont="1" applyBorder="1"/>
    <xf numFmtId="3" fontId="3" fillId="0" borderId="1" xfId="0" applyNumberFormat="1" applyFont="1" applyBorder="1"/>
    <xf numFmtId="1" fontId="3" fillId="0" borderId="1" xfId="0" applyNumberFormat="1" applyFont="1" applyBorder="1"/>
    <xf numFmtId="0" fontId="3" fillId="0" borderId="1" xfId="0" applyFont="1" applyBorder="1"/>
    <xf numFmtId="9" fontId="3" fillId="0" borderId="1" xfId="0" applyNumberFormat="1" applyFont="1" applyBorder="1"/>
    <xf numFmtId="0" fontId="8" fillId="0" borderId="0" xfId="0" applyNumberFormat="1" applyFont="1" applyFill="1" applyAlignment="1">
      <alignment horizontal="center" vertical="center" wrapText="1"/>
    </xf>
    <xf numFmtId="3" fontId="3" fillId="0" borderId="1" xfId="1" applyNumberFormat="1" applyFont="1" applyBorder="1"/>
    <xf numFmtId="10" fontId="5" fillId="0" borderId="0" xfId="0" applyNumberFormat="1" applyFont="1" applyAlignment="1">
      <alignment vertical="center"/>
    </xf>
    <xf numFmtId="3" fontId="5" fillId="0" borderId="0" xfId="0" applyNumberFormat="1" applyFont="1" applyAlignment="1">
      <alignment vertical="center"/>
    </xf>
    <xf numFmtId="0" fontId="5" fillId="0" borderId="0" xfId="0" applyFont="1" applyAlignment="1">
      <alignment vertical="center" wrapText="1"/>
    </xf>
    <xf numFmtId="3" fontId="5" fillId="0" borderId="0" xfId="0" applyNumberFormat="1" applyFont="1" applyAlignment="1">
      <alignment horizontal="center" vertical="center" wrapText="1"/>
    </xf>
    <xf numFmtId="10" fontId="5" fillId="0" borderId="0" xfId="0" applyNumberFormat="1" applyFont="1" applyAlignment="1">
      <alignment horizontal="centerContinuous"/>
    </xf>
    <xf numFmtId="10" fontId="5" fillId="0" borderId="0" xfId="0" applyNumberFormat="1" applyFont="1" applyAlignment="1">
      <alignment horizontal="centerContinuous" vertical="center" wrapText="1"/>
    </xf>
    <xf numFmtId="3" fontId="5" fillId="0" borderId="0" xfId="0" applyNumberFormat="1" applyFont="1" applyAlignment="1">
      <alignment horizontal="centerContinuous" vertical="center" wrapText="1"/>
    </xf>
    <xf numFmtId="0" fontId="5" fillId="0" borderId="0" xfId="0" applyFont="1" applyAlignment="1">
      <alignment horizontal="center" vertical="center" wrapText="1"/>
    </xf>
    <xf numFmtId="0" fontId="3" fillId="0" borderId="0" xfId="0" applyNumberFormat="1" applyFont="1" applyFill="1" applyAlignment="1">
      <alignment horizontal="centerContinuous" vertical="center" wrapText="1"/>
    </xf>
    <xf numFmtId="0" fontId="3" fillId="0" borderId="0" xfId="0" applyNumberFormat="1" applyFont="1" applyFill="1" applyAlignment="1">
      <alignment horizontal="center" vertical="center" wrapText="1"/>
    </xf>
    <xf numFmtId="10" fontId="3" fillId="0" borderId="0" xfId="0" applyNumberFormat="1" applyFont="1" applyFill="1" applyAlignment="1">
      <alignment horizontal="center"/>
    </xf>
    <xf numFmtId="3" fontId="5" fillId="0" borderId="0" xfId="0" applyNumberFormat="1" applyFont="1" applyAlignment="1">
      <alignment vertical="center" wrapText="1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Continuous" vertical="center" wrapText="1"/>
    </xf>
    <xf numFmtId="1" fontId="5" fillId="0" borderId="0" xfId="0" applyNumberFormat="1" applyFont="1" applyAlignment="1">
      <alignment horizontal="center" vertical="center" wrapText="1"/>
    </xf>
    <xf numFmtId="9" fontId="5" fillId="0" borderId="0" xfId="0" applyNumberFormat="1" applyFont="1" applyAlignment="1">
      <alignment horizontal="center" vertical="center" wrapText="1"/>
    </xf>
    <xf numFmtId="1" fontId="5" fillId="0" borderId="0" xfId="0" applyNumberFormat="1" applyFont="1" applyAlignment="1">
      <alignment horizontal="centerContinuous" vertical="center" wrapText="1"/>
    </xf>
    <xf numFmtId="10" fontId="5" fillId="0" borderId="0" xfId="0" applyNumberFormat="1" applyFont="1" applyAlignment="1">
      <alignment horizontal="center" vertical="center" wrapText="1"/>
    </xf>
    <xf numFmtId="0" fontId="5" fillId="0" borderId="0" xfId="0" applyFont="1" applyFill="1" applyAlignment="1">
      <alignment vertical="center" wrapText="1"/>
    </xf>
    <xf numFmtId="3" fontId="5" fillId="0" borderId="0" xfId="0" applyNumberFormat="1" applyFont="1" applyFill="1" applyAlignment="1">
      <alignment horizontal="center" vertical="center" wrapText="1"/>
    </xf>
    <xf numFmtId="10" fontId="5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3" fillId="0" borderId="0" xfId="0" applyFont="1" applyFill="1"/>
    <xf numFmtId="1" fontId="5" fillId="0" borderId="0" xfId="0" applyNumberFormat="1" applyFont="1" applyFill="1" applyAlignment="1">
      <alignment horizontal="center" vertical="center" wrapText="1"/>
    </xf>
    <xf numFmtId="9" fontId="5" fillId="0" borderId="0" xfId="0" applyNumberFormat="1" applyFont="1" applyFill="1" applyAlignment="1">
      <alignment horizontal="center" vertical="center" wrapText="1"/>
    </xf>
    <xf numFmtId="0" fontId="3" fillId="0" borderId="0" xfId="0" applyFont="1" applyFill="1" applyAlignment="1">
      <alignment horizontal="centerContinuous" vertical="center" wrapText="1"/>
    </xf>
    <xf numFmtId="1" fontId="12" fillId="0" borderId="0" xfId="0" applyNumberFormat="1" applyFont="1" applyFill="1" applyAlignment="1">
      <alignment horizontal="center" vertical="center" wrapText="1"/>
    </xf>
    <xf numFmtId="0" fontId="13" fillId="0" borderId="0" xfId="0" applyNumberFormat="1" applyFont="1" applyFill="1" applyAlignment="1">
      <alignment horizontal="center" vertical="center" wrapText="1"/>
    </xf>
    <xf numFmtId="3" fontId="13" fillId="0" borderId="0" xfId="0" applyNumberFormat="1" applyFont="1" applyFill="1" applyAlignment="1">
      <alignment horizontal="center"/>
    </xf>
    <xf numFmtId="3" fontId="5" fillId="0" borderId="2" xfId="0" applyNumberFormat="1" applyFont="1" applyBorder="1" applyAlignment="1">
      <alignment horizontal="centerContinuous" vertical="center" wrapText="1"/>
    </xf>
    <xf numFmtId="3" fontId="3" fillId="0" borderId="2" xfId="0" applyNumberFormat="1" applyFont="1" applyBorder="1" applyAlignment="1">
      <alignment horizontal="center"/>
    </xf>
    <xf numFmtId="3" fontId="3" fillId="0" borderId="3" xfId="0" applyNumberFormat="1" applyFont="1" applyBorder="1"/>
    <xf numFmtId="3" fontId="3" fillId="0" borderId="2" xfId="0" applyNumberFormat="1" applyFont="1" applyBorder="1"/>
    <xf numFmtId="3" fontId="5" fillId="0" borderId="4" xfId="0" applyNumberFormat="1" applyFont="1" applyBorder="1" applyAlignment="1">
      <alignment horizontal="centerContinuous"/>
    </xf>
    <xf numFmtId="3" fontId="13" fillId="0" borderId="4" xfId="0" applyNumberFormat="1" applyFont="1" applyFill="1" applyBorder="1" applyAlignment="1">
      <alignment horizontal="center"/>
    </xf>
    <xf numFmtId="3" fontId="3" fillId="0" borderId="4" xfId="0" applyNumberFormat="1" applyFont="1" applyBorder="1" applyAlignment="1">
      <alignment horizontal="center"/>
    </xf>
    <xf numFmtId="3" fontId="3" fillId="0" borderId="5" xfId="0" applyNumberFormat="1" applyFont="1" applyBorder="1"/>
    <xf numFmtId="3" fontId="3" fillId="0" borderId="4" xfId="0" applyNumberFormat="1" applyFont="1" applyBorder="1"/>
    <xf numFmtId="3" fontId="5" fillId="0" borderId="4" xfId="0" applyNumberFormat="1" applyFont="1" applyBorder="1" applyAlignment="1">
      <alignment horizontal="centerContinuous" wrapText="1"/>
    </xf>
    <xf numFmtId="10" fontId="5" fillId="0" borderId="4" xfId="0" applyNumberFormat="1" applyFont="1" applyBorder="1" applyAlignment="1">
      <alignment horizontal="centerContinuous" vertical="center" wrapText="1"/>
    </xf>
    <xf numFmtId="0" fontId="3" fillId="0" borderId="4" xfId="0" applyNumberFormat="1" applyFont="1" applyFill="1" applyBorder="1" applyAlignment="1">
      <alignment horizontal="center" vertical="center" wrapText="1"/>
    </xf>
    <xf numFmtId="10" fontId="3" fillId="0" borderId="4" xfId="0" applyNumberFormat="1" applyFont="1" applyBorder="1" applyAlignment="1">
      <alignment horizontal="center"/>
    </xf>
    <xf numFmtId="10" fontId="3" fillId="0" borderId="5" xfId="0" applyNumberFormat="1" applyFont="1" applyBorder="1"/>
    <xf numFmtId="10" fontId="3" fillId="0" borderId="4" xfId="0" applyNumberFormat="1" applyFont="1" applyBorder="1"/>
    <xf numFmtId="2" fontId="5" fillId="0" borderId="6" xfId="0" applyNumberFormat="1" applyFont="1" applyBorder="1" applyAlignment="1">
      <alignment horizontal="center" vertical="center" wrapText="1"/>
    </xf>
    <xf numFmtId="3" fontId="5" fillId="0" borderId="6" xfId="0" applyNumberFormat="1" applyFont="1" applyBorder="1" applyAlignment="1">
      <alignment horizontal="center" vertical="center" wrapText="1"/>
    </xf>
    <xf numFmtId="0" fontId="3" fillId="0" borderId="6" xfId="0" applyNumberFormat="1" applyFont="1" applyFill="1" applyBorder="1" applyAlignment="1">
      <alignment horizontal="center" vertical="center" wrapText="1"/>
    </xf>
    <xf numFmtId="3" fontId="3" fillId="0" borderId="6" xfId="0" applyNumberFormat="1" applyFont="1" applyBorder="1"/>
    <xf numFmtId="10" fontId="3" fillId="0" borderId="7" xfId="0" applyNumberFormat="1" applyFont="1" applyBorder="1"/>
    <xf numFmtId="3" fontId="3" fillId="0" borderId="7" xfId="0" applyNumberFormat="1" applyFont="1" applyBorder="1"/>
    <xf numFmtId="10" fontId="3" fillId="0" borderId="6" xfId="0" applyNumberFormat="1" applyFont="1" applyBorder="1"/>
    <xf numFmtId="3" fontId="12" fillId="0" borderId="0" xfId="0" applyNumberFormat="1" applyFont="1" applyAlignment="1">
      <alignment horizontal="centerContinuous"/>
    </xf>
    <xf numFmtId="3" fontId="0" fillId="0" borderId="0" xfId="0" applyNumberFormat="1" applyAlignment="1">
      <alignment wrapText="1"/>
    </xf>
    <xf numFmtId="0" fontId="3" fillId="0" borderId="0" xfId="0" applyFont="1" applyAlignment="1">
      <alignment wrapText="1"/>
    </xf>
    <xf numFmtId="3" fontId="3" fillId="0" borderId="0" xfId="0" applyNumberFormat="1" applyFont="1" applyBorder="1"/>
    <xf numFmtId="10" fontId="6" fillId="0" borderId="0" xfId="0" applyNumberFormat="1" applyFont="1" applyAlignment="1">
      <alignment horizontal="center"/>
    </xf>
    <xf numFmtId="3" fontId="6" fillId="0" borderId="0" xfId="0" applyNumberFormat="1" applyFont="1" applyFill="1" applyAlignment="1">
      <alignment horizontal="center"/>
    </xf>
    <xf numFmtId="1" fontId="6" fillId="0" borderId="0" xfId="0" applyNumberFormat="1" applyFont="1" applyAlignment="1">
      <alignment horizontal="center"/>
    </xf>
    <xf numFmtId="3" fontId="3" fillId="0" borderId="2" xfId="0" applyNumberFormat="1" applyFont="1" applyFill="1" applyBorder="1" applyAlignment="1">
      <alignment horizontal="centerContinuous"/>
    </xf>
    <xf numFmtId="3" fontId="3" fillId="0" borderId="2" xfId="0" applyNumberFormat="1" applyFont="1" applyFill="1" applyBorder="1" applyAlignment="1">
      <alignment horizontal="center"/>
    </xf>
    <xf numFmtId="3" fontId="6" fillId="0" borderId="2" xfId="0" applyNumberFormat="1" applyFont="1" applyBorder="1" applyAlignment="1">
      <alignment horizontal="center"/>
    </xf>
    <xf numFmtId="0" fontId="3" fillId="0" borderId="0" xfId="0" applyFont="1" applyBorder="1"/>
    <xf numFmtId="0" fontId="3" fillId="0" borderId="0" xfId="0" applyFont="1" applyFill="1" applyBorder="1"/>
    <xf numFmtId="2" fontId="3" fillId="0" borderId="6" xfId="0" applyNumberFormat="1" applyFont="1" applyBorder="1" applyAlignment="1">
      <alignment horizontal="center"/>
    </xf>
    <xf numFmtId="3" fontId="3" fillId="0" borderId="6" xfId="0" applyNumberFormat="1" applyFont="1" applyBorder="1" applyAlignment="1">
      <alignment horizontal="center"/>
    </xf>
    <xf numFmtId="3" fontId="5" fillId="0" borderId="0" xfId="0" applyNumberFormat="1" applyFont="1" applyBorder="1" applyAlignment="1">
      <alignment wrapText="1"/>
    </xf>
    <xf numFmtId="44" fontId="3" fillId="0" borderId="0" xfId="3" applyFont="1"/>
    <xf numFmtId="44" fontId="5" fillId="0" borderId="0" xfId="3" applyFont="1" applyAlignment="1">
      <alignment horizontal="center" vertical="center" wrapText="1"/>
    </xf>
    <xf numFmtId="44" fontId="3" fillId="0" borderId="0" xfId="3" applyFont="1" applyFill="1" applyAlignment="1">
      <alignment horizontal="center"/>
    </xf>
    <xf numFmtId="44" fontId="3" fillId="0" borderId="0" xfId="3" applyFont="1" applyAlignment="1">
      <alignment horizontal="center"/>
    </xf>
    <xf numFmtId="44" fontId="3" fillId="0" borderId="1" xfId="3" applyFont="1" applyBorder="1"/>
    <xf numFmtId="10" fontId="3" fillId="0" borderId="0" xfId="2" applyNumberFormat="1" applyFont="1"/>
    <xf numFmtId="10" fontId="5" fillId="0" borderId="0" xfId="2" applyNumberFormat="1" applyFont="1" applyAlignment="1">
      <alignment horizontal="center" vertical="center" wrapText="1"/>
    </xf>
    <xf numFmtId="10" fontId="5" fillId="0" borderId="0" xfId="2" applyNumberFormat="1" applyFont="1" applyFill="1" applyAlignment="1">
      <alignment horizontal="center" vertical="center" wrapText="1"/>
    </xf>
    <xf numFmtId="10" fontId="3" fillId="0" borderId="0" xfId="2" applyNumberFormat="1" applyFont="1" applyAlignment="1">
      <alignment horizontal="center"/>
    </xf>
    <xf numFmtId="10" fontId="3" fillId="0" borderId="1" xfId="2" applyNumberFormat="1" applyFont="1" applyBorder="1"/>
    <xf numFmtId="38" fontId="3" fillId="0" borderId="1" xfId="0" applyNumberFormat="1" applyFont="1" applyBorder="1"/>
    <xf numFmtId="3" fontId="12" fillId="0" borderId="0" xfId="0" applyNumberFormat="1" applyFont="1" applyFill="1" applyAlignment="1">
      <alignment horizontal="center" vertical="center" wrapText="1"/>
    </xf>
    <xf numFmtId="3" fontId="5" fillId="0" borderId="0" xfId="0" applyNumberFormat="1" applyFont="1" applyBorder="1" applyAlignment="1">
      <alignment horizontal="centerContinuous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Border="1" applyAlignment="1">
      <alignment horizontal="center"/>
    </xf>
    <xf numFmtId="3" fontId="8" fillId="0" borderId="6" xfId="0" applyNumberFormat="1" applyFont="1" applyBorder="1" applyAlignment="1">
      <alignment horizontal="center" vertical="center" wrapText="1"/>
    </xf>
    <xf numFmtId="3" fontId="3" fillId="0" borderId="0" xfId="0" applyNumberFormat="1" applyFont="1" applyBorder="1" applyProtection="1">
      <protection locked="0"/>
    </xf>
    <xf numFmtId="3" fontId="15" fillId="0" borderId="0" xfId="0" applyNumberFormat="1" applyFont="1" applyBorder="1" applyProtection="1">
      <protection locked="0"/>
    </xf>
    <xf numFmtId="0" fontId="12" fillId="0" borderId="1" xfId="0" applyFont="1" applyBorder="1"/>
    <xf numFmtId="3" fontId="12" fillId="0" borderId="1" xfId="0" applyNumberFormat="1" applyFont="1" applyBorder="1"/>
    <xf numFmtId="10" fontId="12" fillId="0" borderId="1" xfId="0" applyNumberFormat="1" applyFont="1" applyBorder="1"/>
    <xf numFmtId="3" fontId="12" fillId="0" borderId="3" xfId="0" applyNumberFormat="1" applyFont="1" applyBorder="1"/>
    <xf numFmtId="0" fontId="12" fillId="0" borderId="0" xfId="0" applyFont="1"/>
    <xf numFmtId="1" fontId="12" fillId="0" borderId="1" xfId="0" applyNumberFormat="1" applyFont="1" applyBorder="1"/>
    <xf numFmtId="0" fontId="12" fillId="0" borderId="0" xfId="0" applyFont="1" applyBorder="1"/>
    <xf numFmtId="9" fontId="12" fillId="0" borderId="1" xfId="0" applyNumberFormat="1" applyFont="1" applyBorder="1"/>
    <xf numFmtId="10" fontId="12" fillId="0" borderId="0" xfId="0" applyNumberFormat="1" applyFont="1"/>
    <xf numFmtId="3" fontId="12" fillId="0" borderId="0" xfId="0" applyNumberFormat="1" applyFont="1"/>
    <xf numFmtId="3" fontId="14" fillId="0" borderId="0" xfId="0" applyNumberFormat="1" applyFont="1"/>
    <xf numFmtId="3" fontId="3" fillId="0" borderId="0" xfId="0" applyNumberFormat="1" applyFont="1" applyFill="1" applyBorder="1" applyAlignment="1">
      <alignment horizontal="center"/>
    </xf>
    <xf numFmtId="10" fontId="5" fillId="0" borderId="6" xfId="0" applyNumberFormat="1" applyFont="1" applyBorder="1" applyAlignment="1">
      <alignment horizontal="center" vertical="center" wrapText="1"/>
    </xf>
    <xf numFmtId="10" fontId="3" fillId="0" borderId="6" xfId="0" applyNumberFormat="1" applyFont="1" applyFill="1" applyBorder="1" applyAlignment="1">
      <alignment horizontal="center" vertical="center" wrapText="1"/>
    </xf>
    <xf numFmtId="10" fontId="3" fillId="0" borderId="6" xfId="0" applyNumberFormat="1" applyFont="1" applyBorder="1" applyAlignment="1">
      <alignment horizontal="center"/>
    </xf>
    <xf numFmtId="3" fontId="3" fillId="0" borderId="0" xfId="0" applyNumberFormat="1" applyFont="1" applyFill="1" applyAlignment="1">
      <alignment horizontal="center" vertical="center" wrapText="1"/>
    </xf>
    <xf numFmtId="0" fontId="5" fillId="0" borderId="0" xfId="0" applyFont="1" applyAlignment="1">
      <alignment vertical="top" wrapText="1"/>
    </xf>
    <xf numFmtId="3" fontId="3" fillId="0" borderId="0" xfId="1" applyNumberFormat="1" applyFont="1" applyBorder="1"/>
    <xf numFmtId="0" fontId="3" fillId="0" borderId="0" xfId="0" applyFont="1" applyAlignment="1">
      <alignment horizontal="centerContinuous" wrapText="1"/>
    </xf>
    <xf numFmtId="0" fontId="1" fillId="0" borderId="2" xfId="0" applyFont="1" applyBorder="1" applyAlignment="1">
      <alignment horizontal="centerContinuous" vertical="top" wrapText="1"/>
    </xf>
    <xf numFmtId="0" fontId="1" fillId="0" borderId="0" xfId="0" applyFont="1" applyBorder="1" applyAlignment="1">
      <alignment horizontal="centerContinuous" vertical="top" wrapText="1"/>
    </xf>
    <xf numFmtId="0" fontId="2" fillId="0" borderId="0" xfId="0" applyFont="1" applyBorder="1" applyAlignment="1">
      <alignment horizontal="centerContinuous" vertical="top" wrapText="1"/>
    </xf>
    <xf numFmtId="10" fontId="1" fillId="0" borderId="8" xfId="0" applyNumberFormat="1" applyFont="1" applyBorder="1" applyAlignment="1">
      <alignment horizontal="center" vertical="top" wrapText="1"/>
    </xf>
    <xf numFmtId="10" fontId="1" fillId="0" borderId="0" xfId="0" applyNumberFormat="1" applyFont="1" applyAlignment="1">
      <alignment horizontal="center" vertical="top" wrapText="1"/>
    </xf>
    <xf numFmtId="10" fontId="2" fillId="0" borderId="0" xfId="0" applyNumberFormat="1" applyFont="1" applyAlignment="1">
      <alignment horizontal="center" vertical="top" wrapText="1"/>
    </xf>
    <xf numFmtId="0" fontId="5" fillId="0" borderId="0" xfId="0" applyFont="1" applyAlignment="1">
      <alignment horizontal="right" vertical="top" wrapText="1"/>
    </xf>
    <xf numFmtId="0" fontId="1" fillId="0" borderId="0" xfId="0" applyFont="1" applyAlignment="1">
      <alignment horizontal="center" vertical="top" wrapText="1"/>
    </xf>
    <xf numFmtId="0" fontId="0" fillId="0" borderId="0" xfId="0" applyBorder="1"/>
    <xf numFmtId="10" fontId="0" fillId="0" borderId="0" xfId="0" applyNumberFormat="1" applyBorder="1"/>
    <xf numFmtId="10" fontId="0" fillId="0" borderId="0" xfId="0" applyNumberFormat="1"/>
    <xf numFmtId="0" fontId="4" fillId="0" borderId="0" xfId="0" applyFont="1" applyAlignment="1">
      <alignment horizontal="right" vertical="center"/>
    </xf>
    <xf numFmtId="0" fontId="3" fillId="0" borderId="0" xfId="0" applyFont="1" applyAlignment="1">
      <alignment horizontal="right"/>
    </xf>
    <xf numFmtId="0" fontId="0" fillId="0" borderId="0" xfId="0" applyBorder="1" applyAlignment="1">
      <alignment horizontal="centerContinuous" vertical="top"/>
    </xf>
    <xf numFmtId="0" fontId="0" fillId="0" borderId="0" xfId="0" applyBorder="1" applyAlignment="1">
      <alignment horizontal="centerContinuous"/>
    </xf>
    <xf numFmtId="10" fontId="0" fillId="0" borderId="8" xfId="0" applyNumberFormat="1" applyBorder="1" applyAlignment="1">
      <alignment horizontal="centerContinuous" vertical="top"/>
    </xf>
    <xf numFmtId="10" fontId="0" fillId="0" borderId="0" xfId="0" applyNumberFormat="1" applyAlignment="1">
      <alignment horizontal="centerContinuous"/>
    </xf>
    <xf numFmtId="10" fontId="0" fillId="0" borderId="0" xfId="0" applyNumberFormat="1" applyAlignment="1">
      <alignment horizontal="centerContinuous" vertical="top"/>
    </xf>
    <xf numFmtId="10" fontId="3" fillId="0" borderId="8" xfId="0" applyNumberFormat="1" applyFont="1" applyBorder="1"/>
    <xf numFmtId="0" fontId="5" fillId="0" borderId="0" xfId="0" applyFont="1" applyAlignment="1">
      <alignment horizontal="right"/>
    </xf>
    <xf numFmtId="10" fontId="3" fillId="0" borderId="9" xfId="0" applyNumberFormat="1" applyFont="1" applyBorder="1"/>
    <xf numFmtId="0" fontId="3" fillId="0" borderId="1" xfId="0" applyFont="1" applyBorder="1" applyAlignment="1">
      <alignment horizontal="right"/>
    </xf>
    <xf numFmtId="9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10" fontId="3" fillId="0" borderId="9" xfId="1" applyNumberFormat="1" applyFont="1" applyBorder="1"/>
    <xf numFmtId="10" fontId="3" fillId="0" borderId="1" xfId="1" applyNumberFormat="1" applyFont="1" applyBorder="1"/>
    <xf numFmtId="38" fontId="3" fillId="0" borderId="1" xfId="1" applyNumberFormat="1" applyFont="1" applyBorder="1" applyAlignment="1">
      <alignment horizontal="right"/>
    </xf>
    <xf numFmtId="10" fontId="3" fillId="0" borderId="0" xfId="1" applyNumberFormat="1" applyFont="1" applyBorder="1"/>
    <xf numFmtId="38" fontId="3" fillId="0" borderId="0" xfId="1" applyNumberFormat="1" applyFont="1" applyBorder="1" applyAlignment="1">
      <alignment horizontal="right"/>
    </xf>
    <xf numFmtId="10" fontId="3" fillId="0" borderId="0" xfId="1" applyNumberFormat="1" applyFont="1"/>
    <xf numFmtId="38" fontId="3" fillId="0" borderId="0" xfId="1" applyNumberFormat="1" applyFont="1" applyAlignment="1">
      <alignment horizontal="right"/>
    </xf>
    <xf numFmtId="3" fontId="3" fillId="0" borderId="10" xfId="0" applyNumberFormat="1" applyFont="1" applyBorder="1"/>
    <xf numFmtId="3" fontId="3" fillId="0" borderId="11" xfId="0" applyNumberFormat="1" applyFont="1" applyBorder="1"/>
    <xf numFmtId="0" fontId="1" fillId="0" borderId="4" xfId="0" applyFont="1" applyBorder="1" applyAlignment="1">
      <alignment horizontal="centerContinuous" vertical="top" wrapText="1"/>
    </xf>
    <xf numFmtId="3" fontId="3" fillId="0" borderId="5" xfId="1" applyNumberFormat="1" applyFont="1" applyBorder="1"/>
    <xf numFmtId="0" fontId="2" fillId="0" borderId="4" xfId="0" applyFont="1" applyBorder="1" applyAlignment="1">
      <alignment horizontal="centerContinuous" vertical="top" wrapText="1"/>
    </xf>
    <xf numFmtId="10" fontId="3" fillId="0" borderId="0" xfId="0" applyNumberFormat="1" applyFont="1" applyBorder="1"/>
    <xf numFmtId="0" fontId="3" fillId="0" borderId="0" xfId="0" applyFont="1" applyBorder="1" applyAlignment="1">
      <alignment horizontal="right"/>
    </xf>
    <xf numFmtId="0" fontId="5" fillId="0" borderId="0" xfId="0" applyFont="1" applyBorder="1"/>
    <xf numFmtId="0" fontId="5" fillId="0" borderId="0" xfId="0" applyFont="1" applyBorder="1" applyAlignment="1">
      <alignment horizontal="right"/>
    </xf>
    <xf numFmtId="38" fontId="6" fillId="0" borderId="1" xfId="1" applyNumberFormat="1" applyFont="1" applyBorder="1"/>
    <xf numFmtId="0" fontId="6" fillId="0" borderId="0" xfId="0" applyFont="1" applyBorder="1" applyAlignment="1">
      <alignment horizontal="left"/>
    </xf>
    <xf numFmtId="0" fontId="6" fillId="0" borderId="0" xfId="0" applyFont="1" applyBorder="1" applyAlignment="1">
      <alignment horizontal="right"/>
    </xf>
    <xf numFmtId="0" fontId="0" fillId="0" borderId="12" xfId="0" applyBorder="1" applyAlignment="1">
      <alignment horizontal="centerContinuous"/>
    </xf>
    <xf numFmtId="0" fontId="1" fillId="0" borderId="12" xfId="0" applyFont="1" applyBorder="1" applyAlignment="1">
      <alignment horizontal="centerContinuous" vertical="top" wrapText="1"/>
    </xf>
    <xf numFmtId="3" fontId="3" fillId="0" borderId="12" xfId="0" applyNumberFormat="1" applyFont="1" applyBorder="1"/>
    <xf numFmtId="10" fontId="3" fillId="0" borderId="12" xfId="0" applyNumberFormat="1" applyFont="1" applyBorder="1"/>
    <xf numFmtId="0" fontId="0" fillId="0" borderId="12" xfId="0" applyBorder="1" applyAlignment="1">
      <alignment horizontal="center"/>
    </xf>
    <xf numFmtId="10" fontId="0" fillId="0" borderId="12" xfId="0" applyNumberFormat="1" applyBorder="1" applyAlignment="1">
      <alignment horizontal="centerContinuous"/>
    </xf>
    <xf numFmtId="10" fontId="1" fillId="0" borderId="12" xfId="0" applyNumberFormat="1" applyFont="1" applyBorder="1" applyAlignment="1">
      <alignment horizontal="center" vertical="top" wrapText="1"/>
    </xf>
    <xf numFmtId="10" fontId="3" fillId="0" borderId="11" xfId="0" applyNumberFormat="1" applyFont="1" applyBorder="1"/>
    <xf numFmtId="10" fontId="3" fillId="0" borderId="12" xfId="1" applyNumberFormat="1" applyFont="1" applyBorder="1"/>
    <xf numFmtId="10" fontId="3" fillId="0" borderId="11" xfId="1" applyNumberFormat="1" applyFont="1" applyBorder="1"/>
    <xf numFmtId="3" fontId="3" fillId="0" borderId="0" xfId="0" applyNumberFormat="1" applyFont="1" applyProtection="1"/>
    <xf numFmtId="10" fontId="3" fillId="0" borderId="0" xfId="0" applyNumberFormat="1" applyFont="1" applyProtection="1"/>
    <xf numFmtId="0" fontId="3" fillId="0" borderId="0" xfId="0" applyFont="1" applyProtection="1"/>
    <xf numFmtId="0" fontId="3" fillId="0" borderId="0" xfId="0" applyNumberFormat="1" applyFont="1" applyFill="1" applyAlignment="1" applyProtection="1">
      <alignment horizontal="centerContinuous" vertical="center" wrapText="1"/>
    </xf>
    <xf numFmtId="0" fontId="3" fillId="0" borderId="0" xfId="0" applyNumberFormat="1" applyFont="1" applyFill="1" applyAlignment="1" applyProtection="1">
      <alignment horizontal="center" vertical="center" wrapText="1"/>
    </xf>
    <xf numFmtId="3" fontId="12" fillId="0" borderId="0" xfId="0" applyNumberFormat="1" applyFont="1" applyFill="1" applyAlignment="1" applyProtection="1">
      <alignment horizontal="center" vertical="center" wrapText="1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Alignment="1" applyProtection="1">
      <alignment horizontal="center" vertical="center" wrapText="1"/>
    </xf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 vertical="center" wrapText="1"/>
    </xf>
    <xf numFmtId="10" fontId="3" fillId="0" borderId="0" xfId="0" applyNumberFormat="1" applyFont="1" applyFill="1" applyAlignment="1" applyProtection="1">
      <alignment horizontal="center"/>
    </xf>
    <xf numFmtId="3" fontId="3" fillId="0" borderId="0" xfId="0" applyNumberFormat="1" applyFont="1" applyFill="1" applyAlignment="1" applyProtection="1">
      <alignment horizontal="center"/>
    </xf>
    <xf numFmtId="3" fontId="12" fillId="0" borderId="4" xfId="0" applyNumberFormat="1" applyFont="1" applyFill="1" applyBorder="1" applyAlignment="1" applyProtection="1">
      <alignment horizontal="center"/>
    </xf>
    <xf numFmtId="10" fontId="3" fillId="0" borderId="0" xfId="0" applyNumberFormat="1" applyFont="1" applyFill="1" applyAlignment="1" applyProtection="1">
      <alignment horizontal="center" vertical="center" wrapText="1"/>
    </xf>
    <xf numFmtId="3" fontId="3" fillId="0" borderId="4" xfId="0" applyNumberFormat="1" applyFont="1" applyFill="1" applyBorder="1" applyAlignment="1" applyProtection="1">
      <alignment horizontal="center" vertical="center" wrapText="1"/>
    </xf>
    <xf numFmtId="10" fontId="3" fillId="0" borderId="4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>
      <alignment horizontal="center" vertical="center" wrapText="1"/>
    </xf>
    <xf numFmtId="10" fontId="3" fillId="0" borderId="2" xfId="0" applyNumberFormat="1" applyFont="1" applyFill="1" applyBorder="1" applyAlignment="1" applyProtection="1">
      <alignment horizontal="center" vertical="center" wrapText="1"/>
    </xf>
    <xf numFmtId="3" fontId="3" fillId="0" borderId="1" xfId="0" applyNumberFormat="1" applyFont="1" applyBorder="1" applyProtection="1"/>
    <xf numFmtId="3" fontId="3" fillId="0" borderId="5" xfId="0" applyNumberFormat="1" applyFont="1" applyBorder="1" applyProtection="1"/>
    <xf numFmtId="3" fontId="3" fillId="0" borderId="3" xfId="0" applyNumberFormat="1" applyFont="1" applyBorder="1" applyProtection="1"/>
    <xf numFmtId="10" fontId="3" fillId="0" borderId="1" xfId="0" applyNumberFormat="1" applyFont="1" applyBorder="1" applyProtection="1"/>
    <xf numFmtId="10" fontId="3" fillId="0" borderId="3" xfId="0" applyNumberFormat="1" applyFont="1" applyBorder="1" applyProtection="1"/>
    <xf numFmtId="3" fontId="3" fillId="2" borderId="0" xfId="0" applyNumberFormat="1" applyFont="1" applyFill="1" applyProtection="1"/>
    <xf numFmtId="2" fontId="3" fillId="2" borderId="0" xfId="0" applyNumberFormat="1" applyFont="1" applyFill="1" applyProtection="1">
      <protection locked="0"/>
    </xf>
    <xf numFmtId="3" fontId="3" fillId="2" borderId="0" xfId="0" applyNumberFormat="1" applyFont="1" applyFill="1" applyProtection="1">
      <protection locked="0"/>
    </xf>
    <xf numFmtId="38" fontId="3" fillId="0" borderId="0" xfId="1" applyNumberFormat="1" applyFont="1" applyFill="1" applyProtection="1"/>
    <xf numFmtId="2" fontId="3" fillId="0" borderId="0" xfId="1" applyNumberFormat="1" applyFont="1" applyFill="1" applyProtection="1"/>
    <xf numFmtId="38" fontId="3" fillId="0" borderId="0" xfId="1" applyNumberFormat="1" applyFont="1" applyFill="1" applyBorder="1" applyProtection="1"/>
    <xf numFmtId="3" fontId="3" fillId="0" borderId="0" xfId="0" applyNumberFormat="1" applyFont="1" applyFill="1" applyProtection="1"/>
    <xf numFmtId="3" fontId="3" fillId="0" borderId="4" xfId="0" applyNumberFormat="1" applyFont="1" applyFill="1" applyBorder="1" applyProtection="1"/>
    <xf numFmtId="3" fontId="3" fillId="0" borderId="2" xfId="0" applyNumberFormat="1" applyFont="1" applyFill="1" applyBorder="1" applyProtection="1"/>
    <xf numFmtId="3" fontId="3" fillId="0" borderId="0" xfId="0" applyNumberFormat="1" applyFont="1" applyFill="1" applyBorder="1" applyProtection="1"/>
    <xf numFmtId="10" fontId="3" fillId="0" borderId="2" xfId="0" applyNumberFormat="1" applyFont="1" applyFill="1" applyBorder="1" applyProtection="1"/>
    <xf numFmtId="3" fontId="3" fillId="0" borderId="6" xfId="0" applyNumberFormat="1" applyFont="1" applyFill="1" applyBorder="1" applyProtection="1"/>
    <xf numFmtId="0" fontId="3" fillId="0" borderId="0" xfId="0" applyFont="1" applyFill="1" applyProtection="1"/>
    <xf numFmtId="0" fontId="5" fillId="0" borderId="0" xfId="0" applyFont="1" applyFill="1" applyProtection="1"/>
    <xf numFmtId="2" fontId="3" fillId="0" borderId="0" xfId="0" applyNumberFormat="1" applyFont="1" applyFill="1" applyProtection="1"/>
    <xf numFmtId="0" fontId="3" fillId="0" borderId="1" xfId="0" applyFont="1" applyFill="1" applyBorder="1" applyProtection="1"/>
    <xf numFmtId="38" fontId="3" fillId="0" borderId="1" xfId="1" applyNumberFormat="1" applyFont="1" applyFill="1" applyBorder="1" applyProtection="1"/>
    <xf numFmtId="3" fontId="3" fillId="0" borderId="1" xfId="0" applyNumberFormat="1" applyFont="1" applyFill="1" applyBorder="1" applyProtection="1"/>
    <xf numFmtId="3" fontId="3" fillId="0" borderId="5" xfId="0" applyNumberFormat="1" applyFont="1" applyFill="1" applyBorder="1" applyProtection="1"/>
    <xf numFmtId="3" fontId="3" fillId="0" borderId="3" xfId="0" applyNumberFormat="1" applyFont="1" applyFill="1" applyBorder="1" applyProtection="1"/>
    <xf numFmtId="10" fontId="3" fillId="0" borderId="1" xfId="0" applyNumberFormat="1" applyFont="1" applyFill="1" applyBorder="1" applyProtection="1"/>
    <xf numFmtId="10" fontId="3" fillId="0" borderId="3" xfId="0" applyNumberFormat="1" applyFont="1" applyFill="1" applyBorder="1" applyProtection="1"/>
    <xf numFmtId="3" fontId="15" fillId="0" borderId="2" xfId="0" applyNumberFormat="1" applyFont="1" applyFill="1" applyBorder="1" applyProtection="1"/>
    <xf numFmtId="3" fontId="15" fillId="0" borderId="0" xfId="0" applyNumberFormat="1" applyFont="1" applyFill="1" applyBorder="1" applyProtection="1"/>
    <xf numFmtId="10" fontId="3" fillId="0" borderId="0" xfId="0" applyNumberFormat="1" applyFont="1" applyFill="1" applyProtection="1"/>
    <xf numFmtId="0" fontId="12" fillId="0" borderId="1" xfId="0" applyFont="1" applyFill="1" applyBorder="1" applyProtection="1"/>
    <xf numFmtId="3" fontId="12" fillId="0" borderId="1" xfId="0" applyNumberFormat="1" applyFont="1" applyFill="1" applyBorder="1" applyProtection="1"/>
    <xf numFmtId="3" fontId="12" fillId="0" borderId="3" xfId="0" applyNumberFormat="1" applyFont="1" applyFill="1" applyBorder="1" applyProtection="1"/>
    <xf numFmtId="3" fontId="12" fillId="0" borderId="0" xfId="0" applyNumberFormat="1" applyFont="1" applyFill="1" applyProtection="1"/>
    <xf numFmtId="0" fontId="12" fillId="0" borderId="0" xfId="0" applyFont="1" applyFill="1" applyProtection="1"/>
    <xf numFmtId="0" fontId="3" fillId="0" borderId="0" xfId="0" applyFont="1" applyFill="1" applyAlignment="1" applyProtection="1">
      <alignment wrapText="1"/>
    </xf>
    <xf numFmtId="0" fontId="0" fillId="0" borderId="0" xfId="0" applyFill="1" applyProtection="1"/>
    <xf numFmtId="0" fontId="4" fillId="0" borderId="0" xfId="0" applyFont="1" applyFill="1" applyAlignment="1" applyProtection="1">
      <alignment vertical="center"/>
    </xf>
    <xf numFmtId="2" fontId="4" fillId="0" borderId="0" xfId="0" applyNumberFormat="1" applyFont="1" applyFill="1" applyAlignment="1" applyProtection="1">
      <alignment vertical="center"/>
    </xf>
    <xf numFmtId="10" fontId="5" fillId="0" borderId="0" xfId="0" applyNumberFormat="1" applyFont="1" applyFill="1" applyAlignment="1" applyProtection="1">
      <alignment vertical="center"/>
    </xf>
    <xf numFmtId="3" fontId="5" fillId="0" borderId="0" xfId="0" applyNumberFormat="1" applyFont="1" applyFill="1" applyAlignment="1" applyProtection="1">
      <alignment vertical="center"/>
    </xf>
    <xf numFmtId="2" fontId="5" fillId="0" borderId="0" xfId="0" applyNumberFormat="1" applyFont="1" applyFill="1" applyProtection="1"/>
    <xf numFmtId="3" fontId="3" fillId="0" borderId="0" xfId="0" applyNumberFormat="1" applyFont="1" applyFill="1" applyAlignment="1" applyProtection="1">
      <alignment horizontal="centerContinuous"/>
    </xf>
    <xf numFmtId="10" fontId="3" fillId="0" borderId="0" xfId="0" applyNumberFormat="1" applyFont="1" applyFill="1" applyAlignment="1" applyProtection="1">
      <alignment horizontal="centerContinuous"/>
    </xf>
    <xf numFmtId="0" fontId="5" fillId="0" borderId="0" xfId="0" applyFont="1" applyFill="1" applyAlignment="1" applyProtection="1">
      <alignment vertical="center" wrapText="1"/>
    </xf>
    <xf numFmtId="2" fontId="5" fillId="0" borderId="0" xfId="0" applyNumberFormat="1" applyFont="1" applyFill="1" applyAlignment="1" applyProtection="1">
      <alignment vertical="center" wrapText="1"/>
    </xf>
    <xf numFmtId="0" fontId="5" fillId="0" borderId="0" xfId="0" applyFont="1" applyFill="1" applyAlignment="1" applyProtection="1">
      <alignment horizontal="center" vertical="center" wrapText="1"/>
    </xf>
    <xf numFmtId="3" fontId="5" fillId="0" borderId="0" xfId="0" applyNumberFormat="1" applyFont="1" applyFill="1" applyAlignment="1" applyProtection="1">
      <alignment horizontal="center" vertical="center" wrapText="1"/>
    </xf>
    <xf numFmtId="3" fontId="5" fillId="0" borderId="4" xfId="0" applyNumberFormat="1" applyFont="1" applyFill="1" applyBorder="1" applyAlignment="1" applyProtection="1">
      <alignment horizontal="center" vertical="center" wrapText="1"/>
    </xf>
    <xf numFmtId="3" fontId="5" fillId="0" borderId="2" xfId="0" applyNumberFormat="1" applyFont="1" applyFill="1" applyBorder="1" applyAlignment="1" applyProtection="1">
      <alignment horizontal="centerContinuous" vertical="center" wrapText="1"/>
    </xf>
    <xf numFmtId="10" fontId="5" fillId="0" borderId="0" xfId="0" applyNumberFormat="1" applyFont="1" applyFill="1" applyAlignment="1" applyProtection="1">
      <alignment horizontal="centerContinuous"/>
    </xf>
    <xf numFmtId="3" fontId="5" fillId="0" borderId="0" xfId="0" applyNumberFormat="1" applyFont="1" applyFill="1" applyAlignment="1" applyProtection="1">
      <alignment horizontal="centerContinuous"/>
    </xf>
    <xf numFmtId="3" fontId="5" fillId="0" borderId="4" xfId="0" applyNumberFormat="1" applyFont="1" applyFill="1" applyBorder="1" applyAlignment="1" applyProtection="1">
      <alignment horizontal="centerContinuous"/>
    </xf>
    <xf numFmtId="10" fontId="5" fillId="0" borderId="0" xfId="0" applyNumberFormat="1" applyFont="1" applyFill="1" applyAlignment="1" applyProtection="1">
      <alignment horizontal="centerContinuous" vertical="center" wrapText="1"/>
    </xf>
    <xf numFmtId="3" fontId="5" fillId="0" borderId="0" xfId="0" applyNumberFormat="1" applyFont="1" applyFill="1" applyAlignment="1" applyProtection="1">
      <alignment horizontal="centerContinuous" vertical="center" wrapText="1"/>
    </xf>
    <xf numFmtId="3" fontId="5" fillId="0" borderId="4" xfId="0" applyNumberFormat="1" applyFont="1" applyFill="1" applyBorder="1" applyAlignment="1" applyProtection="1">
      <alignment horizontal="centerContinuous" vertical="center" wrapText="1"/>
    </xf>
    <xf numFmtId="3" fontId="11" fillId="0" borderId="0" xfId="0" applyNumberFormat="1" applyFont="1" applyFill="1" applyAlignment="1" applyProtection="1">
      <alignment horizontal="centerContinuous" vertical="center" wrapText="1"/>
    </xf>
    <xf numFmtId="3" fontId="6" fillId="0" borderId="2" xfId="0" applyNumberFormat="1" applyFont="1" applyFill="1" applyBorder="1" applyAlignment="1" applyProtection="1">
      <alignment horizontal="centerContinuous" vertical="center" wrapText="1"/>
    </xf>
    <xf numFmtId="10" fontId="6" fillId="0" borderId="0" xfId="0" applyNumberFormat="1" applyFont="1" applyFill="1" applyAlignment="1" applyProtection="1">
      <alignment horizontal="centerContinuous" vertical="center" wrapText="1"/>
    </xf>
    <xf numFmtId="3" fontId="6" fillId="0" borderId="0" xfId="0" applyNumberFormat="1" applyFont="1" applyFill="1" applyAlignment="1" applyProtection="1">
      <alignment horizontal="centerContinuous" vertical="center" wrapText="1"/>
    </xf>
    <xf numFmtId="3" fontId="6" fillId="0" borderId="4" xfId="0" applyNumberFormat="1" applyFont="1" applyFill="1" applyBorder="1" applyAlignment="1" applyProtection="1">
      <alignment horizontal="centerContinuous" vertical="center" wrapText="1"/>
    </xf>
    <xf numFmtId="10" fontId="5" fillId="0" borderId="2" xfId="0" applyNumberFormat="1" applyFont="1" applyFill="1" applyBorder="1" applyAlignment="1" applyProtection="1">
      <alignment horizontal="center" vertical="center" wrapText="1"/>
    </xf>
    <xf numFmtId="3" fontId="5" fillId="0" borderId="0" xfId="0" applyNumberFormat="1" applyFont="1" applyFill="1" applyAlignment="1" applyProtection="1">
      <alignment vertical="center" wrapText="1"/>
    </xf>
    <xf numFmtId="0" fontId="3" fillId="0" borderId="0" xfId="0" applyFont="1" applyFill="1" applyAlignment="1" applyProtection="1">
      <alignment horizontal="center"/>
    </xf>
    <xf numFmtId="2" fontId="3" fillId="0" borderId="0" xfId="0" applyNumberFormat="1" applyFont="1" applyFill="1" applyAlignment="1" applyProtection="1">
      <alignment horizontal="center"/>
    </xf>
    <xf numFmtId="3" fontId="3" fillId="0" borderId="4" xfId="0" applyNumberFormat="1" applyFont="1" applyFill="1" applyBorder="1" applyAlignment="1" applyProtection="1">
      <alignment horizontal="center"/>
    </xf>
    <xf numFmtId="3" fontId="12" fillId="0" borderId="0" xfId="0" applyNumberFormat="1" applyFont="1" applyFill="1" applyAlignment="1" applyProtection="1">
      <alignment horizontal="center"/>
    </xf>
    <xf numFmtId="3" fontId="3" fillId="0" borderId="2" xfId="0" applyNumberFormat="1" applyFont="1" applyFill="1" applyBorder="1" applyAlignment="1" applyProtection="1">
      <alignment horizontal="center"/>
    </xf>
    <xf numFmtId="3" fontId="3" fillId="0" borderId="0" xfId="0" applyNumberFormat="1" applyFont="1" applyFill="1" applyBorder="1" applyAlignment="1" applyProtection="1">
      <alignment horizontal="center"/>
    </xf>
    <xf numFmtId="10" fontId="3" fillId="0" borderId="4" xfId="0" applyNumberFormat="1" applyFont="1" applyFill="1" applyBorder="1" applyAlignment="1" applyProtection="1">
      <alignment horizontal="center"/>
    </xf>
    <xf numFmtId="10" fontId="3" fillId="0" borderId="2" xfId="0" applyNumberFormat="1" applyFont="1" applyFill="1" applyBorder="1" applyAlignment="1" applyProtection="1">
      <alignment horizontal="center"/>
    </xf>
    <xf numFmtId="0" fontId="3" fillId="0" borderId="0" xfId="0" applyFont="1" applyAlignment="1">
      <alignment horizontal="center" wrapText="1"/>
    </xf>
    <xf numFmtId="3" fontId="3" fillId="0" borderId="0" xfId="0" applyNumberFormat="1" applyFont="1" applyAlignment="1">
      <alignment horizontal="center" wrapText="1"/>
    </xf>
    <xf numFmtId="1" fontId="3" fillId="0" borderId="0" xfId="0" applyNumberFormat="1" applyFont="1" applyAlignment="1">
      <alignment horizontal="center" wrapText="1"/>
    </xf>
    <xf numFmtId="3" fontId="3" fillId="0" borderId="0" xfId="0" applyNumberFormat="1" applyFont="1" applyAlignment="1">
      <alignment wrapText="1"/>
    </xf>
    <xf numFmtId="9" fontId="3" fillId="0" borderId="0" xfId="0" applyNumberFormat="1" applyFont="1" applyAlignment="1">
      <alignment horizontal="center" wrapText="1"/>
    </xf>
    <xf numFmtId="3" fontId="12" fillId="0" borderId="0" xfId="0" applyNumberFormat="1" applyFont="1" applyFill="1" applyAlignment="1">
      <alignment horizontal="center"/>
    </xf>
    <xf numFmtId="0" fontId="3" fillId="0" borderId="0" xfId="0" applyFont="1" applyAlignment="1">
      <alignment horizontal="left"/>
    </xf>
    <xf numFmtId="3" fontId="3" fillId="0" borderId="0" xfId="0" applyNumberFormat="1" applyFont="1" applyAlignment="1">
      <alignment horizontal="left"/>
    </xf>
    <xf numFmtId="0" fontId="0" fillId="0" borderId="0" xfId="0" applyBorder="1" applyAlignment="1">
      <alignment horizontal="left"/>
    </xf>
    <xf numFmtId="0" fontId="12" fillId="0" borderId="13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10" fontId="14" fillId="0" borderId="18" xfId="0" applyNumberFormat="1" applyFont="1" applyBorder="1" applyAlignment="1">
      <alignment horizontal="center" vertical="center"/>
    </xf>
    <xf numFmtId="10" fontId="14" fillId="0" borderId="16" xfId="0" applyNumberFormat="1" applyFont="1" applyBorder="1" applyAlignment="1">
      <alignment horizontal="center" vertical="center"/>
    </xf>
    <xf numFmtId="10" fontId="14" fillId="0" borderId="17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38" fontId="6" fillId="0" borderId="19" xfId="1" applyNumberFormat="1" applyFont="1" applyBorder="1" applyAlignment="1">
      <alignment vertical="center"/>
    </xf>
    <xf numFmtId="3" fontId="6" fillId="0" borderId="19" xfId="1" applyNumberFormat="1" applyFont="1" applyBorder="1" applyAlignment="1">
      <alignment vertical="center"/>
    </xf>
    <xf numFmtId="3" fontId="6" fillId="0" borderId="20" xfId="1" applyNumberFormat="1" applyFont="1" applyBorder="1" applyAlignment="1">
      <alignment vertical="center"/>
    </xf>
    <xf numFmtId="3" fontId="6" fillId="0" borderId="19" xfId="0" applyNumberFormat="1" applyFont="1" applyBorder="1" applyAlignment="1">
      <alignment vertical="center"/>
    </xf>
    <xf numFmtId="10" fontId="6" fillId="0" borderId="21" xfId="0" applyNumberFormat="1" applyFont="1" applyBorder="1" applyAlignment="1">
      <alignment vertical="center"/>
    </xf>
    <xf numFmtId="10" fontId="6" fillId="0" borderId="19" xfId="0" applyNumberFormat="1" applyFont="1" applyBorder="1" applyAlignment="1">
      <alignment vertical="center"/>
    </xf>
    <xf numFmtId="10" fontId="6" fillId="0" borderId="22" xfId="0" applyNumberFormat="1" applyFont="1" applyBorder="1" applyAlignment="1">
      <alignment vertical="center"/>
    </xf>
    <xf numFmtId="38" fontId="6" fillId="0" borderId="19" xfId="1" applyNumberFormat="1" applyFont="1" applyBorder="1" applyAlignment="1">
      <alignment horizontal="right" vertical="center"/>
    </xf>
    <xf numFmtId="3" fontId="6" fillId="0" borderId="22" xfId="0" applyNumberFormat="1" applyFont="1" applyBorder="1" applyAlignment="1">
      <alignment vertical="center"/>
    </xf>
    <xf numFmtId="10" fontId="6" fillId="0" borderId="19" xfId="1" applyNumberFormat="1" applyFont="1" applyBorder="1" applyAlignment="1">
      <alignment vertical="center"/>
    </xf>
    <xf numFmtId="3" fontId="3" fillId="3" borderId="0" xfId="0" applyNumberFormat="1" applyFont="1" applyFill="1" applyAlignment="1">
      <alignment horizontal="centerContinuous"/>
    </xf>
    <xf numFmtId="0" fontId="3" fillId="3" borderId="0" xfId="0" applyFont="1" applyFill="1"/>
    <xf numFmtId="3" fontId="3" fillId="3" borderId="0" xfId="0" applyNumberFormat="1" applyFont="1" applyFill="1" applyAlignment="1" applyProtection="1">
      <alignment horizontal="center" vertical="center" wrapText="1"/>
    </xf>
    <xf numFmtId="0" fontId="3" fillId="3" borderId="0" xfId="0" applyNumberFormat="1" applyFont="1" applyFill="1" applyAlignment="1" applyProtection="1">
      <alignment horizontal="center" vertical="center" wrapText="1"/>
    </xf>
    <xf numFmtId="0" fontId="3" fillId="3" borderId="2" xfId="0" applyNumberFormat="1" applyFont="1" applyFill="1" applyBorder="1" applyAlignment="1" applyProtection="1">
      <alignment horizontal="center" vertical="center" wrapText="1"/>
    </xf>
    <xf numFmtId="0" fontId="3" fillId="4" borderId="0" xfId="0" applyNumberFormat="1" applyFont="1" applyFill="1" applyAlignment="1" applyProtection="1">
      <alignment horizontal="center" vertical="center" wrapText="1"/>
    </xf>
    <xf numFmtId="38" fontId="3" fillId="0" borderId="1" xfId="1" applyNumberFormat="1" applyFont="1" applyBorder="1" applyProtection="1">
      <protection locked="0"/>
    </xf>
    <xf numFmtId="0" fontId="3" fillId="2" borderId="0" xfId="0" applyFont="1" applyFill="1" applyAlignment="1">
      <alignment horizontal="center" wrapText="1"/>
    </xf>
    <xf numFmtId="0" fontId="3" fillId="3" borderId="0" xfId="0" applyNumberFormat="1" applyFont="1" applyFill="1" applyAlignment="1">
      <alignment horizontal="center"/>
    </xf>
    <xf numFmtId="0" fontId="3" fillId="3" borderId="2" xfId="0" applyNumberFormat="1" applyFont="1" applyFill="1" applyBorder="1" applyAlignment="1">
      <alignment horizontal="center" vertical="center" wrapText="1"/>
    </xf>
    <xf numFmtId="0" fontId="3" fillId="3" borderId="0" xfId="0" applyNumberFormat="1" applyFont="1" applyFill="1" applyAlignment="1">
      <alignment horizontal="center" vertical="center" wrapText="1"/>
    </xf>
    <xf numFmtId="0" fontId="3" fillId="3" borderId="6" xfId="0" applyNumberFormat="1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/>
    </xf>
    <xf numFmtId="3" fontId="3" fillId="3" borderId="0" xfId="0" applyNumberFormat="1" applyFont="1" applyFill="1" applyAlignment="1">
      <alignment horizontal="center"/>
    </xf>
    <xf numFmtId="3" fontId="3" fillId="3" borderId="2" xfId="0" applyNumberFormat="1" applyFont="1" applyFill="1" applyBorder="1" applyAlignment="1">
      <alignment horizontal="centerContinuous"/>
    </xf>
    <xf numFmtId="3" fontId="3" fillId="0" borderId="0" xfId="3" applyNumberFormat="1" applyFont="1"/>
    <xf numFmtId="3" fontId="5" fillId="0" borderId="0" xfId="3" applyNumberFormat="1" applyFont="1" applyAlignment="1">
      <alignment horizontal="center" vertical="center" wrapText="1"/>
    </xf>
    <xf numFmtId="3" fontId="3" fillId="0" borderId="0" xfId="3" applyNumberFormat="1" applyFont="1" applyAlignment="1">
      <alignment horizontal="center"/>
    </xf>
    <xf numFmtId="3" fontId="3" fillId="0" borderId="1" xfId="3" applyNumberFormat="1" applyFont="1" applyBorder="1"/>
    <xf numFmtId="3" fontId="3" fillId="3" borderId="0" xfId="0" applyNumberFormat="1" applyFont="1" applyFill="1" applyAlignment="1">
      <alignment horizontal="center" vertical="center" wrapText="1"/>
    </xf>
    <xf numFmtId="3" fontId="0" fillId="0" borderId="0" xfId="0" applyNumberFormat="1" applyFill="1" applyProtection="1"/>
    <xf numFmtId="3" fontId="3" fillId="3" borderId="2" xfId="0" applyNumberFormat="1" applyFont="1" applyFill="1" applyBorder="1" applyAlignment="1" applyProtection="1">
      <alignment horizontal="center" vertical="center" wrapText="1"/>
    </xf>
    <xf numFmtId="3" fontId="3" fillId="0" borderId="23" xfId="0" applyNumberFormat="1" applyFont="1" applyBorder="1"/>
    <xf numFmtId="3" fontId="5" fillId="0" borderId="23" xfId="0" applyNumberFormat="1" applyFont="1" applyFill="1" applyBorder="1" applyAlignment="1">
      <alignment horizontal="center" vertical="top" wrapText="1"/>
    </xf>
    <xf numFmtId="3" fontId="12" fillId="0" borderId="24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Continuous" vertical="top"/>
    </xf>
    <xf numFmtId="3" fontId="3" fillId="0" borderId="3" xfId="1" applyNumberFormat="1" applyFont="1" applyBorder="1"/>
    <xf numFmtId="3" fontId="6" fillId="0" borderId="25" xfId="1" applyNumberFormat="1" applyFont="1" applyBorder="1" applyAlignment="1">
      <alignment vertical="center"/>
    </xf>
    <xf numFmtId="3" fontId="3" fillId="0" borderId="26" xfId="0" applyNumberFormat="1" applyFont="1" applyBorder="1" applyAlignment="1">
      <alignment horizontal="right"/>
    </xf>
    <xf numFmtId="3" fontId="3" fillId="0" borderId="8" xfId="0" applyNumberFormat="1" applyFont="1" applyBorder="1" applyAlignment="1">
      <alignment horizontal="right"/>
    </xf>
    <xf numFmtId="3" fontId="3" fillId="0" borderId="26" xfId="1" applyNumberFormat="1" applyFont="1" applyBorder="1" applyAlignment="1">
      <alignment horizontal="right"/>
    </xf>
    <xf numFmtId="3" fontId="6" fillId="0" borderId="27" xfId="1" applyNumberFormat="1" applyFont="1" applyBorder="1" applyAlignment="1">
      <alignment horizontal="right" vertical="center"/>
    </xf>
    <xf numFmtId="3" fontId="3" fillId="0" borderId="8" xfId="1" applyNumberFormat="1" applyFont="1" applyBorder="1" applyAlignment="1">
      <alignment horizontal="right"/>
    </xf>
    <xf numFmtId="3" fontId="6" fillId="0" borderId="20" xfId="0" applyNumberFormat="1" applyFont="1" applyBorder="1" applyAlignment="1">
      <alignment vertical="center"/>
    </xf>
    <xf numFmtId="3" fontId="3" fillId="0" borderId="1" xfId="1" applyNumberFormat="1" applyFont="1" applyBorder="1" applyAlignment="1">
      <alignment horizontal="right"/>
    </xf>
    <xf numFmtId="3" fontId="15" fillId="0" borderId="0" xfId="3" applyNumberFormat="1" applyFont="1" applyAlignment="1">
      <alignment horizontal="left"/>
    </xf>
    <xf numFmtId="3" fontId="3" fillId="0" borderId="0" xfId="3" applyNumberFormat="1" applyFont="1" applyAlignment="1">
      <alignment horizontal="left"/>
    </xf>
    <xf numFmtId="3" fontId="3" fillId="0" borderId="0" xfId="3" applyNumberFormat="1" applyFont="1" applyAlignment="1"/>
    <xf numFmtId="3" fontId="0" fillId="4" borderId="0" xfId="0" applyNumberFormat="1" applyFill="1"/>
    <xf numFmtId="178" fontId="0" fillId="0" borderId="0" xfId="0" applyNumberFormat="1"/>
    <xf numFmtId="0" fontId="0" fillId="0" borderId="0" xfId="0" applyNumberFormat="1" applyAlignment="1">
      <alignment wrapText="1"/>
    </xf>
    <xf numFmtId="0" fontId="0" fillId="0" borderId="0" xfId="0" applyNumberFormat="1"/>
    <xf numFmtId="0" fontId="15" fillId="0" borderId="0" xfId="0" applyFont="1"/>
    <xf numFmtId="0" fontId="0" fillId="0" borderId="0" xfId="0" applyProtection="1">
      <protection locked="0"/>
    </xf>
    <xf numFmtId="0" fontId="3" fillId="2" borderId="1" xfId="0" applyFont="1" applyFill="1" applyBorder="1" applyProtection="1">
      <protection locked="0"/>
    </xf>
    <xf numFmtId="3" fontId="0" fillId="0" borderId="0" xfId="0" applyNumberFormat="1" applyProtection="1">
      <protection locked="0"/>
    </xf>
    <xf numFmtId="3" fontId="3" fillId="0" borderId="1" xfId="0" applyNumberFormat="1" applyFont="1" applyBorder="1" applyProtection="1">
      <protection locked="0"/>
    </xf>
    <xf numFmtId="10" fontId="18" fillId="0" borderId="0" xfId="0" applyNumberFormat="1" applyFont="1" applyProtection="1">
      <protection locked="0"/>
    </xf>
    <xf numFmtId="10" fontId="19" fillId="0" borderId="0" xfId="0" applyNumberFormat="1" applyFont="1" applyFill="1" applyAlignment="1" applyProtection="1">
      <alignment horizontal="center" vertical="center" wrapText="1"/>
      <protection locked="0"/>
    </xf>
    <xf numFmtId="10" fontId="18" fillId="0" borderId="0" xfId="0" applyNumberFormat="1" applyFont="1" applyAlignment="1" applyProtection="1">
      <alignment horizontal="center"/>
      <protection locked="0"/>
    </xf>
    <xf numFmtId="10" fontId="18" fillId="0" borderId="1" xfId="0" applyNumberFormat="1" applyFont="1" applyBorder="1" applyProtection="1">
      <protection locked="0"/>
    </xf>
    <xf numFmtId="44" fontId="3" fillId="0" borderId="0" xfId="3" applyFont="1" applyProtection="1">
      <protection locked="0"/>
    </xf>
    <xf numFmtId="44" fontId="5" fillId="0" borderId="0" xfId="3" applyFont="1" applyAlignment="1" applyProtection="1">
      <alignment horizontal="center" vertical="center" wrapText="1"/>
      <protection locked="0"/>
    </xf>
    <xf numFmtId="44" fontId="3" fillId="0" borderId="0" xfId="3" applyFont="1" applyFill="1" applyAlignment="1" applyProtection="1">
      <alignment horizontal="center"/>
      <protection locked="0"/>
    </xf>
    <xf numFmtId="44" fontId="3" fillId="0" borderId="0" xfId="3" applyFont="1" applyAlignment="1" applyProtection="1">
      <alignment horizontal="center"/>
      <protection locked="0"/>
    </xf>
    <xf numFmtId="44" fontId="3" fillId="0" borderId="1" xfId="3" applyFont="1" applyBorder="1" applyProtection="1">
      <protection locked="0"/>
    </xf>
    <xf numFmtId="0" fontId="12" fillId="5" borderId="0" xfId="0" applyFont="1" applyFill="1" applyAlignment="1">
      <alignment horizontal="centerContinuous" vertical="center" wrapText="1"/>
    </xf>
    <xf numFmtId="0" fontId="12" fillId="5" borderId="0" xfId="0" applyFont="1" applyFill="1" applyAlignment="1">
      <alignment horizontal="centerContinuous"/>
    </xf>
    <xf numFmtId="3" fontId="20" fillId="0" borderId="0" xfId="0" applyNumberFormat="1" applyFont="1" applyFill="1" applyProtection="1"/>
    <xf numFmtId="3" fontId="20" fillId="0" borderId="0" xfId="0" applyNumberFormat="1" applyFont="1" applyFill="1" applyAlignment="1" applyProtection="1">
      <alignment horizontal="center"/>
    </xf>
    <xf numFmtId="3" fontId="0" fillId="4" borderId="0" xfId="0" applyNumberFormat="1" applyFill="1" applyAlignment="1">
      <alignment wrapText="1"/>
    </xf>
    <xf numFmtId="0" fontId="0" fillId="4" borderId="0" xfId="0" applyFill="1"/>
    <xf numFmtId="0" fontId="21" fillId="0" borderId="0" xfId="0" applyFont="1" applyAlignment="1">
      <alignment horizontal="center" vertical="center" wrapText="1"/>
    </xf>
    <xf numFmtId="0" fontId="22" fillId="0" borderId="28" xfId="0" applyFont="1" applyBorder="1" applyAlignment="1">
      <alignment horizontal="centerContinuous" vertical="center"/>
    </xf>
    <xf numFmtId="0" fontId="17" fillId="0" borderId="29" xfId="0" applyFont="1" applyBorder="1" applyAlignment="1">
      <alignment horizontal="centerContinuous" vertical="center"/>
    </xf>
    <xf numFmtId="0" fontId="17" fillId="0" borderId="30" xfId="0" applyFont="1" applyBorder="1" applyAlignment="1">
      <alignment horizontal="center" vertical="center" wrapText="1"/>
    </xf>
    <xf numFmtId="0" fontId="17" fillId="0" borderId="30" xfId="0" applyFont="1" applyBorder="1"/>
    <xf numFmtId="3" fontId="17" fillId="0" borderId="30" xfId="0" applyNumberFormat="1" applyFont="1" applyBorder="1"/>
    <xf numFmtId="0" fontId="17" fillId="0" borderId="31" xfId="0" applyFont="1" applyBorder="1"/>
    <xf numFmtId="3" fontId="17" fillId="0" borderId="31" xfId="0" applyNumberFormat="1" applyFont="1" applyBorder="1"/>
    <xf numFmtId="0" fontId="17" fillId="0" borderId="32" xfId="0" applyFont="1" applyBorder="1" applyAlignment="1">
      <alignment horizontal="center" vertical="center"/>
    </xf>
    <xf numFmtId="10" fontId="17" fillId="0" borderId="30" xfId="0" applyNumberFormat="1" applyFont="1" applyBorder="1" applyAlignment="1">
      <alignment horizontal="center"/>
    </xf>
    <xf numFmtId="10" fontId="17" fillId="0" borderId="3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17" fillId="0" borderId="29" xfId="0" applyFont="1" applyBorder="1" applyAlignment="1">
      <alignment horizontal="center" vertical="center"/>
    </xf>
    <xf numFmtId="181" fontId="0" fillId="0" borderId="0" xfId="1" applyNumberFormat="1" applyFont="1" applyAlignment="1">
      <alignment horizontal="right"/>
    </xf>
    <xf numFmtId="0" fontId="1" fillId="0" borderId="0" xfId="0" applyFont="1" applyAlignment="1">
      <alignment horizontal="right"/>
    </xf>
    <xf numFmtId="181" fontId="1" fillId="0" borderId="0" xfId="1" applyNumberFormat="1" applyFont="1" applyAlignment="1">
      <alignment horizontal="right"/>
    </xf>
    <xf numFmtId="181" fontId="0" fillId="0" borderId="0" xfId="0" applyNumberFormat="1"/>
    <xf numFmtId="0" fontId="3" fillId="4" borderId="1" xfId="0" applyFont="1" applyFill="1" applyBorder="1" applyProtection="1">
      <protection locked="0"/>
    </xf>
    <xf numFmtId="38" fontId="3" fillId="0" borderId="1" xfId="0" applyNumberFormat="1" applyFont="1" applyBorder="1" applyProtection="1">
      <protection locked="0"/>
    </xf>
    <xf numFmtId="0" fontId="3" fillId="0" borderId="1" xfId="0" applyFont="1" applyFill="1" applyBorder="1" applyProtection="1">
      <protection locked="0"/>
    </xf>
    <xf numFmtId="0" fontId="0" fillId="2" borderId="0" xfId="0" applyFill="1" applyProtection="1">
      <protection locked="0"/>
    </xf>
    <xf numFmtId="0" fontId="0" fillId="4" borderId="0" xfId="0" applyFill="1" applyProtection="1">
      <protection locked="0"/>
    </xf>
    <xf numFmtId="4" fontId="3" fillId="0" borderId="1" xfId="0" applyNumberFormat="1" applyFont="1" applyBorder="1"/>
    <xf numFmtId="0" fontId="23" fillId="0" borderId="0" xfId="0" applyFont="1"/>
    <xf numFmtId="1" fontId="24" fillId="0" borderId="1" xfId="0" applyNumberFormat="1" applyFont="1" applyBorder="1"/>
    <xf numFmtId="3" fontId="0" fillId="0" borderId="0" xfId="0" applyNumberFormat="1" applyBorder="1"/>
    <xf numFmtId="3" fontId="24" fillId="0" borderId="0" xfId="0" applyNumberFormat="1" applyFont="1" applyFill="1" applyProtection="1"/>
    <xf numFmtId="1" fontId="1" fillId="0" borderId="30" xfId="0" applyNumberFormat="1" applyFont="1" applyBorder="1" applyAlignment="1">
      <alignment horizontal="left"/>
    </xf>
    <xf numFmtId="9" fontId="17" fillId="0" borderId="30" xfId="0" applyNumberFormat="1" applyFont="1" applyBorder="1" applyAlignment="1">
      <alignment horizontal="left"/>
    </xf>
    <xf numFmtId="3" fontId="17" fillId="4" borderId="30" xfId="0" applyNumberFormat="1" applyFont="1" applyFill="1" applyBorder="1"/>
    <xf numFmtId="0" fontId="25" fillId="0" borderId="0" xfId="0" applyFont="1" applyFill="1" applyProtection="1"/>
    <xf numFmtId="3" fontId="25" fillId="0" borderId="0" xfId="0" applyNumberFormat="1" applyFont="1"/>
    <xf numFmtId="3" fontId="3" fillId="0" borderId="0" xfId="0" applyNumberFormat="1" applyFont="1" applyFill="1"/>
    <xf numFmtId="10" fontId="3" fillId="0" borderId="0" xfId="0" applyNumberFormat="1" applyFont="1" applyFill="1"/>
    <xf numFmtId="0" fontId="25" fillId="0" borderId="0" xfId="0" applyFont="1"/>
    <xf numFmtId="3" fontId="15" fillId="0" borderId="0" xfId="3" applyNumberFormat="1" applyFont="1" applyFill="1" applyAlignment="1">
      <alignment horizontal="right"/>
    </xf>
    <xf numFmtId="44" fontId="15" fillId="0" borderId="0" xfId="3" applyFont="1" applyFill="1" applyProtection="1">
      <protection locked="0"/>
    </xf>
    <xf numFmtId="44" fontId="15" fillId="0" borderId="0" xfId="3" applyFont="1" applyFill="1"/>
    <xf numFmtId="44" fontId="15" fillId="0" borderId="0" xfId="3" applyFont="1" applyFill="1" applyAlignment="1">
      <alignment horizontal="right"/>
    </xf>
    <xf numFmtId="10" fontId="16" fillId="0" borderId="0" xfId="0" applyNumberFormat="1" applyFont="1" applyFill="1" applyAlignment="1" applyProtection="1">
      <alignment horizontal="center" vertical="center" wrapText="1"/>
      <protection locked="0"/>
    </xf>
    <xf numFmtId="3" fontId="3" fillId="0" borderId="0" xfId="3" applyNumberFormat="1" applyFont="1" applyFill="1" applyAlignment="1">
      <alignment horizontal="center"/>
    </xf>
  </cellXfs>
  <cellStyles count="4">
    <cellStyle name="Komma" xfId="1" builtinId="3"/>
    <cellStyle name="Prozent" xfId="2" builtinId="5"/>
    <cellStyle name="Standard" xfId="0" builtinId="0"/>
    <cellStyle name="Währung" xfId="3" builtinId="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C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Kostenaufteilung nach Arten</a:t>
            </a:r>
          </a:p>
        </c:rich>
      </c:tx>
      <c:layout>
        <c:manualLayout>
          <c:xMode val="edge"/>
          <c:yMode val="edge"/>
          <c:x val="0.36281885630831284"/>
          <c:y val="3.342618384401114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992514723484002"/>
          <c:y val="0.28133704735376047"/>
          <c:w val="0.70015043758670292"/>
          <c:h val="0.51810584958217265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600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Bilder!$J$29:$N$29</c:f>
              <c:strCache>
                <c:ptCount val="5"/>
                <c:pt idx="0">
                  <c:v>Personalaufwand</c:v>
                </c:pt>
                <c:pt idx="1">
                  <c:v>Sachaufwand</c:v>
                </c:pt>
                <c:pt idx="2">
                  <c:v>Passivzinsen</c:v>
                </c:pt>
                <c:pt idx="3">
                  <c:v>Abschreibungen</c:v>
                </c:pt>
                <c:pt idx="4">
                  <c:v>Rest</c:v>
                </c:pt>
              </c:strCache>
            </c:strRef>
          </c:cat>
          <c:val>
            <c:numRef>
              <c:f>Bilder!$J$30:$N$30</c:f>
              <c:numCache>
                <c:formatCode>#,##0</c:formatCode>
                <c:ptCount val="5"/>
                <c:pt idx="0">
                  <c:v>274559828.66000003</c:v>
                </c:pt>
                <c:pt idx="1">
                  <c:v>57420754.93</c:v>
                </c:pt>
                <c:pt idx="2">
                  <c:v>24067044.530000001</c:v>
                </c:pt>
                <c:pt idx="3">
                  <c:v>42957600.210000008</c:v>
                </c:pt>
                <c:pt idx="4">
                  <c:v>43460774.830000006</c:v>
                </c:pt>
              </c:numCache>
            </c:numRef>
          </c:val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>
      <c:oddHeader>&amp;B</c:oddHeader>
      <c:oddFooter>Seite &amp;S</c:oddFooter>
    </c:headerFooter>
    <c:pageMargins b="0.984251969" l="0.78740157499999996" r="0.78740157499999996" t="0.984251969" header="0.51181102300000003" footer="0.5118110230000000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C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Kostenaufteilung nach Arten</a:t>
            </a:r>
          </a:p>
        </c:rich>
      </c:tx>
      <c:layout>
        <c:manualLayout>
          <c:xMode val="edge"/>
          <c:yMode val="edge"/>
          <c:x val="0.28965582268279161"/>
          <c:y val="3.571434799516600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448328502892651"/>
          <c:y val="0.40000069754585926"/>
          <c:w val="0.53563338638960667"/>
          <c:h val="0.32857200155552729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600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Bilder!$J$29:$N$29</c:f>
              <c:strCache>
                <c:ptCount val="5"/>
                <c:pt idx="0">
                  <c:v>Personalaufwand</c:v>
                </c:pt>
                <c:pt idx="1">
                  <c:v>Sachaufwand</c:v>
                </c:pt>
                <c:pt idx="2">
                  <c:v>Passivzinsen</c:v>
                </c:pt>
                <c:pt idx="3">
                  <c:v>Abschreibungen</c:v>
                </c:pt>
                <c:pt idx="4">
                  <c:v>Rest</c:v>
                </c:pt>
              </c:strCache>
            </c:strRef>
          </c:cat>
          <c:val>
            <c:numRef>
              <c:f>Bilder!$J$30:$N$30</c:f>
              <c:numCache>
                <c:formatCode>#,##0</c:formatCode>
                <c:ptCount val="5"/>
                <c:pt idx="0">
                  <c:v>274559828.66000003</c:v>
                </c:pt>
                <c:pt idx="1">
                  <c:v>57420754.93</c:v>
                </c:pt>
                <c:pt idx="2">
                  <c:v>24067044.530000001</c:v>
                </c:pt>
                <c:pt idx="3">
                  <c:v>42957600.210000008</c:v>
                </c:pt>
                <c:pt idx="4">
                  <c:v>43460774.830000006</c:v>
                </c:pt>
              </c:numCache>
            </c:numRef>
          </c:val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>
      <c:oddHeader>&amp;B</c:oddHeader>
      <c:oddFooter>Seite &amp;S</c:oddFooter>
    </c:headerFooter>
    <c:pageMargins b="0.984251969" l="0.78740157499999996" r="0.78740157499999996" t="0.984251969" header="0.51181102300000003" footer="0.5118110230000000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C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pica"/>
                <a:ea typeface="pica"/>
                <a:cs typeface="pica"/>
              </a:defRPr>
            </a:pPr>
            <a:r>
              <a:t>Aufteilung der Volksschulkosten nach Funktionen</a:t>
            </a:r>
          </a:p>
        </c:rich>
      </c:tx>
      <c:layout>
        <c:manualLayout>
          <c:xMode val="edge"/>
          <c:yMode val="edge"/>
          <c:x val="0.22664359861591696"/>
          <c:y val="3.4482855386963975E-2"/>
        </c:manualLayout>
      </c:layout>
      <c:overlay val="0"/>
      <c:spPr>
        <a:noFill/>
        <a:ln w="25400">
          <a:noFill/>
        </a:ln>
      </c:spPr>
    </c:title>
    <c:autoTitleDeleted val="0"/>
    <c:view3D>
      <c:rotX val="20"/>
      <c:rotY val="7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685121107266436"/>
          <c:y val="0.29885141335368781"/>
          <c:w val="0.62802768166089962"/>
          <c:h val="0.49712783182873066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69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8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Mode val="edge"/>
                  <c:yMode val="edge"/>
                  <c:x val="0.80276816608996537"/>
                  <c:y val="0.3764378379743567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Mode val="edge"/>
                  <c:yMode val="edge"/>
                  <c:x val="0.82352941176470584"/>
                  <c:y val="0.5057485456754716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Mode val="edge"/>
                  <c:yMode val="edge"/>
                  <c:x val="0.74048442906574397"/>
                  <c:y val="0.6839099651747855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Mode val="edge"/>
                  <c:yMode val="edge"/>
                  <c:x val="0.57958477508650519"/>
                  <c:y val="0.7758642462066894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Mode val="edge"/>
                  <c:yMode val="edge"/>
                  <c:x val="0.27854671280276816"/>
                  <c:y val="0.7729906749244425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Bilder!$J$2:$P$2</c:f>
              <c:strCache>
                <c:ptCount val="7"/>
                <c:pt idx="0">
                  <c:v>Verwaltungsaufwand</c:v>
                </c:pt>
                <c:pt idx="1">
                  <c:v>übriger Aufwand</c:v>
                </c:pt>
                <c:pt idx="2">
                  <c:v>Unterhalt Schulliegenschaften</c:v>
                </c:pt>
                <c:pt idx="3">
                  <c:v>Abschreibungen Schulliegenschaften</c:v>
                </c:pt>
                <c:pt idx="4">
                  <c:v>Zinsen mittel- u. lfr. Schulden</c:v>
                </c:pt>
                <c:pt idx="5">
                  <c:v>Löhne Lehrkräfte</c:v>
                </c:pt>
                <c:pt idx="6">
                  <c:v>sonstiger Unterrichtsaufwand</c:v>
                </c:pt>
              </c:strCache>
            </c:strRef>
          </c:cat>
          <c:val>
            <c:numRef>
              <c:f>Bilder!$J$3:$P$3</c:f>
              <c:numCache>
                <c:formatCode>#,##0</c:formatCode>
                <c:ptCount val="7"/>
                <c:pt idx="0">
                  <c:v>19451712.570000023</c:v>
                </c:pt>
                <c:pt idx="1">
                  <c:v>38876009.490000136</c:v>
                </c:pt>
                <c:pt idx="2">
                  <c:v>37777859.989999995</c:v>
                </c:pt>
                <c:pt idx="3">
                  <c:v>34340380.819999993</c:v>
                </c:pt>
                <c:pt idx="4">
                  <c:v>21412025.450000003</c:v>
                </c:pt>
                <c:pt idx="5">
                  <c:v>233500000</c:v>
                </c:pt>
                <c:pt idx="6">
                  <c:v>33253042.310000002</c:v>
                </c:pt>
              </c:numCache>
            </c:numRef>
          </c:val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>
      <c:oddHeader>&amp;B</c:oddHeader>
      <c:oddFooter>Seite &amp;S</c:oddFooter>
    </c:headerFooter>
    <c:pageMargins b="0.984251969" l="0.78740157499999996" r="0.78740157499999996" t="0.984251969" header="0.51181102300000003" footer="0.51181102300000003"/>
    <c:pageSetup paperSize="9" orientation="landscape" horizontalDpi="-4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C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t>Sparten in Fr. pro Schüler</a:t>
            </a:r>
          </a:p>
        </c:rich>
      </c:tx>
      <c:layout>
        <c:manualLayout>
          <c:xMode val="edge"/>
          <c:yMode val="edge"/>
          <c:x val="0.32705882352941179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4470588235294117"/>
          <c:y val="0.13069908814589665"/>
          <c:w val="0.49176470588235294"/>
          <c:h val="0.74772036474164139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Bilder!$J$5:$P$5</c:f>
              <c:strCache>
                <c:ptCount val="7"/>
                <c:pt idx="0">
                  <c:v>Verwaltungsaufwand</c:v>
                </c:pt>
                <c:pt idx="1">
                  <c:v>übriger Aufwand</c:v>
                </c:pt>
                <c:pt idx="2">
                  <c:v>Unterhalt Schulliegenschaften</c:v>
                </c:pt>
                <c:pt idx="3">
                  <c:v>Abschreibungen Schulliegenschaften</c:v>
                </c:pt>
                <c:pt idx="4">
                  <c:v>Zinsen mittel- u. lfr. Schulden</c:v>
                </c:pt>
                <c:pt idx="5">
                  <c:v>Löhne Lehrkräfte</c:v>
                </c:pt>
                <c:pt idx="6">
                  <c:v>übriger Unterrichtsaufwand</c:v>
                </c:pt>
              </c:strCache>
            </c:strRef>
          </c:cat>
          <c:val>
            <c:numRef>
              <c:f>Bilder!$J$6:$P$6</c:f>
              <c:numCache>
                <c:formatCode>General</c:formatCode>
                <c:ptCount val="7"/>
                <c:pt idx="0">
                  <c:v>560</c:v>
                </c:pt>
                <c:pt idx="1">
                  <c:v>1120</c:v>
                </c:pt>
                <c:pt idx="2">
                  <c:v>1090</c:v>
                </c:pt>
                <c:pt idx="3">
                  <c:v>990</c:v>
                </c:pt>
                <c:pt idx="4">
                  <c:v>620</c:v>
                </c:pt>
                <c:pt idx="5">
                  <c:v>6720</c:v>
                </c:pt>
                <c:pt idx="6">
                  <c:v>960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84727808"/>
        <c:axId val="184741888"/>
      </c:barChart>
      <c:catAx>
        <c:axId val="18472780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de-DE"/>
          </a:p>
        </c:txPr>
        <c:crossAx val="1847418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7418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de-DE"/>
          </a:p>
        </c:txPr>
        <c:crossAx val="1847278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>
      <c:oddHeader>&amp;B</c:oddHeader>
      <c:oddFooter>Seite &amp;S</c:oddFooter>
    </c:headerFooter>
    <c:pageMargins b="0.984251969" l="0.78740157499999996" r="0.78740157499999996" t="0.984251969" header="0.51181102300000003" footer="0.5118110230000000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C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Veränderung der Kosten pro Kind</a:t>
            </a:r>
          </a:p>
        </c:rich>
      </c:tx>
      <c:layout>
        <c:manualLayout>
          <c:xMode val="edge"/>
          <c:yMode val="edge"/>
          <c:x val="0.34702573575943346"/>
          <c:y val="3.44828553869639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229477822264119"/>
          <c:y val="0.12643713641886792"/>
          <c:w val="0.65439138743207459"/>
          <c:h val="0.7040249641505145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'pro S 98_99'!$A$4</c:f>
              <c:strCache>
                <c:ptCount val="1"/>
                <c:pt idx="0">
                  <c:v>1998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'pro S 98_99'!$B$3:$I$3</c:f>
              <c:strCache>
                <c:ptCount val="8"/>
                <c:pt idx="0">
                  <c:v>Gesamtkosten pro Kind</c:v>
                </c:pt>
                <c:pt idx="1">
                  <c:v>Löhne Lehrkräfte</c:v>
                </c:pt>
                <c:pt idx="2">
                  <c:v>Sonstiger
Unterrichtsaufwand</c:v>
                </c:pt>
                <c:pt idx="3">
                  <c:v>Abschreibung
Schulliegen-
schaften</c:v>
                </c:pt>
                <c:pt idx="4">
                  <c:v>Unterhalt
Schulliegenschaften</c:v>
                </c:pt>
                <c:pt idx="5">
                  <c:v>Zinsen mittel- u. lfr. Schulden</c:v>
                </c:pt>
                <c:pt idx="6">
                  <c:v>Verwaltungsaufwand</c:v>
                </c:pt>
                <c:pt idx="7">
                  <c:v>übriger Aufwand</c:v>
                </c:pt>
              </c:strCache>
            </c:strRef>
          </c:cat>
          <c:val>
            <c:numRef>
              <c:f>'pro S 98_99'!$B$4:$I$4</c:f>
              <c:numCache>
                <c:formatCode>#,##0</c:formatCode>
                <c:ptCount val="8"/>
                <c:pt idx="0">
                  <c:v>11920</c:v>
                </c:pt>
                <c:pt idx="1">
                  <c:v>6850</c:v>
                </c:pt>
                <c:pt idx="2">
                  <c:v>780</c:v>
                </c:pt>
                <c:pt idx="3">
                  <c:v>1010</c:v>
                </c:pt>
                <c:pt idx="4" formatCode="General">
                  <c:v>1050</c:v>
                </c:pt>
                <c:pt idx="5">
                  <c:v>700</c:v>
                </c:pt>
                <c:pt idx="6">
                  <c:v>540</c:v>
                </c:pt>
                <c:pt idx="7">
                  <c:v>990</c:v>
                </c:pt>
              </c:numCache>
            </c:numRef>
          </c:val>
        </c:ser>
        <c:ser>
          <c:idx val="1"/>
          <c:order val="1"/>
          <c:tx>
            <c:strRef>
              <c:f>'pro S 98_99'!$A$5</c:f>
              <c:strCache>
                <c:ptCount val="1"/>
                <c:pt idx="0">
                  <c:v>1999</c:v>
                </c:pt>
              </c:strCache>
            </c:strRef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'pro S 98_99'!$B$3:$I$3</c:f>
              <c:strCache>
                <c:ptCount val="8"/>
                <c:pt idx="0">
                  <c:v>Gesamtkosten pro Kind</c:v>
                </c:pt>
                <c:pt idx="1">
                  <c:v>Löhne Lehrkräfte</c:v>
                </c:pt>
                <c:pt idx="2">
                  <c:v>Sonstiger
Unterrichtsaufwand</c:v>
                </c:pt>
                <c:pt idx="3">
                  <c:v>Abschreibung
Schulliegen-
schaften</c:v>
                </c:pt>
                <c:pt idx="4">
                  <c:v>Unterhalt
Schulliegenschaften</c:v>
                </c:pt>
                <c:pt idx="5">
                  <c:v>Zinsen mittel- u. lfr. Schulden</c:v>
                </c:pt>
                <c:pt idx="6">
                  <c:v>Verwaltungsaufwand</c:v>
                </c:pt>
                <c:pt idx="7">
                  <c:v>übriger Aufwand</c:v>
                </c:pt>
              </c:strCache>
            </c:strRef>
          </c:cat>
          <c:val>
            <c:numRef>
              <c:f>'pro S 98_99'!$B$5:$I$5</c:f>
              <c:numCache>
                <c:formatCode>General</c:formatCode>
                <c:ptCount val="8"/>
                <c:pt idx="0" formatCode="#,##0">
                  <c:v>12050</c:v>
                </c:pt>
                <c:pt idx="1">
                  <c:v>6720</c:v>
                </c:pt>
                <c:pt idx="2" formatCode="#,##0">
                  <c:v>950</c:v>
                </c:pt>
                <c:pt idx="3">
                  <c:v>990</c:v>
                </c:pt>
                <c:pt idx="4">
                  <c:v>1090</c:v>
                </c:pt>
                <c:pt idx="5">
                  <c:v>620</c:v>
                </c:pt>
                <c:pt idx="6">
                  <c:v>560</c:v>
                </c:pt>
                <c:pt idx="7">
                  <c:v>1120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770560"/>
        <c:axId val="184772096"/>
      </c:barChart>
      <c:catAx>
        <c:axId val="18477056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47720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47720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4770560"/>
        <c:crosses val="autoZero"/>
        <c:crossBetween val="between"/>
        <c:majorUnit val="1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92776268131603645"/>
          <c:y val="0.4252885497725557"/>
          <c:w val="5.94901261301886E-2"/>
          <c:h val="0.112069280007632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>
      <c:oddHeader>&amp;B</c:oddHeader>
      <c:oddFooter>Seite &amp;S</c:oddFooter>
    </c:headerFooter>
    <c:pageMargins b="0.984251969" l="0.78740157499999996" r="0.78740157499999996" t="0.984251969" header="0.4921259845" footer="0.4921259845"/>
    <c:pageSetup paperSize="9" orientation="landscape" horizontalDpi="-4"/>
  </c:printSettings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</xdr:row>
      <xdr:rowOff>0</xdr:rowOff>
    </xdr:from>
    <xdr:to>
      <xdr:col>7</xdr:col>
      <xdr:colOff>57150</xdr:colOff>
      <xdr:row>271</xdr:row>
      <xdr:rowOff>57150</xdr:rowOff>
    </xdr:to>
    <xdr:sp macro="" textlink="">
      <xdr:nvSpPr>
        <xdr:cNvPr id="1025" name="Text 1"/>
        <xdr:cNvSpPr txBox="1">
          <a:spLocks noChangeArrowheads="1"/>
        </xdr:cNvSpPr>
      </xdr:nvSpPr>
      <xdr:spPr bwMode="auto">
        <a:xfrm>
          <a:off x="9525" y="485775"/>
          <a:ext cx="5381625" cy="43453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1. Vorarbeiten:</a:t>
          </a:r>
        </a:p>
        <a:p>
          <a:pPr algn="l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a) Umfrage bei Nicht-Ausgleichsgemeinden zu den Behördenentschädigungen</a:t>
          </a:r>
        </a:p>
        <a:p>
          <a:pPr algn="l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b) Kindergarteninspektorinnen eine Liste (Ausdruck Kennzahlen) mit 1 oder 2-jährigen KiGa zur Korrektur vorlegen (gilt nicht mehr)</a:t>
          </a:r>
        </a:p>
        <a:p>
          <a:pPr algn="l" rtl="0">
            <a:defRPr sz="1000"/>
          </a:pPr>
          <a:endParaRPr lang="de-CH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2. Erstellen der EXCEL-Datei aus RIRUS-Auswertungen</a:t>
          </a:r>
        </a:p>
        <a:p>
          <a:pPr algn="l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(Bei Unklarheiten Niklaus Strässle anrufen: 01 / 482 98 52)</a:t>
          </a:r>
        </a:p>
        <a:p>
          <a:pPr algn="l" rtl="0">
            <a:defRPr sz="1000"/>
          </a:pPr>
          <a:endParaRPr lang="de-CH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3. Gemeindezusammenschlüsse im Jahr 199?</a:t>
          </a:r>
        </a:p>
        <a:p>
          <a:pPr algn="l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In Hilfedatei (txt) die Spalte A (Gemeinden) aus dieser Datei und der EXCEl-Dateil kopieren und vergleichen, ob die Zeilen stimmen. RIRUS löscht nicht mehr vorhandene Gemeinden nicht, sondern macht eine Lehrzeile. So z.B. 1995 auf 1996 zwei Gemeinden weniger =&gt; diese Lehrzeilen löschen Korrektur in dieser und der Auswertungsdatei machen, bis Anzahl und Reihenfolge übereinstimmen</a:t>
          </a:r>
        </a:p>
        <a:p>
          <a:pPr algn="l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Achtung falls Veränderungen gegeben:</a:t>
          </a:r>
        </a:p>
        <a:p>
          <a:pPr algn="l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a) Anzahl Zeilen in Vorlage anpassen (stimmen die Formeln im Gesamttotal noch?)</a:t>
          </a:r>
        </a:p>
        <a:p>
          <a:pPr algn="l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b) Tabelle Druck hat in den Gemeindenamen manuelle Änderungen im Kindergarten (anpassen)</a:t>
          </a:r>
        </a:p>
        <a:p>
          <a:pPr algn="l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c) Tabelle Druck hat andere Zeilnummerierung</a:t>
          </a:r>
        </a:p>
        <a:p>
          <a:pPr algn="l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d) Gemeinden ohne KiGa = Formeln löschen</a:t>
          </a:r>
        </a:p>
        <a:p>
          <a:pPr algn="l" rtl="0">
            <a:defRPr sz="1000"/>
          </a:pPr>
          <a:endParaRPr lang="de-CH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4. Bearbeitung dieser Datei</a:t>
          </a:r>
        </a:p>
        <a:p>
          <a:pPr algn="l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a) alles was grün ist: Spalten aus RIRUS-Auswertungsexceldatei in diese Datei kopieren</a:t>
          </a:r>
        </a:p>
        <a:p>
          <a:pPr algn="l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b) alles was hellblau ist: manuell erfassen</a:t>
          </a:r>
        </a:p>
        <a:p>
          <a:pPr algn="l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c) manuelle Korrekturen: mit violet bezeichnet</a:t>
          </a:r>
        </a:p>
        <a:p>
          <a:pPr algn="l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d) letzte Tabelle Hilfe Min. übriger Aufwand Kiga =&gt; manuell minimum suchen</a:t>
          </a:r>
        </a:p>
        <a:p>
          <a:pPr algn="l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Achtung: auf allen Blättern ist ein Schutz mit Passwort k1996</a:t>
          </a:r>
        </a:p>
        <a:p>
          <a:pPr algn="l" rtl="0">
            <a:defRPr sz="1000"/>
          </a:pPr>
          <a:endParaRPr lang="de-CH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5. Erstellen der Internet-Datei</a:t>
          </a:r>
        </a:p>
        <a:p>
          <a:pPr algn="l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a) Achtung Datenschutz: auf dem Blatt mit Behördenentschädigung (Spalten ausblenden, unbekanntes Passwort)</a:t>
          </a:r>
        </a:p>
        <a:p>
          <a:pPr algn="l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b) Alle Farben wegmachen</a:t>
          </a:r>
        </a:p>
        <a:p>
          <a:pPr algn="l" rtl="0">
            <a:defRPr sz="1000"/>
          </a:pPr>
          <a:endParaRPr lang="de-CH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6. Vorlagendatei Volksschule 199? überarbeiten (neue Gemeinden, Anzahl Zeilen usw.) oder direkt aus der neusten Statistik eine neue Vorlage erstelle und alte Löschen.</a:t>
          </a:r>
        </a:p>
        <a:p>
          <a:pPr algn="l" rtl="0">
            <a:defRPr sz="1000"/>
          </a:pPr>
          <a:endParaRPr lang="de-CH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de-CH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323</xdr:row>
      <xdr:rowOff>66675</xdr:rowOff>
    </xdr:from>
    <xdr:to>
      <xdr:col>13</xdr:col>
      <xdr:colOff>9525</xdr:colOff>
      <xdr:row>343</xdr:row>
      <xdr:rowOff>57150</xdr:rowOff>
    </xdr:to>
    <xdr:graphicFrame macro="">
      <xdr:nvGraphicFramePr>
        <xdr:cNvPr id="2050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25</xdr:row>
      <xdr:rowOff>47625</xdr:rowOff>
    </xdr:from>
    <xdr:to>
      <xdr:col>5</xdr:col>
      <xdr:colOff>619125</xdr:colOff>
      <xdr:row>41</xdr:row>
      <xdr:rowOff>123825</xdr:rowOff>
    </xdr:to>
    <xdr:graphicFrame macro="">
      <xdr:nvGraphicFramePr>
        <xdr:cNvPr id="3075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</xdr:row>
      <xdr:rowOff>419100</xdr:rowOff>
    </xdr:from>
    <xdr:to>
      <xdr:col>6</xdr:col>
      <xdr:colOff>933450</xdr:colOff>
      <xdr:row>18</xdr:row>
      <xdr:rowOff>9525</xdr:rowOff>
    </xdr:to>
    <xdr:graphicFrame macro="">
      <xdr:nvGraphicFramePr>
        <xdr:cNvPr id="3081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704850</xdr:colOff>
      <xdr:row>9</xdr:row>
      <xdr:rowOff>47625</xdr:rowOff>
    </xdr:from>
    <xdr:to>
      <xdr:col>15</xdr:col>
      <xdr:colOff>180975</xdr:colOff>
      <xdr:row>28</xdr:row>
      <xdr:rowOff>104775</xdr:rowOff>
    </xdr:to>
    <xdr:graphicFrame macro="">
      <xdr:nvGraphicFramePr>
        <xdr:cNvPr id="3083" name="Diagramm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10</xdr:row>
      <xdr:rowOff>66675</xdr:rowOff>
    </xdr:from>
    <xdr:to>
      <xdr:col>8</xdr:col>
      <xdr:colOff>476250</xdr:colOff>
      <xdr:row>30</xdr:row>
      <xdr:rowOff>142875</xdr:rowOff>
    </xdr:to>
    <xdr:graphicFrame macro="">
      <xdr:nvGraphicFramePr>
        <xdr:cNvPr id="4100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6" workbookViewId="0">
      <selection activeCell="I5" sqref="I5"/>
    </sheetView>
  </sheetViews>
  <sheetFormatPr baseColWidth="10" defaultRowHeight="12.75" x14ac:dyDescent="0.2"/>
  <sheetData>
    <row r="1" spans="1:1" x14ac:dyDescent="0.2">
      <c r="A1" s="14" t="s">
        <v>0</v>
      </c>
    </row>
  </sheetData>
  <printOptions gridLines="1" gridLinesSet="0"/>
  <pageMargins left="0.78740157499999996" right="0.78740157499999996" top="0.984251969" bottom="0.984251969" header="0.4921259845" footer="0.4921259845"/>
  <pageSetup paperSize="9" orientation="portrait" horizontalDpi="4294967292" r:id="rId1"/>
  <headerFooter alignWithMargins="0">
    <oddHeader>&amp;A</oddHeader>
    <oddFooter>Seite 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workbookViewId="0">
      <selection activeCell="E260" sqref="E260"/>
    </sheetView>
  </sheetViews>
  <sheetFormatPr baseColWidth="10" defaultRowHeight="12.75" x14ac:dyDescent="0.2"/>
  <cols>
    <col min="1" max="1" width="25.140625" customWidth="1"/>
    <col min="2" max="2" width="33.28515625" customWidth="1"/>
    <col min="3" max="3" width="11.7109375" customWidth="1"/>
    <col min="4" max="4" width="14.28515625" customWidth="1"/>
  </cols>
  <sheetData>
    <row r="1" spans="1:4" x14ac:dyDescent="0.2">
      <c r="A1" s="14" t="s">
        <v>340</v>
      </c>
      <c r="C1" t="s">
        <v>341</v>
      </c>
    </row>
    <row r="2" spans="1:4" x14ac:dyDescent="0.2">
      <c r="C2" t="s">
        <v>342</v>
      </c>
      <c r="D2" t="s">
        <v>343</v>
      </c>
    </row>
    <row r="3" spans="1:4" x14ac:dyDescent="0.2">
      <c r="A3" t="s">
        <v>344</v>
      </c>
      <c r="B3" t="s">
        <v>345</v>
      </c>
      <c r="C3">
        <v>3.1</v>
      </c>
    </row>
    <row r="4" spans="1:4" x14ac:dyDescent="0.2">
      <c r="B4" t="s">
        <v>346</v>
      </c>
      <c r="C4">
        <v>3.5</v>
      </c>
      <c r="D4" t="s">
        <v>347</v>
      </c>
    </row>
    <row r="5" spans="1:4" x14ac:dyDescent="0.2">
      <c r="B5" t="s">
        <v>348</v>
      </c>
      <c r="D5">
        <v>290</v>
      </c>
    </row>
    <row r="7" spans="1:4" x14ac:dyDescent="0.2">
      <c r="A7" t="s">
        <v>349</v>
      </c>
      <c r="B7" t="s">
        <v>350</v>
      </c>
      <c r="C7">
        <v>3.2</v>
      </c>
    </row>
    <row r="8" spans="1:4" x14ac:dyDescent="0.2">
      <c r="B8" t="s">
        <v>351</v>
      </c>
      <c r="D8">
        <v>200</v>
      </c>
    </row>
    <row r="9" spans="1:4" x14ac:dyDescent="0.2">
      <c r="B9" t="s">
        <v>352</v>
      </c>
      <c r="D9">
        <v>210</v>
      </c>
    </row>
    <row r="10" spans="1:4" x14ac:dyDescent="0.2">
      <c r="B10" t="s">
        <v>353</v>
      </c>
      <c r="D10">
        <v>211</v>
      </c>
    </row>
    <row r="11" spans="1:4" x14ac:dyDescent="0.2">
      <c r="B11" t="s">
        <v>354</v>
      </c>
      <c r="D11">
        <v>215</v>
      </c>
    </row>
    <row r="12" spans="1:4" x14ac:dyDescent="0.2">
      <c r="B12" t="s">
        <v>355</v>
      </c>
      <c r="D12">
        <v>218</v>
      </c>
    </row>
    <row r="13" spans="1:4" x14ac:dyDescent="0.2">
      <c r="B13" t="s">
        <v>356</v>
      </c>
      <c r="D13">
        <v>300</v>
      </c>
    </row>
    <row r="15" spans="1:4" x14ac:dyDescent="0.2">
      <c r="A15" t="s">
        <v>357</v>
      </c>
      <c r="B15" t="s">
        <v>350</v>
      </c>
      <c r="C15">
        <v>3.3</v>
      </c>
    </row>
    <row r="16" spans="1:4" x14ac:dyDescent="0.2">
      <c r="B16" t="s">
        <v>358</v>
      </c>
      <c r="D16" s="23" t="str">
        <f>"011"</f>
        <v>011</v>
      </c>
    </row>
    <row r="17" spans="1:4" x14ac:dyDescent="0.2">
      <c r="B17" t="s">
        <v>359</v>
      </c>
      <c r="D17" s="23" t="s">
        <v>360</v>
      </c>
    </row>
    <row r="20" spans="1:4" x14ac:dyDescent="0.2">
      <c r="A20" t="s">
        <v>298</v>
      </c>
      <c r="B20" t="s">
        <v>361</v>
      </c>
      <c r="C20">
        <v>3.7</v>
      </c>
    </row>
    <row r="21" spans="1:4" x14ac:dyDescent="0.2">
      <c r="B21" t="s">
        <v>362</v>
      </c>
    </row>
    <row r="22" spans="1:4" x14ac:dyDescent="0.2">
      <c r="B22" t="s">
        <v>363</v>
      </c>
    </row>
    <row r="23" spans="1:4" x14ac:dyDescent="0.2">
      <c r="B23" t="s">
        <v>307</v>
      </c>
    </row>
    <row r="24" spans="1:4" x14ac:dyDescent="0.2">
      <c r="B24" t="s">
        <v>364</v>
      </c>
    </row>
  </sheetData>
  <printOptions gridLines="1" gridLinesSet="0"/>
  <pageMargins left="0.78740157499999996" right="0.78740157499999996" top="0.984251969" bottom="0.984251969" header="0.51181102300000003" footer="0.51181102300000003"/>
  <pageSetup paperSize="9" orientation="landscape" horizontalDpi="4294967292" r:id="rId1"/>
  <headerFooter alignWithMargins="0">
    <oddHeader>&amp;A</oddHeader>
    <oddFooter>Seite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54"/>
  <sheetViews>
    <sheetView workbookViewId="0">
      <selection activeCell="E260" sqref="E260"/>
    </sheetView>
  </sheetViews>
  <sheetFormatPr baseColWidth="10" defaultRowHeight="12.75" x14ac:dyDescent="0.2"/>
  <cols>
    <col min="2" max="2" width="21" customWidth="1"/>
    <col min="3" max="3" width="7.28515625" customWidth="1"/>
  </cols>
  <sheetData>
    <row r="1" spans="1:3" ht="13.9" customHeight="1" x14ac:dyDescent="0.2">
      <c r="A1" s="14" t="s">
        <v>365</v>
      </c>
    </row>
    <row r="2" spans="1:3" ht="20.45" customHeight="1" x14ac:dyDescent="0.2">
      <c r="A2" t="s">
        <v>349</v>
      </c>
      <c r="C2" t="str">
        <f>"+"</f>
        <v>+</v>
      </c>
    </row>
    <row r="3" spans="1:3" x14ac:dyDescent="0.2">
      <c r="A3" t="s">
        <v>63</v>
      </c>
      <c r="C3" t="str">
        <f>"+"</f>
        <v>+</v>
      </c>
    </row>
    <row r="4" spans="1:3" x14ac:dyDescent="0.2">
      <c r="A4" t="s">
        <v>66</v>
      </c>
      <c r="C4" t="str">
        <f>"+"</f>
        <v>+</v>
      </c>
    </row>
    <row r="5" spans="1:3" x14ac:dyDescent="0.2">
      <c r="A5" t="s">
        <v>67</v>
      </c>
      <c r="C5" t="str">
        <f>"+"</f>
        <v>+</v>
      </c>
    </row>
    <row r="6" spans="1:3" x14ac:dyDescent="0.2">
      <c r="A6" t="s">
        <v>366</v>
      </c>
      <c r="C6" t="str">
        <f>"+"</f>
        <v>+</v>
      </c>
    </row>
    <row r="7" spans="1:3" x14ac:dyDescent="0.2">
      <c r="A7" t="s">
        <v>367</v>
      </c>
      <c r="C7" t="s">
        <v>368</v>
      </c>
    </row>
    <row r="10" spans="1:3" x14ac:dyDescent="0.2">
      <c r="A10" t="s">
        <v>367</v>
      </c>
      <c r="C10" t="s">
        <v>368</v>
      </c>
    </row>
    <row r="11" spans="1:3" x14ac:dyDescent="0.2">
      <c r="A11" t="s">
        <v>369</v>
      </c>
      <c r="C11" t="str">
        <f>C6</f>
        <v>+</v>
      </c>
    </row>
    <row r="12" spans="1:3" x14ac:dyDescent="0.2">
      <c r="A12" t="s">
        <v>370</v>
      </c>
      <c r="C12" t="s">
        <v>371</v>
      </c>
    </row>
    <row r="13" spans="1:3" x14ac:dyDescent="0.2">
      <c r="A13" t="s">
        <v>372</v>
      </c>
      <c r="C13" t="s">
        <v>371</v>
      </c>
    </row>
    <row r="14" spans="1:3" x14ac:dyDescent="0.2">
      <c r="A14" t="s">
        <v>373</v>
      </c>
      <c r="C14" t="s">
        <v>371</v>
      </c>
    </row>
    <row r="15" spans="1:3" x14ac:dyDescent="0.2">
      <c r="A15" t="s">
        <v>374</v>
      </c>
      <c r="C15" t="str">
        <f>C11</f>
        <v>+</v>
      </c>
    </row>
    <row r="16" spans="1:3" x14ac:dyDescent="0.2">
      <c r="A16" t="s">
        <v>375</v>
      </c>
    </row>
    <row r="19" spans="1:4" x14ac:dyDescent="0.2">
      <c r="A19" s="14" t="s">
        <v>238</v>
      </c>
    </row>
    <row r="20" spans="1:4" ht="19.899999999999999" customHeight="1" x14ac:dyDescent="0.2">
      <c r="A20" t="str">
        <f>A10</f>
        <v>Volkschulaufwand</v>
      </c>
      <c r="C20" t="s">
        <v>368</v>
      </c>
      <c r="D20" s="24" t="s">
        <v>376</v>
      </c>
    </row>
    <row r="21" spans="1:4" x14ac:dyDescent="0.2">
      <c r="A21" t="s">
        <v>240</v>
      </c>
      <c r="C21" t="str">
        <f>$C$11</f>
        <v>+</v>
      </c>
    </row>
    <row r="22" spans="1:4" x14ac:dyDescent="0.2">
      <c r="A22" t="s">
        <v>377</v>
      </c>
      <c r="C22" t="str">
        <f>$C$11</f>
        <v>+</v>
      </c>
    </row>
    <row r="23" spans="1:4" x14ac:dyDescent="0.2">
      <c r="A23" s="24" t="s">
        <v>378</v>
      </c>
    </row>
    <row r="24" spans="1:4" x14ac:dyDescent="0.2">
      <c r="A24" t="s">
        <v>244</v>
      </c>
      <c r="C24" t="str">
        <f>$C$11</f>
        <v>+</v>
      </c>
    </row>
    <row r="25" spans="1:4" x14ac:dyDescent="0.2">
      <c r="A25" s="24" t="s">
        <v>379</v>
      </c>
    </row>
    <row r="26" spans="1:4" x14ac:dyDescent="0.2">
      <c r="A26" t="s">
        <v>380</v>
      </c>
      <c r="C26" t="str">
        <f>$C$11</f>
        <v>+</v>
      </c>
    </row>
    <row r="27" spans="1:4" x14ac:dyDescent="0.2">
      <c r="A27" s="24" t="s">
        <v>381</v>
      </c>
    </row>
    <row r="28" spans="1:4" x14ac:dyDescent="0.2">
      <c r="A28" t="s">
        <v>21</v>
      </c>
      <c r="C28" t="str">
        <f>$C$11</f>
        <v>+</v>
      </c>
    </row>
    <row r="29" spans="1:4" x14ac:dyDescent="0.2">
      <c r="A29" s="24" t="s">
        <v>382</v>
      </c>
    </row>
    <row r="30" spans="1:4" ht="8.4499999999999993" customHeight="1" x14ac:dyDescent="0.2"/>
    <row r="31" spans="1:4" x14ac:dyDescent="0.2">
      <c r="A31" t="s">
        <v>383</v>
      </c>
    </row>
    <row r="32" spans="1:4" x14ac:dyDescent="0.2">
      <c r="A32" s="24" t="s">
        <v>384</v>
      </c>
    </row>
    <row r="34" spans="1:1" x14ac:dyDescent="0.2">
      <c r="A34" s="14" t="s">
        <v>385</v>
      </c>
    </row>
    <row r="35" spans="1:1" ht="21" customHeight="1" x14ac:dyDescent="0.2">
      <c r="A35" t="s">
        <v>386</v>
      </c>
    </row>
    <row r="36" spans="1:1" x14ac:dyDescent="0.2">
      <c r="A36" t="s">
        <v>387</v>
      </c>
    </row>
    <row r="37" spans="1:1" x14ac:dyDescent="0.2">
      <c r="A37" t="s">
        <v>269</v>
      </c>
    </row>
    <row r="38" spans="1:1" x14ac:dyDescent="0.2">
      <c r="A38" t="s">
        <v>270</v>
      </c>
    </row>
    <row r="39" spans="1:1" x14ac:dyDescent="0.2">
      <c r="A39" t="s">
        <v>388</v>
      </c>
    </row>
    <row r="40" spans="1:1" x14ac:dyDescent="0.2">
      <c r="A40" t="s">
        <v>272</v>
      </c>
    </row>
    <row r="41" spans="1:1" x14ac:dyDescent="0.2">
      <c r="A41" t="s">
        <v>389</v>
      </c>
    </row>
    <row r="42" spans="1:1" x14ac:dyDescent="0.2">
      <c r="A42" t="s">
        <v>390</v>
      </c>
    </row>
    <row r="44" spans="1:1" ht="13.15" customHeight="1" x14ac:dyDescent="0.2">
      <c r="A44" s="14" t="s">
        <v>391</v>
      </c>
    </row>
    <row r="45" spans="1:1" ht="18.600000000000001" customHeight="1" x14ac:dyDescent="0.2">
      <c r="A45" t="s">
        <v>392</v>
      </c>
    </row>
    <row r="46" spans="1:1" x14ac:dyDescent="0.2">
      <c r="A46" t="s">
        <v>393</v>
      </c>
    </row>
    <row r="47" spans="1:1" x14ac:dyDescent="0.2">
      <c r="A47" t="s">
        <v>292</v>
      </c>
    </row>
    <row r="48" spans="1:1" x14ac:dyDescent="0.2">
      <c r="A48" t="s">
        <v>394</v>
      </c>
    </row>
    <row r="49" spans="1:1" x14ac:dyDescent="0.2">
      <c r="A49" t="s">
        <v>395</v>
      </c>
    </row>
    <row r="50" spans="1:1" x14ac:dyDescent="0.2">
      <c r="A50" t="s">
        <v>396</v>
      </c>
    </row>
    <row r="51" spans="1:1" x14ac:dyDescent="0.2">
      <c r="A51" t="s">
        <v>362</v>
      </c>
    </row>
    <row r="52" spans="1:1" x14ac:dyDescent="0.2">
      <c r="A52" t="s">
        <v>397</v>
      </c>
    </row>
    <row r="53" spans="1:1" x14ac:dyDescent="0.2">
      <c r="A53" t="s">
        <v>307</v>
      </c>
    </row>
    <row r="54" spans="1:1" x14ac:dyDescent="0.2">
      <c r="A54" t="s">
        <v>398</v>
      </c>
    </row>
  </sheetData>
  <pageMargins left="0.78740157499999996" right="0.78740157499999996" top="0.984251969" bottom="0.984251969" header="0.51181102300000003" footer="0.51181102300000003"/>
  <pageSetup paperSize="9" scale="95" orientation="portrait" horizontalDpi="4294967292" r:id="rId1"/>
  <headerFooter alignWithMargins="0">
    <oddHeader>&amp;A</oddHeader>
    <oddFooter>Seite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46"/>
  <sheetViews>
    <sheetView topLeftCell="G1" workbookViewId="0">
      <selection activeCell="E260" sqref="E260"/>
    </sheetView>
  </sheetViews>
  <sheetFormatPr baseColWidth="10" defaultRowHeight="12.75" x14ac:dyDescent="0.2"/>
  <cols>
    <col min="7" max="7" width="14.85546875" customWidth="1"/>
  </cols>
  <sheetData>
    <row r="2" spans="8:18" s="101" customFormat="1" ht="51" x14ac:dyDescent="0.2">
      <c r="I2" s="101" t="s">
        <v>399</v>
      </c>
      <c r="J2" s="101" t="s">
        <v>63</v>
      </c>
      <c r="K2" t="s">
        <v>21</v>
      </c>
      <c r="L2" s="101" t="s">
        <v>400</v>
      </c>
      <c r="M2" s="101" t="s">
        <v>401</v>
      </c>
      <c r="N2" s="101" t="s">
        <v>402</v>
      </c>
      <c r="O2" t="s">
        <v>403</v>
      </c>
      <c r="P2" s="101" t="s">
        <v>404</v>
      </c>
      <c r="R2" s="101" t="s">
        <v>81</v>
      </c>
    </row>
    <row r="3" spans="8:18" s="101" customFormat="1" x14ac:dyDescent="0.2">
      <c r="H3" s="101" t="s">
        <v>32</v>
      </c>
      <c r="I3" s="101">
        <f>Funktional!E306</f>
        <v>418611030.63000011</v>
      </c>
      <c r="J3" s="101">
        <f>Funktional!W306</f>
        <v>19451712.570000023</v>
      </c>
      <c r="K3" s="101">
        <f>Funktional!AV306*I3+Funktional!AN306</f>
        <v>38876009.490000136</v>
      </c>
      <c r="L3" s="101">
        <f>Funktional!AI306</f>
        <v>37777859.989999995</v>
      </c>
      <c r="M3" s="101">
        <f>Funktional!AD306</f>
        <v>34340380.819999993</v>
      </c>
      <c r="N3" s="101">
        <f>Funktional!AR306</f>
        <v>21412025.450000003</v>
      </c>
      <c r="O3" s="360">
        <v>233500000</v>
      </c>
      <c r="P3" s="101">
        <f>Funktional!R306-O3</f>
        <v>33253042.310000002</v>
      </c>
      <c r="R3" s="101">
        <f>Druck!C9</f>
        <v>34730</v>
      </c>
    </row>
    <row r="4" spans="8:18" x14ac:dyDescent="0.2">
      <c r="K4" s="27"/>
    </row>
    <row r="5" spans="8:18" ht="51" x14ac:dyDescent="0.2">
      <c r="I5" s="101" t="s">
        <v>399</v>
      </c>
      <c r="J5" s="101" t="s">
        <v>63</v>
      </c>
      <c r="K5" t="s">
        <v>21</v>
      </c>
      <c r="L5" s="101" t="s">
        <v>400</v>
      </c>
      <c r="M5" s="101" t="s">
        <v>401</v>
      </c>
      <c r="N5" s="101" t="s">
        <v>402</v>
      </c>
      <c r="O5" t="s">
        <v>403</v>
      </c>
      <c r="P5" s="101" t="s">
        <v>405</v>
      </c>
    </row>
    <row r="6" spans="8:18" x14ac:dyDescent="0.2">
      <c r="H6" t="s">
        <v>83</v>
      </c>
      <c r="I6">
        <f>ROUND(I3/R3,-1)</f>
        <v>12050</v>
      </c>
      <c r="J6">
        <f>ROUND(J3/R3,-1)</f>
        <v>560</v>
      </c>
      <c r="K6">
        <f>ROUND(K3/R3,-1)</f>
        <v>1120</v>
      </c>
      <c r="L6">
        <f>ROUND(L3/R3,-1)</f>
        <v>1090</v>
      </c>
      <c r="M6">
        <f>ROUND(M3/R3,-1)</f>
        <v>990</v>
      </c>
      <c r="N6">
        <f>ROUND(N3/R3,-1)</f>
        <v>620</v>
      </c>
      <c r="O6">
        <f>ROUND(O3/R3,-1)</f>
        <v>6720</v>
      </c>
      <c r="P6">
        <f>ROUND(P3/R3,-1)</f>
        <v>960</v>
      </c>
    </row>
    <row r="27" spans="8:14" x14ac:dyDescent="0.2">
      <c r="H27" t="s">
        <v>238</v>
      </c>
    </row>
    <row r="29" spans="8:14" x14ac:dyDescent="0.2">
      <c r="I29" t="s">
        <v>406</v>
      </c>
      <c r="J29" t="s">
        <v>240</v>
      </c>
      <c r="K29" t="s">
        <v>377</v>
      </c>
      <c r="L29" t="s">
        <v>244</v>
      </c>
      <c r="M29" t="s">
        <v>407</v>
      </c>
      <c r="N29" t="s">
        <v>55</v>
      </c>
    </row>
    <row r="30" spans="8:14" s="27" customFormat="1" x14ac:dyDescent="0.2">
      <c r="H30" s="27" t="s">
        <v>32</v>
      </c>
      <c r="I30" s="27">
        <f>Artengliederung!E306</f>
        <v>442466003.15999979</v>
      </c>
      <c r="J30" s="27">
        <f>Artengliederung!F306</f>
        <v>274559828.66000003</v>
      </c>
      <c r="K30" s="27">
        <f>Artengliederung!J306</f>
        <v>57420754.93</v>
      </c>
      <c r="L30" s="27">
        <f>Artengliederung!T306</f>
        <v>24067044.530000001</v>
      </c>
      <c r="M30" s="27">
        <f>Artengliederung!AA306</f>
        <v>42957600.210000008</v>
      </c>
      <c r="N30" s="27">
        <f>Artengliederung!AI306*I30</f>
        <v>43460774.830000006</v>
      </c>
    </row>
    <row r="46" spans="2:2" x14ac:dyDescent="0.2">
      <c r="B46" t="s">
        <v>408</v>
      </c>
    </row>
  </sheetData>
  <printOptions gridLines="1" gridLinesSet="0"/>
  <pageMargins left="0.78740157499999996" right="0.78740157499999996" top="0.984251969" bottom="0.984251969" header="0.51181102300000003" footer="0.51181102300000003"/>
  <pageSetup paperSize="9" orientation="portrait" horizontalDpi="4294967292" r:id="rId1"/>
  <headerFooter alignWithMargins="0">
    <oddHeader>&amp;A</oddHeader>
    <oddFooter>Seite 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9"/>
  <sheetViews>
    <sheetView workbookViewId="0">
      <selection activeCell="E260" sqref="E260"/>
    </sheetView>
  </sheetViews>
  <sheetFormatPr baseColWidth="10" defaultRowHeight="12.75" x14ac:dyDescent="0.2"/>
  <cols>
    <col min="1" max="1" width="20.7109375" customWidth="1"/>
  </cols>
  <sheetData>
    <row r="3" spans="1:11" ht="51" x14ac:dyDescent="0.2">
      <c r="A3" s="101"/>
      <c r="B3" s="101" t="s">
        <v>409</v>
      </c>
      <c r="C3" s="101" t="s">
        <v>403</v>
      </c>
      <c r="D3" s="22" t="s">
        <v>410</v>
      </c>
      <c r="E3" s="101" t="s">
        <v>411</v>
      </c>
      <c r="F3" s="22" t="s">
        <v>412</v>
      </c>
      <c r="G3" s="101" t="s">
        <v>402</v>
      </c>
      <c r="H3" s="22" t="s">
        <v>63</v>
      </c>
      <c r="I3" s="22" t="s">
        <v>21</v>
      </c>
      <c r="J3" s="101"/>
    </row>
    <row r="4" spans="1:11" x14ac:dyDescent="0.2">
      <c r="A4" s="362">
        <v>1998</v>
      </c>
      <c r="B4" s="382">
        <v>11920</v>
      </c>
      <c r="C4" s="382">
        <v>6850</v>
      </c>
      <c r="D4" s="382">
        <v>780</v>
      </c>
      <c r="E4" s="382">
        <v>1010</v>
      </c>
      <c r="F4" s="383">
        <v>1050</v>
      </c>
      <c r="G4" s="382">
        <v>700</v>
      </c>
      <c r="H4" s="382">
        <v>540</v>
      </c>
      <c r="I4" s="382">
        <v>990</v>
      </c>
      <c r="J4" s="101"/>
      <c r="K4" s="27">
        <f t="shared" ref="K4:K5" si="0">SUM(C4:I4)</f>
        <v>11920</v>
      </c>
    </row>
    <row r="5" spans="1:11" x14ac:dyDescent="0.2">
      <c r="A5" s="363">
        <v>1999</v>
      </c>
      <c r="B5" s="27">
        <f>ROUND(Druck!D9,-1)</f>
        <v>12050</v>
      </c>
      <c r="C5">
        <f>Bilder!O6</f>
        <v>6720</v>
      </c>
      <c r="D5" s="382">
        <f>Bilder!P6-10</f>
        <v>950</v>
      </c>
      <c r="E5">
        <f>Bilder!M6</f>
        <v>990</v>
      </c>
      <c r="F5">
        <f>Bilder!L6</f>
        <v>1090</v>
      </c>
      <c r="G5">
        <f>Bilder!N6</f>
        <v>620</v>
      </c>
      <c r="H5">
        <f>Bilder!J6</f>
        <v>560</v>
      </c>
      <c r="I5">
        <f>Bilder!K6</f>
        <v>1120</v>
      </c>
      <c r="K5" s="27">
        <f t="shared" si="0"/>
        <v>12050</v>
      </c>
    </row>
    <row r="6" spans="1:11" x14ac:dyDescent="0.2">
      <c r="A6" t="s">
        <v>413</v>
      </c>
      <c r="B6" s="361">
        <f>(B5-B4)/B4</f>
        <v>1.0906040268456376E-2</v>
      </c>
      <c r="C6" s="361">
        <f t="shared" ref="C6:I6" si="1">(C5-C4)/C4</f>
        <v>-1.8978102189781021E-2</v>
      </c>
      <c r="D6" s="361">
        <f t="shared" si="1"/>
        <v>0.21794871794871795</v>
      </c>
      <c r="E6" s="361">
        <f t="shared" si="1"/>
        <v>-1.9801980198019802E-2</v>
      </c>
      <c r="F6" s="361">
        <f t="shared" si="1"/>
        <v>3.8095238095238099E-2</v>
      </c>
      <c r="G6" s="361">
        <f t="shared" si="1"/>
        <v>-0.11428571428571428</v>
      </c>
      <c r="H6" s="361">
        <f t="shared" si="1"/>
        <v>3.7037037037037035E-2</v>
      </c>
      <c r="I6" s="361">
        <f t="shared" si="1"/>
        <v>0.13131313131313133</v>
      </c>
      <c r="K6" s="27"/>
    </row>
    <row r="7" spans="1:11" x14ac:dyDescent="0.2">
      <c r="A7" t="s">
        <v>414</v>
      </c>
      <c r="B7" s="27">
        <f>B5-B4</f>
        <v>130</v>
      </c>
      <c r="C7" s="27">
        <f t="shared" ref="C7:I7" si="2">C5-C4</f>
        <v>-130</v>
      </c>
      <c r="D7" s="27">
        <f t="shared" si="2"/>
        <v>170</v>
      </c>
      <c r="E7" s="27">
        <f t="shared" si="2"/>
        <v>-20</v>
      </c>
      <c r="F7" s="27">
        <f t="shared" si="2"/>
        <v>40</v>
      </c>
      <c r="G7" s="27">
        <f t="shared" si="2"/>
        <v>-80</v>
      </c>
      <c r="H7" s="27">
        <f t="shared" si="2"/>
        <v>20</v>
      </c>
      <c r="I7" s="27">
        <f t="shared" si="2"/>
        <v>130</v>
      </c>
      <c r="K7" s="27">
        <f>SUM(C7:I7)</f>
        <v>130</v>
      </c>
    </row>
    <row r="9" spans="1:11" x14ac:dyDescent="0.2">
      <c r="D9" s="407" t="s">
        <v>415</v>
      </c>
    </row>
  </sheetData>
  <printOptions gridLines="1" gridLinesSet="0"/>
  <pageMargins left="0.78740157499999996" right="0.78740157499999996" top="0.984251969" bottom="0.984251969" header="0.51181102300000003" footer="0.51181102300000003"/>
  <pageSetup paperSize="9" orientation="landscape" horizontalDpi="4294967292" r:id="rId1"/>
  <headerFooter alignWithMargins="0">
    <oddHeader>&amp;A</oddHeader>
    <oddFooter>Seite 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"/>
  <sheetViews>
    <sheetView workbookViewId="0">
      <selection activeCell="E260" sqref="E260"/>
    </sheetView>
  </sheetViews>
  <sheetFormatPr baseColWidth="10" defaultRowHeight="12.75" x14ac:dyDescent="0.2"/>
  <cols>
    <col min="1" max="1" width="16.42578125" customWidth="1"/>
    <col min="2" max="2" width="10" customWidth="1"/>
    <col min="3" max="3" width="16" style="395" customWidth="1"/>
    <col min="4" max="4" width="11.5703125" customWidth="1"/>
    <col min="5" max="5" width="14.28515625" style="395" customWidth="1"/>
    <col min="6" max="6" width="14.42578125" customWidth="1"/>
    <col min="7" max="7" width="15" style="395" customWidth="1"/>
  </cols>
  <sheetData>
    <row r="1" spans="1:7" ht="20.25" customHeight="1" x14ac:dyDescent="0.2">
      <c r="A1" s="385" t="s">
        <v>416</v>
      </c>
      <c r="B1" s="386"/>
      <c r="C1" s="396"/>
      <c r="D1" s="386"/>
      <c r="E1" s="396"/>
      <c r="F1" s="386"/>
      <c r="G1" s="392"/>
    </row>
    <row r="2" spans="1:7" s="384" customFormat="1" ht="27.75" customHeight="1" x14ac:dyDescent="0.2">
      <c r="A2" s="387"/>
      <c r="B2" s="387" t="s">
        <v>3</v>
      </c>
      <c r="C2" s="387" t="s">
        <v>417</v>
      </c>
      <c r="D2" s="387" t="s">
        <v>418</v>
      </c>
      <c r="E2" s="387" t="s">
        <v>417</v>
      </c>
      <c r="F2" s="387" t="s">
        <v>419</v>
      </c>
      <c r="G2" s="387" t="s">
        <v>417</v>
      </c>
    </row>
    <row r="3" spans="1:7" ht="18" customHeight="1" x14ac:dyDescent="0.2">
      <c r="A3" s="388" t="s">
        <v>351</v>
      </c>
      <c r="B3" s="389">
        <f>Druck!C7</f>
        <v>5455</v>
      </c>
      <c r="C3" s="393">
        <f>(B3-B13)/B13</f>
        <v>-3.6559519604380079E-2</v>
      </c>
      <c r="D3" s="389">
        <f>Druck!D7</f>
        <v>7568.626819797717</v>
      </c>
      <c r="E3" s="393">
        <f>(D3-D13)/D13</f>
        <v>4.9303593483670728E-2</v>
      </c>
      <c r="F3" s="389">
        <f>Funktional!E304</f>
        <v>41286859.301996544</v>
      </c>
      <c r="G3" s="393">
        <f>(F3-F13)/F13</f>
        <v>1.0900320192487321E-2</v>
      </c>
    </row>
    <row r="4" spans="1:7" ht="18" customHeight="1" x14ac:dyDescent="0.2">
      <c r="A4" s="388" t="s">
        <v>420</v>
      </c>
      <c r="B4" s="389">
        <f>Druck!C6</f>
        <v>19861</v>
      </c>
      <c r="C4" s="393">
        <f t="shared" ref="C4:C6" si="0">(B4-B14)/B14</f>
        <v>1.5388548057259714E-2</v>
      </c>
      <c r="D4" s="389">
        <f>Druck!D6</f>
        <v>11316.562847523795</v>
      </c>
      <c r="E4" s="393">
        <f t="shared" ref="E4:E6" si="1">(D4-D14)/D14</f>
        <v>-1.0096356352581721E-3</v>
      </c>
      <c r="F4" s="389">
        <f>Funktional!E303</f>
        <v>224758254.71467009</v>
      </c>
      <c r="G4" s="393">
        <f t="shared" ref="G4:G6" si="2">(F4-F14)/F14</f>
        <v>1.4402532351606887E-2</v>
      </c>
    </row>
    <row r="5" spans="1:7" ht="18" customHeight="1" thickBot="1" x14ac:dyDescent="0.25">
      <c r="A5" s="388" t="s">
        <v>421</v>
      </c>
      <c r="B5" s="389">
        <f>Druck!C8</f>
        <v>9414</v>
      </c>
      <c r="C5" s="393">
        <f t="shared" si="0"/>
        <v>-1.1134453781512605E-2</v>
      </c>
      <c r="D5" s="389">
        <f>Druck!D8</f>
        <v>16206.279648750087</v>
      </c>
      <c r="E5" s="393">
        <f t="shared" si="1"/>
        <v>1.7726679775815581E-2</v>
      </c>
      <c r="F5" s="389">
        <f>Funktional!E305</f>
        <v>152565916.61333331</v>
      </c>
      <c r="G5" s="393">
        <f t="shared" si="2"/>
        <v>6.4040702566900047E-3</v>
      </c>
    </row>
    <row r="6" spans="1:7" ht="18" customHeight="1" thickTop="1" x14ac:dyDescent="0.2">
      <c r="A6" s="390" t="s">
        <v>85</v>
      </c>
      <c r="B6" s="391">
        <f>SUM(B3:B5)</f>
        <v>34730</v>
      </c>
      <c r="C6" s="394">
        <f t="shared" si="0"/>
        <v>-3.4540325830407001E-4</v>
      </c>
      <c r="D6" s="391">
        <f>Druck!D9</f>
        <v>12053.297743449471</v>
      </c>
      <c r="E6" s="394">
        <f t="shared" si="1"/>
        <v>1.1437252953719178E-2</v>
      </c>
      <c r="F6" s="391">
        <f>Funktional!E306</f>
        <v>418611030.63000011</v>
      </c>
      <c r="G6" s="394">
        <f t="shared" si="2"/>
        <v>1.1128254447078056E-2</v>
      </c>
    </row>
    <row r="12" spans="1:7" x14ac:dyDescent="0.2">
      <c r="A12" s="411">
        <v>1998</v>
      </c>
      <c r="B12" s="389"/>
      <c r="C12" s="389"/>
      <c r="D12" s="389"/>
      <c r="E12" s="389"/>
      <c r="F12" s="389"/>
    </row>
    <row r="13" spans="1:7" x14ac:dyDescent="0.2">
      <c r="A13" s="389" t="str">
        <f>A3</f>
        <v>Kindergarten</v>
      </c>
      <c r="B13" s="413">
        <v>5662</v>
      </c>
      <c r="C13" s="389"/>
      <c r="D13" s="413">
        <v>7213</v>
      </c>
      <c r="E13" s="389"/>
      <c r="F13" s="413">
        <v>40841672</v>
      </c>
    </row>
    <row r="14" spans="1:7" x14ac:dyDescent="0.2">
      <c r="A14" s="389" t="str">
        <f>A4</f>
        <v>Primarschule</v>
      </c>
      <c r="B14" s="413">
        <v>19560</v>
      </c>
      <c r="C14" s="389"/>
      <c r="D14" s="413">
        <v>11328</v>
      </c>
      <c r="E14" s="389"/>
      <c r="F14" s="413">
        <v>221567127</v>
      </c>
    </row>
    <row r="15" spans="1:7" x14ac:dyDescent="0.2">
      <c r="A15" s="389" t="str">
        <f>A5</f>
        <v>Oberstufe</v>
      </c>
      <c r="B15" s="413">
        <v>9520</v>
      </c>
      <c r="C15" s="389"/>
      <c r="D15" s="413">
        <v>15924</v>
      </c>
      <c r="E15" s="389"/>
      <c r="F15" s="413">
        <v>151595091</v>
      </c>
    </row>
    <row r="16" spans="1:7" x14ac:dyDescent="0.2">
      <c r="A16" s="389" t="str">
        <f>A6</f>
        <v>Total</v>
      </c>
      <c r="B16" s="389">
        <f>SUM(B13:B15)</f>
        <v>34742</v>
      </c>
      <c r="C16" s="389"/>
      <c r="D16" s="413">
        <v>11917</v>
      </c>
      <c r="E16" s="389"/>
      <c r="F16" s="389">
        <f>SUM(F13:F15)</f>
        <v>414003890</v>
      </c>
    </row>
    <row r="19" spans="1:6" x14ac:dyDescent="0.2">
      <c r="A19" s="389">
        <v>1997</v>
      </c>
      <c r="B19" s="389"/>
      <c r="C19" s="389"/>
      <c r="D19" s="389"/>
      <c r="E19" s="389"/>
      <c r="F19" s="389" t="s">
        <v>422</v>
      </c>
    </row>
    <row r="20" spans="1:6" x14ac:dyDescent="0.2">
      <c r="A20" s="389">
        <v>1996</v>
      </c>
      <c r="B20" s="389"/>
      <c r="C20" s="389"/>
      <c r="D20" s="389"/>
      <c r="E20" s="389"/>
      <c r="F20" s="389" t="s">
        <v>423</v>
      </c>
    </row>
    <row r="21" spans="1:6" x14ac:dyDescent="0.2">
      <c r="A21" s="389">
        <v>1995</v>
      </c>
      <c r="B21" s="389"/>
      <c r="C21" s="389"/>
      <c r="D21" s="389"/>
      <c r="E21" s="389"/>
      <c r="F21" s="389" t="s">
        <v>424</v>
      </c>
    </row>
    <row r="25" spans="1:6" x14ac:dyDescent="0.2">
      <c r="A25" s="389" t="s">
        <v>425</v>
      </c>
      <c r="B25" s="389"/>
      <c r="C25" s="389"/>
      <c r="D25" s="389"/>
      <c r="E25" s="389"/>
      <c r="F25" s="412">
        <f>(418-386)/418</f>
        <v>7.6555023923444973E-2</v>
      </c>
    </row>
  </sheetData>
  <pageMargins left="0.78740157499999996" right="0.78740157499999996" top="0.984251969" bottom="0.984251969" header="0.51181102300000003" footer="0.51181102300000003"/>
  <pageSetup paperSize="9" orientation="landscape" r:id="rId1"/>
  <headerFooter alignWithMargins="0">
    <oddHeader>&amp;A</oddHeader>
    <oddFooter>Seite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5"/>
  <sheetViews>
    <sheetView workbookViewId="0">
      <selection activeCell="E260" sqref="E260"/>
    </sheetView>
  </sheetViews>
  <sheetFormatPr baseColWidth="10" defaultRowHeight="12.75" x14ac:dyDescent="0.2"/>
  <cols>
    <col min="1" max="1" width="26.85546875" customWidth="1"/>
  </cols>
  <sheetData>
    <row r="3" spans="1:7" s="14" customFormat="1" x14ac:dyDescent="0.2">
      <c r="A3" s="398" t="s">
        <v>426</v>
      </c>
      <c r="B3" s="399">
        <v>1995</v>
      </c>
      <c r="C3" s="399">
        <v>1996</v>
      </c>
      <c r="D3" s="399">
        <v>1997</v>
      </c>
      <c r="E3" s="399">
        <v>1998</v>
      </c>
      <c r="F3" s="399">
        <v>1999</v>
      </c>
      <c r="G3" s="14" t="s">
        <v>427</v>
      </c>
    </row>
    <row r="4" spans="1:7" x14ac:dyDescent="0.2">
      <c r="A4" s="23" t="s">
        <v>428</v>
      </c>
      <c r="B4" s="397">
        <v>11720</v>
      </c>
      <c r="C4" s="397">
        <v>11520</v>
      </c>
      <c r="D4" s="397">
        <v>11670</v>
      </c>
      <c r="E4" s="397">
        <v>11920</v>
      </c>
      <c r="F4" s="397">
        <f>'pro S 98_99'!B5</f>
        <v>12050</v>
      </c>
      <c r="G4" s="397">
        <f>ROUND(SUM(B4:F4)/5,-1)</f>
        <v>11780</v>
      </c>
    </row>
    <row r="5" spans="1:7" x14ac:dyDescent="0.2">
      <c r="A5" s="23" t="s">
        <v>403</v>
      </c>
      <c r="B5" s="397">
        <v>6560</v>
      </c>
      <c r="C5" s="397">
        <v>6690</v>
      </c>
      <c r="D5" s="397">
        <v>6710</v>
      </c>
      <c r="E5" s="397">
        <v>6850</v>
      </c>
      <c r="F5" s="397">
        <f>'pro S 98_99'!C5</f>
        <v>6720</v>
      </c>
      <c r="G5" s="397">
        <f t="shared" ref="G5:G13" si="0">ROUND(SUM(B5:F5)/5,-1)</f>
        <v>6710</v>
      </c>
    </row>
    <row r="6" spans="1:7" x14ac:dyDescent="0.2">
      <c r="A6" s="23" t="s">
        <v>429</v>
      </c>
      <c r="B6" s="397">
        <v>1000</v>
      </c>
      <c r="C6" s="397">
        <v>730</v>
      </c>
      <c r="D6" s="397">
        <v>810</v>
      </c>
      <c r="E6" s="397">
        <v>780</v>
      </c>
      <c r="F6" s="397">
        <f>'pro S 98_99'!D5</f>
        <v>950</v>
      </c>
      <c r="G6" s="397">
        <f t="shared" si="0"/>
        <v>850</v>
      </c>
    </row>
    <row r="7" spans="1:7" x14ac:dyDescent="0.2">
      <c r="A7" s="23" t="s">
        <v>430</v>
      </c>
      <c r="B7" s="397">
        <v>870</v>
      </c>
      <c r="C7" s="397">
        <v>730</v>
      </c>
      <c r="D7" s="397">
        <v>850</v>
      </c>
      <c r="E7" s="397">
        <v>1010</v>
      </c>
      <c r="F7" s="397">
        <f>'pro S 98_99'!E5</f>
        <v>990</v>
      </c>
      <c r="G7" s="397">
        <f t="shared" si="0"/>
        <v>890</v>
      </c>
    </row>
    <row r="8" spans="1:7" x14ac:dyDescent="0.2">
      <c r="A8" s="23" t="s">
        <v>400</v>
      </c>
      <c r="B8" s="397">
        <v>970</v>
      </c>
      <c r="C8" s="397">
        <v>1000</v>
      </c>
      <c r="D8" s="397">
        <v>1000</v>
      </c>
      <c r="E8" s="397">
        <v>1050</v>
      </c>
      <c r="F8" s="397">
        <f>'pro S 98_99'!F5</f>
        <v>1090</v>
      </c>
      <c r="G8" s="397">
        <f t="shared" si="0"/>
        <v>1020</v>
      </c>
    </row>
    <row r="9" spans="1:7" x14ac:dyDescent="0.2">
      <c r="A9" s="23" t="s">
        <v>402</v>
      </c>
      <c r="B9" s="397">
        <v>790</v>
      </c>
      <c r="C9" s="397">
        <v>740</v>
      </c>
      <c r="D9" s="397">
        <v>720</v>
      </c>
      <c r="E9" s="397">
        <v>700</v>
      </c>
      <c r="F9" s="397">
        <f>'pro S 98_99'!G5</f>
        <v>620</v>
      </c>
      <c r="G9" s="397">
        <f t="shared" si="0"/>
        <v>710</v>
      </c>
    </row>
    <row r="10" spans="1:7" x14ac:dyDescent="0.2">
      <c r="A10" s="23" t="s">
        <v>63</v>
      </c>
      <c r="B10" s="397">
        <v>520</v>
      </c>
      <c r="C10" s="397">
        <v>540</v>
      </c>
      <c r="D10" s="397">
        <v>550</v>
      </c>
      <c r="E10" s="397">
        <v>540</v>
      </c>
      <c r="F10" s="397">
        <f>'pro S 98_99'!H5</f>
        <v>560</v>
      </c>
      <c r="G10" s="397">
        <f t="shared" si="0"/>
        <v>540</v>
      </c>
    </row>
    <row r="11" spans="1:7" x14ac:dyDescent="0.2">
      <c r="A11" s="23" t="s">
        <v>21</v>
      </c>
      <c r="B11" s="397">
        <v>1010</v>
      </c>
      <c r="C11" s="397">
        <v>1090</v>
      </c>
      <c r="D11" s="397">
        <v>1020</v>
      </c>
      <c r="E11" s="397">
        <v>990</v>
      </c>
      <c r="F11" s="397">
        <f>'pro S 98_99'!I5</f>
        <v>1120</v>
      </c>
      <c r="G11" s="397">
        <f t="shared" si="0"/>
        <v>1050</v>
      </c>
    </row>
    <row r="12" spans="1:7" x14ac:dyDescent="0.2">
      <c r="G12" s="397"/>
    </row>
    <row r="13" spans="1:7" x14ac:dyDescent="0.2">
      <c r="A13" t="s">
        <v>431</v>
      </c>
      <c r="B13" s="400">
        <f>SUM(B5:B11)</f>
        <v>11720</v>
      </c>
      <c r="C13" s="400">
        <f t="shared" ref="C13:F13" si="1">SUM(C5:C11)</f>
        <v>11520</v>
      </c>
      <c r="D13" s="400">
        <f t="shared" si="1"/>
        <v>11660</v>
      </c>
      <c r="E13" s="400">
        <f t="shared" si="1"/>
        <v>11920</v>
      </c>
      <c r="F13" s="400">
        <f t="shared" si="1"/>
        <v>12050</v>
      </c>
      <c r="G13" s="397">
        <f t="shared" si="0"/>
        <v>11770</v>
      </c>
    </row>
    <row r="15" spans="1:7" x14ac:dyDescent="0.2">
      <c r="E15" t="s">
        <v>432</v>
      </c>
    </row>
  </sheetData>
  <printOptions gridLines="1" gridLinesSet="0"/>
  <pageMargins left="0.78740157499999996" right="0.78740157499999996" top="0.984251969" bottom="0.984251969" header="0.51181102300000003" footer="0.51181102300000003"/>
  <pageSetup paperSize="9" orientation="portrait" r:id="rId1"/>
  <headerFooter alignWithMargins="0">
    <oddHeader>&amp;A</oddHeader>
    <oddFooter>Seite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260" sqref="E260"/>
    </sheetView>
  </sheetViews>
  <sheetFormatPr baseColWidth="10" defaultRowHeight="12.75" x14ac:dyDescent="0.2"/>
  <sheetData/>
  <printOptions gridLines="1" gridLinesSet="0"/>
  <pageMargins left="0.78740157499999996" right="0.78740157499999996" top="0.984251969" bottom="0.984251969" header="0.51181102300000003" footer="0.51181102300000003"/>
  <headerFooter alignWithMargins="0">
    <oddHeader>&amp;A</oddHeader>
    <oddFooter>Seite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53"/>
  <sheetViews>
    <sheetView tabSelected="1" workbookViewId="0">
      <pane xSplit="2" ySplit="9" topLeftCell="C10" activePane="bottomRight" state="frozen"/>
      <selection pane="topRight" activeCell="C1" sqref="C1"/>
      <selection pane="bottomLeft" activeCell="A10" sqref="A10"/>
      <selection pane="bottomRight"/>
    </sheetView>
  </sheetViews>
  <sheetFormatPr baseColWidth="10" defaultColWidth="0" defaultRowHeight="13.5" x14ac:dyDescent="0.25"/>
  <cols>
    <col min="1" max="1" width="32.28515625" style="4" customWidth="1"/>
    <col min="2" max="2" width="5.7109375" style="4" customWidth="1"/>
    <col min="3" max="3" width="8.42578125" style="25" customWidth="1"/>
    <col min="4" max="4" width="9.28515625" style="160" customWidth="1"/>
    <col min="5" max="5" width="10.28515625" style="160" customWidth="1"/>
    <col min="6" max="6" width="9.85546875" style="160" customWidth="1"/>
    <col min="7" max="7" width="10.28515625" style="160" customWidth="1"/>
    <col min="8" max="8" width="7.5703125" style="160" customWidth="1"/>
    <col min="9" max="10" width="8.140625" style="160" customWidth="1"/>
    <col min="11" max="11" width="9.28515625" style="160" customWidth="1"/>
    <col min="12" max="12" width="8.140625" style="160" customWidth="1"/>
    <col min="13" max="13" width="9.7109375" style="160" customWidth="1"/>
    <col min="14" max="14" width="8.7109375" style="160" customWidth="1"/>
    <col min="15" max="15" width="10.28515625" style="160" customWidth="1"/>
    <col min="16" max="16" width="7.7109375" style="160" customWidth="1"/>
    <col min="17" max="17" width="9.7109375" style="160" customWidth="1"/>
    <col min="18" max="18" width="9.28515625" style="160" customWidth="1"/>
    <col min="19" max="19" width="10.5703125" style="160" customWidth="1"/>
    <col min="20" max="20" width="8.42578125" style="160" customWidth="1"/>
    <col min="21" max="21" width="9.7109375" style="160" customWidth="1"/>
    <col min="22" max="22" width="10.28515625" style="160" customWidth="1"/>
    <col min="23" max="23" width="11.28515625" style="160" customWidth="1"/>
    <col min="24" max="24" width="14.5703125" style="162" customWidth="1"/>
    <col min="25" max="25" width="11.140625" style="162" customWidth="1"/>
    <col min="26" max="26" width="11.28515625" style="162" customWidth="1"/>
    <col min="27" max="27" width="12.28515625" style="162" customWidth="1"/>
    <col min="28" max="28" width="12.42578125" style="162" customWidth="1"/>
    <col min="29" max="29" width="11.28515625" style="162" customWidth="1"/>
    <col min="30" max="30" width="12.140625" style="162" customWidth="1"/>
    <col min="31" max="31" width="11.42578125" style="162" customWidth="1"/>
    <col min="32" max="32" width="9.85546875" style="162" customWidth="1"/>
    <col min="33" max="33" width="10.42578125" style="162" customWidth="1"/>
    <col min="34" max="34" width="11.7109375" style="162" customWidth="1"/>
    <col min="35" max="35" width="34.140625" style="164" customWidth="1"/>
    <col min="36" max="16384" width="0" style="4" hidden="1"/>
  </cols>
  <sheetData>
    <row r="1" spans="1:35" ht="24" x14ac:dyDescent="0.25">
      <c r="A1" s="3" t="s">
        <v>1</v>
      </c>
      <c r="B1" s="3"/>
      <c r="C1" s="28"/>
      <c r="E1" s="409"/>
      <c r="M1" s="161"/>
      <c r="Y1"/>
      <c r="AI1" s="163"/>
    </row>
    <row r="2" spans="1:35" ht="12" customHeight="1" x14ac:dyDescent="0.25">
      <c r="C2" s="344"/>
      <c r="D2" s="347"/>
      <c r="E2" s="165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95"/>
      <c r="X2" s="167"/>
      <c r="Y2" s="168"/>
      <c r="Z2" s="168"/>
      <c r="AA2" s="168"/>
      <c r="AB2" s="168"/>
      <c r="AC2" s="168"/>
      <c r="AD2" s="168"/>
      <c r="AE2" s="200"/>
      <c r="AF2" s="167"/>
      <c r="AG2" s="169"/>
      <c r="AH2" s="169"/>
    </row>
    <row r="3" spans="1:35" s="159" customFormat="1" ht="56.45" customHeight="1" x14ac:dyDescent="0.2">
      <c r="A3" s="149" t="s">
        <v>2</v>
      </c>
      <c r="B3" s="149"/>
      <c r="C3" s="345" t="s">
        <v>3</v>
      </c>
      <c r="D3" s="152" t="s">
        <v>4</v>
      </c>
      <c r="E3" s="185"/>
      <c r="F3" s="152" t="s">
        <v>5</v>
      </c>
      <c r="G3" s="153"/>
      <c r="H3" s="154" t="s">
        <v>6</v>
      </c>
      <c r="I3" s="187"/>
      <c r="J3" s="152" t="s">
        <v>7</v>
      </c>
      <c r="K3" s="153"/>
      <c r="L3" s="154" t="s">
        <v>8</v>
      </c>
      <c r="M3" s="154"/>
      <c r="N3" s="152" t="s">
        <v>9</v>
      </c>
      <c r="O3" s="153"/>
      <c r="P3" s="153" t="s">
        <v>10</v>
      </c>
      <c r="Q3" s="153"/>
      <c r="R3" s="152" t="s">
        <v>11</v>
      </c>
      <c r="S3" s="153"/>
      <c r="T3" s="152" t="s">
        <v>12</v>
      </c>
      <c r="U3" s="153"/>
      <c r="V3" s="152" t="s">
        <v>13</v>
      </c>
      <c r="W3" s="196"/>
      <c r="X3" s="155" t="s">
        <v>14</v>
      </c>
      <c r="Y3" s="156" t="s">
        <v>15</v>
      </c>
      <c r="Z3" s="157" t="s">
        <v>16</v>
      </c>
      <c r="AA3" s="156" t="s">
        <v>17</v>
      </c>
      <c r="AB3" s="156" t="s">
        <v>18</v>
      </c>
      <c r="AC3" s="156" t="s">
        <v>19</v>
      </c>
      <c r="AD3" s="156" t="s">
        <v>20</v>
      </c>
      <c r="AE3" s="201" t="s">
        <v>21</v>
      </c>
      <c r="AF3" s="155" t="s">
        <v>22</v>
      </c>
      <c r="AG3" s="156" t="s">
        <v>23</v>
      </c>
      <c r="AH3" s="156" t="s">
        <v>24</v>
      </c>
      <c r="AI3" s="158" t="str">
        <f>A3</f>
        <v>Schule</v>
      </c>
    </row>
    <row r="4" spans="1:35" s="311" customFormat="1" ht="21.75" customHeight="1" x14ac:dyDescent="0.2">
      <c r="A4" s="303"/>
      <c r="B4" s="303"/>
      <c r="C4" s="346"/>
      <c r="D4" s="305" t="s">
        <v>25</v>
      </c>
      <c r="E4" s="304" t="s">
        <v>26</v>
      </c>
      <c r="F4" s="305" t="s">
        <v>25</v>
      </c>
      <c r="G4" s="306" t="s">
        <v>26</v>
      </c>
      <c r="H4" s="306" t="s">
        <v>25</v>
      </c>
      <c r="I4" s="304" t="s">
        <v>26</v>
      </c>
      <c r="J4" s="305" t="s">
        <v>25</v>
      </c>
      <c r="K4" s="306" t="s">
        <v>26</v>
      </c>
      <c r="L4" s="306" t="s">
        <v>25</v>
      </c>
      <c r="M4" s="306" t="s">
        <v>26</v>
      </c>
      <c r="N4" s="305" t="s">
        <v>25</v>
      </c>
      <c r="O4" s="306" t="s">
        <v>26</v>
      </c>
      <c r="P4" s="306" t="s">
        <v>25</v>
      </c>
      <c r="Q4" s="306" t="s">
        <v>26</v>
      </c>
      <c r="R4" s="305" t="s">
        <v>25</v>
      </c>
      <c r="S4" s="306" t="s">
        <v>26</v>
      </c>
      <c r="T4" s="305" t="s">
        <v>25</v>
      </c>
      <c r="U4" s="306" t="s">
        <v>26</v>
      </c>
      <c r="V4" s="305" t="s">
        <v>25</v>
      </c>
      <c r="W4" s="307" t="s">
        <v>26</v>
      </c>
      <c r="X4" s="308" t="s">
        <v>27</v>
      </c>
      <c r="Y4" s="309" t="s">
        <v>27</v>
      </c>
      <c r="Z4" s="309" t="s">
        <v>27</v>
      </c>
      <c r="AA4" s="309" t="s">
        <v>27</v>
      </c>
      <c r="AB4" s="309" t="s">
        <v>27</v>
      </c>
      <c r="AC4" s="309" t="s">
        <v>27</v>
      </c>
      <c r="AD4" s="309" t="s">
        <v>27</v>
      </c>
      <c r="AE4" s="310" t="s">
        <v>27</v>
      </c>
      <c r="AF4" s="308" t="s">
        <v>27</v>
      </c>
      <c r="AG4" s="309" t="s">
        <v>27</v>
      </c>
      <c r="AH4" s="309" t="s">
        <v>27</v>
      </c>
      <c r="AI4" s="303"/>
    </row>
    <row r="5" spans="1:35" ht="20.45" customHeight="1" x14ac:dyDescent="0.25">
      <c r="A5" s="5" t="s">
        <v>28</v>
      </c>
      <c r="B5" s="5"/>
      <c r="C5" s="344"/>
      <c r="D5" s="103"/>
      <c r="E5" s="86"/>
      <c r="F5" s="81"/>
      <c r="G5" s="103"/>
      <c r="H5" s="103"/>
      <c r="I5" s="86"/>
      <c r="J5" s="81"/>
      <c r="K5" s="103"/>
      <c r="L5" s="103"/>
      <c r="M5" s="103"/>
      <c r="N5" s="81"/>
      <c r="O5" s="103"/>
      <c r="P5" s="103"/>
      <c r="Q5" s="103"/>
      <c r="R5" s="81"/>
      <c r="S5" s="103"/>
      <c r="T5" s="81"/>
      <c r="U5" s="103"/>
      <c r="V5" s="81"/>
      <c r="W5" s="197"/>
      <c r="X5" s="170"/>
      <c r="Y5" s="16"/>
      <c r="Z5" s="16"/>
      <c r="AA5" s="16"/>
      <c r="AB5" s="16"/>
      <c r="AC5" s="16"/>
      <c r="AD5" s="16"/>
      <c r="AE5" s="198"/>
      <c r="AF5" s="170"/>
      <c r="AG5" s="16"/>
      <c r="AH5" s="16"/>
      <c r="AI5" s="171" t="str">
        <f>A5</f>
        <v>Durchschnittswerte</v>
      </c>
    </row>
    <row r="6" spans="1:35" x14ac:dyDescent="0.25">
      <c r="A6" s="45" t="s">
        <v>29</v>
      </c>
      <c r="B6" s="45"/>
      <c r="C6" s="350">
        <f>Funktional!D303</f>
        <v>19861</v>
      </c>
      <c r="D6" s="80">
        <f>Funktional!G303</f>
        <v>11316.562847523795</v>
      </c>
      <c r="E6" s="85">
        <f>Funktional!F303</f>
        <v>226259.10678970849</v>
      </c>
      <c r="F6" s="80">
        <f>Funktional!U303</f>
        <v>7111.1591126842804</v>
      </c>
      <c r="G6" s="43">
        <f>Funktional!T303</f>
        <v>142177.84417001694</v>
      </c>
      <c r="H6" s="43">
        <f>Artengliederung!R303</f>
        <v>303.8525548832377</v>
      </c>
      <c r="I6" s="85">
        <f>Artengliederung!Q303</f>
        <v>6075.1138477258992</v>
      </c>
      <c r="J6" s="80">
        <f>Funktional!Z303</f>
        <v>547.56315926106413</v>
      </c>
      <c r="K6" s="43">
        <f>Funktional!Y303</f>
        <v>10947.772127865503</v>
      </c>
      <c r="L6" s="43">
        <f>'Kennzahlen Revision'!O303</f>
        <v>198.97242004155714</v>
      </c>
      <c r="M6" s="43">
        <f>'Kennzahlen Revision'!N303</f>
        <v>3978.1798272997885</v>
      </c>
      <c r="N6" s="80">
        <f>Funktional!AG303</f>
        <v>769.57663412908369</v>
      </c>
      <c r="O6" s="43">
        <f>Funktional!AF303</f>
        <v>15386.626150569844</v>
      </c>
      <c r="P6" s="43">
        <f>Funktional!AL303</f>
        <v>1050.9872100285863</v>
      </c>
      <c r="Q6" s="43">
        <f>Funktional!AK303</f>
        <v>21013.043500262829</v>
      </c>
      <c r="R6" s="80">
        <f>Funktional!AU303</f>
        <v>603.69366984534804</v>
      </c>
      <c r="S6" s="43">
        <f>Funktional!AT303</f>
        <v>12070.024472465815</v>
      </c>
      <c r="T6" s="80">
        <f>Funktional!AQ303</f>
        <v>40.05490542386967</v>
      </c>
      <c r="U6" s="43">
        <f>Funktional!AP303</f>
        <v>800.84273342184042</v>
      </c>
      <c r="V6" s="80">
        <f t="shared" ref="V6:W9" si="0">D6-F6-J6-N6-P6-R6-T6</f>
        <v>1193.5281561515628</v>
      </c>
      <c r="W6" s="184">
        <f t="shared" si="0"/>
        <v>23862.953635105718</v>
      </c>
      <c r="X6" s="172">
        <f>Funktional!S303</f>
        <v>0.62838506784242276</v>
      </c>
      <c r="Y6" s="42">
        <f>Funktional!X303</f>
        <v>4.8385995521677133E-2</v>
      </c>
      <c r="Z6" s="42">
        <f>'Kennzahlen Revision'!L303</f>
        <v>1.7582407549222846E-2</v>
      </c>
      <c r="AA6" s="42">
        <f>Funktional!AE303</f>
        <v>6.8004450158422144E-2</v>
      </c>
      <c r="AB6" s="42">
        <f>Funktional!AJ303</f>
        <v>9.28715922130504E-2</v>
      </c>
      <c r="AC6" s="42">
        <f>Funktional!AS303</f>
        <v>5.3346027232769162E-2</v>
      </c>
      <c r="AD6" s="42">
        <f>Funktional!AO303</f>
        <v>3.5394939226298899E-3</v>
      </c>
      <c r="AE6" s="202">
        <f t="shared" ref="AE6:AE9" si="1">1-X6-Y6-AA6-AB6-AC6-AD6</f>
        <v>0.10546737310902851</v>
      </c>
      <c r="AF6" s="172"/>
      <c r="AG6" s="42"/>
      <c r="AH6" s="42">
        <f>Artengliederung!AN303</f>
        <v>0.1907272585092572</v>
      </c>
      <c r="AI6" s="173" t="str">
        <f>A6</f>
        <v>Total PSG</v>
      </c>
    </row>
    <row r="7" spans="1:35" x14ac:dyDescent="0.25">
      <c r="A7" s="45" t="s">
        <v>30</v>
      </c>
      <c r="B7" s="45"/>
      <c r="C7" s="350">
        <f>Funktional!D304</f>
        <v>5455</v>
      </c>
      <c r="D7" s="80">
        <f>Funktional!G304</f>
        <v>7568.626819797717</v>
      </c>
      <c r="E7" s="85">
        <f>Funktional!F304</f>
        <v>157403.19977886596</v>
      </c>
      <c r="F7" s="80">
        <f>Funktional!U304</f>
        <v>4700.6710515693612</v>
      </c>
      <c r="G7" s="43">
        <f>Funktional!T304</f>
        <v>97758.904255855363</v>
      </c>
      <c r="H7" s="43">
        <f>Artengliederung!R304</f>
        <v>203.00653726807471</v>
      </c>
      <c r="I7" s="85">
        <f>Artengliederung!Q304</f>
        <v>4221.8858589300326</v>
      </c>
      <c r="J7" s="80">
        <f>Funktional!Z304</f>
        <v>363.50812048567207</v>
      </c>
      <c r="K7" s="43">
        <f>Funktional!Y304</f>
        <v>7559.8047931732408</v>
      </c>
      <c r="L7" s="43">
        <f>'Kennzahlen Revision'!O304</f>
        <v>129.22714920036063</v>
      </c>
      <c r="M7" s="43">
        <f>'Kennzahlen Revision'!N304</f>
        <v>2687.5108611817277</v>
      </c>
      <c r="N7" s="80">
        <f>Funktional!AG304</f>
        <v>516.58491406579935</v>
      </c>
      <c r="O7" s="43">
        <f>Funktional!AF304</f>
        <v>10743.311880400059</v>
      </c>
      <c r="P7" s="43">
        <f>Funktional!AL304</f>
        <v>706.54012373154478</v>
      </c>
      <c r="Q7" s="43">
        <f>Funktional!AK304</f>
        <v>14693.771921294612</v>
      </c>
      <c r="R7" s="80">
        <f>Funktional!AU304</f>
        <v>402.43620956948456</v>
      </c>
      <c r="S7" s="43">
        <f>Funktional!AT304</f>
        <v>8369.3843812487157</v>
      </c>
      <c r="T7" s="80">
        <f>Funktional!AQ304</f>
        <v>27.10537978182543</v>
      </c>
      <c r="U7" s="43">
        <f>Funktional!AP304</f>
        <v>563.70509611078046</v>
      </c>
      <c r="V7" s="80">
        <f t="shared" si="0"/>
        <v>851.78102059402977</v>
      </c>
      <c r="W7" s="184">
        <f t="shared" si="0"/>
        <v>17714.317450783194</v>
      </c>
      <c r="X7" s="172">
        <f>Funktional!S304</f>
        <v>0.62107317000668205</v>
      </c>
      <c r="Y7" s="42">
        <f>Funktional!X304</f>
        <v>4.8028278991748122E-2</v>
      </c>
      <c r="Z7" s="42">
        <f>'Kennzahlen Revision'!L304</f>
        <v>1.70740548156415E-2</v>
      </c>
      <c r="AA7" s="42">
        <f>Funktional!AE304</f>
        <v>6.8253452887191757E-2</v>
      </c>
      <c r="AB7" s="42">
        <f>Funktional!AJ304</f>
        <v>9.335116402930646E-2</v>
      </c>
      <c r="AC7" s="42">
        <f>Funktional!AS304</f>
        <v>5.3171627978381458E-2</v>
      </c>
      <c r="AD7" s="42">
        <f>Funktional!AO304</f>
        <v>3.5812810470354072E-3</v>
      </c>
      <c r="AE7" s="202">
        <f t="shared" si="1"/>
        <v>0.11254102505965476</v>
      </c>
      <c r="AF7" s="172"/>
      <c r="AG7" s="42"/>
      <c r="AH7" s="42">
        <f>Artengliederung!AN304</f>
        <v>0.18114514506678972</v>
      </c>
      <c r="AI7" s="173" t="str">
        <f>A7</f>
        <v>Total KiGa</v>
      </c>
    </row>
    <row r="8" spans="1:35" x14ac:dyDescent="0.25">
      <c r="A8" s="45" t="s">
        <v>31</v>
      </c>
      <c r="B8" s="45"/>
      <c r="C8" s="350">
        <f>Funktional!D305</f>
        <v>9414</v>
      </c>
      <c r="D8" s="80">
        <f>Funktional!G305</f>
        <v>16206.279648750087</v>
      </c>
      <c r="E8" s="85">
        <f>Funktional!F305</f>
        <v>298660.84818270797</v>
      </c>
      <c r="F8" s="80">
        <f>Funktional!U305</f>
        <v>10609.321286027904</v>
      </c>
      <c r="G8" s="43">
        <f>Funktional!T305</f>
        <v>195516.11860358896</v>
      </c>
      <c r="H8" s="43">
        <f>Artengliederung!R305</f>
        <v>630.97665887685014</v>
      </c>
      <c r="I8" s="85">
        <f>Artengliederung!Q305</f>
        <v>11628.086655791192</v>
      </c>
      <c r="J8" s="80">
        <f>Funktional!Z305</f>
        <v>700.40618936335932</v>
      </c>
      <c r="K8" s="43">
        <f>Funktional!Y305</f>
        <v>12907.583425774874</v>
      </c>
      <c r="L8" s="43">
        <f>'Kennzahlen Revision'!O305</f>
        <v>246.11851143686707</v>
      </c>
      <c r="M8" s="43">
        <f>'Kennzahlen Revision'!N305</f>
        <v>4535.6469820554648</v>
      </c>
      <c r="N8" s="80">
        <f>Funktional!AG305</f>
        <v>1724.8617573118051</v>
      </c>
      <c r="O8" s="43">
        <f>Funktional!AF305</f>
        <v>31786.979282218599</v>
      </c>
      <c r="P8" s="43">
        <f>Funktional!AL305</f>
        <v>1386.2360990723041</v>
      </c>
      <c r="Q8" s="43">
        <f>Funktional!AK305</f>
        <v>25546.544802610122</v>
      </c>
      <c r="R8" s="80">
        <f>Funktional!AU305</f>
        <v>767.66262481410672</v>
      </c>
      <c r="S8" s="43">
        <f>Funktional!AT305</f>
        <v>14147.0328548124</v>
      </c>
      <c r="T8" s="80">
        <f>Funktional!AQ305</f>
        <v>45.955819701154304</v>
      </c>
      <c r="U8" s="43">
        <f>Funktional!AP305</f>
        <v>846.90653181076664</v>
      </c>
      <c r="V8" s="80">
        <f t="shared" si="0"/>
        <v>971.83587245945432</v>
      </c>
      <c r="W8" s="184">
        <f t="shared" si="0"/>
        <v>17909.682681892242</v>
      </c>
      <c r="X8" s="172">
        <f>Funktional!S305</f>
        <v>0.65464261483641317</v>
      </c>
      <c r="Y8" s="42">
        <f>Funktional!X305</f>
        <v>4.3218197176881266E-2</v>
      </c>
      <c r="Z8" s="42">
        <f>'Kennzahlen Revision'!L305</f>
        <v>1.5186613878765754E-2</v>
      </c>
      <c r="AA8" s="42">
        <f>Funktional!AE305</f>
        <v>0.10643169158473922</v>
      </c>
      <c r="AB8" s="42">
        <f>Funktional!AJ305</f>
        <v>8.5536972649933138E-2</v>
      </c>
      <c r="AC8" s="42">
        <f>Funktional!AS305</f>
        <v>4.7368220310409916E-2</v>
      </c>
      <c r="AD8" s="42">
        <f>Funktional!AO305</f>
        <v>2.835679791857637E-3</v>
      </c>
      <c r="AE8" s="202">
        <f t="shared" si="1"/>
        <v>5.9966623649765662E-2</v>
      </c>
      <c r="AF8" s="172"/>
      <c r="AG8" s="42"/>
      <c r="AH8" s="42">
        <f>Artengliederung!AN305</f>
        <v>0.10077726516270698</v>
      </c>
      <c r="AI8" s="173" t="str">
        <f>A8</f>
        <v>Total OSG</v>
      </c>
    </row>
    <row r="9" spans="1:35" x14ac:dyDescent="0.25">
      <c r="A9" s="45" t="s">
        <v>32</v>
      </c>
      <c r="B9" s="45"/>
      <c r="C9" s="350">
        <f>Funktional!D306</f>
        <v>34730</v>
      </c>
      <c r="D9" s="80">
        <f>Funktional!G306</f>
        <v>12053.297743449471</v>
      </c>
      <c r="E9" s="85">
        <f>Funktional!F306</f>
        <v>236971.99582790837</v>
      </c>
      <c r="F9" s="80">
        <f>Funktional!U306</f>
        <v>7680.7671266916213</v>
      </c>
      <c r="G9" s="43">
        <f>Funktional!T306</f>
        <v>151006.53399943392</v>
      </c>
      <c r="H9" s="43">
        <f>Artengliederung!R306</f>
        <v>376.6838617909587</v>
      </c>
      <c r="I9" s="85">
        <f>Artengliederung!Q306</f>
        <v>7405.7347976224146</v>
      </c>
      <c r="J9" s="80">
        <f>Funktional!Z306</f>
        <v>560.08386323063701</v>
      </c>
      <c r="K9" s="43">
        <f>Funktional!Y306</f>
        <v>11011.442156807259</v>
      </c>
      <c r="L9" s="43">
        <f>'Kennzahlen Revision'!O306</f>
        <v>200.79714943852579</v>
      </c>
      <c r="M9" s="43">
        <f>'Kennzahlen Revision'!N306</f>
        <v>3947.7412963487127</v>
      </c>
      <c r="N9" s="80">
        <f>Funktional!AG306</f>
        <v>988.78148056435339</v>
      </c>
      <c r="O9" s="43">
        <f>Funktional!AF306</f>
        <v>19439.785349561276</v>
      </c>
      <c r="P9" s="43">
        <f>Funktional!AL306</f>
        <v>1087.7587097610133</v>
      </c>
      <c r="Q9" s="43">
        <f>Funktional!AK306</f>
        <v>21385.711853948484</v>
      </c>
      <c r="R9" s="80">
        <f>Funktional!AU306</f>
        <v>616.52823063633753</v>
      </c>
      <c r="S9" s="43">
        <f>Funktional!AT306</f>
        <v>12121.157911123693</v>
      </c>
      <c r="T9" s="80">
        <f>Funktional!AQ306</f>
        <v>39.620455226029385</v>
      </c>
      <c r="U9" s="43">
        <f>Funktional!AP306</f>
        <v>778.95183130484043</v>
      </c>
      <c r="V9" s="80">
        <f t="shared" si="0"/>
        <v>1079.7578773394796</v>
      </c>
      <c r="W9" s="184">
        <f t="shared" si="0"/>
        <v>21228.4127257289</v>
      </c>
      <c r="X9" s="172">
        <f>Funktional!S306</f>
        <v>0.63723366751359301</v>
      </c>
      <c r="Y9" s="42">
        <f>Funktional!X306</f>
        <v>4.6467271874622212E-2</v>
      </c>
      <c r="Z9" s="42">
        <f>'Kennzahlen Revision'!L306</f>
        <v>1.665910472904826E-2</v>
      </c>
      <c r="AA9" s="42">
        <f>Funktional!AE306</f>
        <v>8.2034103994628377E-2</v>
      </c>
      <c r="AB9" s="42">
        <f>Funktional!AJ306</f>
        <v>9.0245734645704803E-2</v>
      </c>
      <c r="AC9" s="42">
        <f>Funktional!AS306</f>
        <v>5.1150170165787053E-2</v>
      </c>
      <c r="AD9" s="42">
        <f>Funktional!AO306</f>
        <v>3.2871049956068382E-3</v>
      </c>
      <c r="AE9" s="202">
        <f t="shared" si="1"/>
        <v>8.9581946810057739E-2</v>
      </c>
      <c r="AF9" s="172"/>
      <c r="AG9" s="42"/>
      <c r="AH9" s="42">
        <f>Artengliederung!AN306</f>
        <v>0.15699924486244535</v>
      </c>
      <c r="AI9" s="173" t="str">
        <f>A9</f>
        <v>Total TG</v>
      </c>
    </row>
    <row r="10" spans="1:35" x14ac:dyDescent="0.25">
      <c r="A10" s="110"/>
      <c r="B10" s="110"/>
      <c r="C10" s="351"/>
      <c r="D10" s="188"/>
      <c r="E10" s="188"/>
      <c r="F10" s="188"/>
      <c r="G10" s="188"/>
      <c r="H10" s="188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98"/>
      <c r="X10" s="188"/>
      <c r="Y10" s="188"/>
      <c r="Z10" s="188"/>
      <c r="AA10" s="188"/>
      <c r="AB10" s="188"/>
      <c r="AC10" s="188"/>
      <c r="AD10" s="188"/>
      <c r="AE10" s="198"/>
      <c r="AF10" s="188"/>
      <c r="AG10" s="188"/>
      <c r="AH10" s="188"/>
      <c r="AI10" s="189"/>
    </row>
    <row r="11" spans="1:35" x14ac:dyDescent="0.25">
      <c r="A11" s="190" t="s">
        <v>33</v>
      </c>
      <c r="B11" s="190"/>
      <c r="C11" s="351"/>
      <c r="D11" s="188"/>
      <c r="E11" s="188"/>
      <c r="F11" s="188"/>
      <c r="G11" s="188"/>
      <c r="H11" s="188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98"/>
      <c r="X11" s="188"/>
      <c r="Y11" s="188"/>
      <c r="Z11" s="188"/>
      <c r="AA11" s="188"/>
      <c r="AB11" s="188"/>
      <c r="AC11" s="188"/>
      <c r="AD11" s="188"/>
      <c r="AE11" s="198"/>
      <c r="AF11" s="188"/>
      <c r="AG11" s="188"/>
      <c r="AH11" s="188"/>
      <c r="AI11" s="191" t="str">
        <f>A11</f>
        <v>Höchstwerte</v>
      </c>
    </row>
    <row r="12" spans="1:35" ht="12.75" customHeight="1" x14ac:dyDescent="0.25">
      <c r="A12" s="45" t="s">
        <v>34</v>
      </c>
      <c r="B12" s="45"/>
      <c r="C12" s="350">
        <f>Funktional!D311</f>
        <v>1599</v>
      </c>
      <c r="D12" s="80">
        <f>Funktional!G311</f>
        <v>74325.572824929448</v>
      </c>
      <c r="E12" s="85">
        <f>Funktional!F311</f>
        <v>1876720.7138294687</v>
      </c>
      <c r="F12" s="80">
        <f>Funktional!U311</f>
        <v>18800.93859927771</v>
      </c>
      <c r="G12" s="43">
        <f>Funktional!T311</f>
        <v>507625.34218049818</v>
      </c>
      <c r="H12" s="43">
        <f>Artengliederung!R309</f>
        <v>803.68888888888887</v>
      </c>
      <c r="I12" s="85">
        <f>Artengliederung!Q309</f>
        <v>21699.599999999999</v>
      </c>
      <c r="J12" s="80">
        <f>Funktional!Z311</f>
        <v>1736.2047688912508</v>
      </c>
      <c r="K12" s="43">
        <f>Funktional!Y311</f>
        <v>39100.02127352314</v>
      </c>
      <c r="L12" s="43">
        <f>'Kennzahlen Revision'!O309</f>
        <v>3200</v>
      </c>
      <c r="M12" s="43">
        <f>'Kennzahlen Revision'!N309</f>
        <v>19500</v>
      </c>
      <c r="N12" s="80">
        <f>Funktional!AG311</f>
        <v>5027.1484419893941</v>
      </c>
      <c r="O12" s="43">
        <f>Funktional!AF311</f>
        <v>97770</v>
      </c>
      <c r="P12" s="43">
        <f>Funktional!AL311</f>
        <v>2511.5218817982691</v>
      </c>
      <c r="Q12" s="43">
        <f>Funktional!AK311</f>
        <v>55137.548227181876</v>
      </c>
      <c r="R12" s="80">
        <f>Funktional!AU311</f>
        <v>2045.1525183415624</v>
      </c>
      <c r="S12" s="43">
        <f>Funktional!AT311</f>
        <v>42308.425010683772</v>
      </c>
      <c r="T12" s="80">
        <f>Funktional!AQ311</f>
        <v>318.36631308873984</v>
      </c>
      <c r="U12" s="43">
        <f>Funktional!AP311</f>
        <v>8595.8904533959758</v>
      </c>
      <c r="V12" s="80">
        <f t="shared" ref="V12:W12" si="2">MAX(V27:V149)</f>
        <v>60855.223636901217</v>
      </c>
      <c r="W12" s="183">
        <f t="shared" si="2"/>
        <v>1536594.3968317555</v>
      </c>
      <c r="X12" s="172">
        <f>Funktional!S311</f>
        <v>0.79135135945305668</v>
      </c>
      <c r="Y12" s="42">
        <f>Funktional!X311</f>
        <v>7.6832970114271773E-2</v>
      </c>
      <c r="Z12" s="42">
        <f>'Kennzahlen Revision'!L309</f>
        <v>7.4629678922071882E-2</v>
      </c>
      <c r="AA12" s="42">
        <f>Funktional!AE311</f>
        <v>0.26907865672734127</v>
      </c>
      <c r="AB12" s="42">
        <f>Funktional!AJ311</f>
        <v>0.18746932298428201</v>
      </c>
      <c r="AC12" s="42">
        <f>Funktional!AS311</f>
        <v>0.15976935660476105</v>
      </c>
      <c r="AD12" s="42">
        <f>Funktional!AO311</f>
        <v>1.5192651038279938E-2</v>
      </c>
      <c r="AE12" s="202">
        <f>Funktional!AV311</f>
        <v>0.81876561893768329</v>
      </c>
      <c r="AF12" s="172">
        <f>'Kennzahlen Revision'!C309</f>
        <v>0.52049999999999996</v>
      </c>
      <c r="AG12" s="42">
        <f>'Kennzahlen Revision'!D309</f>
        <v>0.1888</v>
      </c>
      <c r="AH12" s="42">
        <f>Artengliederung!AN309</f>
        <v>0.75849143961912124</v>
      </c>
      <c r="AI12" s="173" t="str">
        <f>A12</f>
        <v>PSG</v>
      </c>
    </row>
    <row r="13" spans="1:35" hidden="1" x14ac:dyDescent="0.25">
      <c r="A13" s="45"/>
      <c r="B13" s="45"/>
      <c r="C13" s="350">
        <f>Funktional!D312</f>
        <v>476</v>
      </c>
      <c r="D13" s="80"/>
      <c r="E13" s="85"/>
      <c r="F13" s="80"/>
      <c r="G13" s="43"/>
      <c r="H13" s="43"/>
      <c r="I13" s="85"/>
      <c r="J13" s="80"/>
      <c r="K13" s="43"/>
      <c r="L13" s="43"/>
      <c r="M13" s="43"/>
      <c r="N13" s="80"/>
      <c r="O13" s="43"/>
      <c r="P13" s="43"/>
      <c r="Q13" s="43"/>
      <c r="R13" s="80"/>
      <c r="S13" s="43"/>
      <c r="T13" s="80"/>
      <c r="U13" s="43"/>
      <c r="V13" s="183">
        <f>MAX(V150,V271)</f>
        <v>851.78102059402977</v>
      </c>
      <c r="W13" s="183">
        <f>MAX(W151,W271)</f>
        <v>40490.946806249143</v>
      </c>
      <c r="X13" s="172">
        <f>Funktional!S312</f>
        <v>0.78643793889122904</v>
      </c>
      <c r="Y13" s="42">
        <f>Funktional!X312</f>
        <v>7.4343766720547502E-2</v>
      </c>
      <c r="Z13" s="42">
        <f>'Kennzahlen Revision'!L310</f>
        <v>2.9625583897589965E-2</v>
      </c>
      <c r="AA13" s="42">
        <f>Funktional!AE312</f>
        <v>0.26907865672734127</v>
      </c>
      <c r="AB13" s="42">
        <f>Funktional!AJ312</f>
        <v>0.18746932298428198</v>
      </c>
      <c r="AC13" s="42">
        <f>Funktional!AS312</f>
        <v>0.14363152811689103</v>
      </c>
      <c r="AD13" s="42">
        <f>Funktional!AO312</f>
        <v>1.1291487628980646E-2</v>
      </c>
      <c r="AE13" s="202">
        <f>Funktional!AV312</f>
        <v>0.81876561893768329</v>
      </c>
      <c r="AF13" s="172">
        <f>'Kennzahlen Revision'!C310</f>
        <v>0</v>
      </c>
      <c r="AG13" s="42">
        <f>'Kennzahlen Revision'!D310</f>
        <v>0</v>
      </c>
      <c r="AH13" s="42">
        <f>Artengliederung!AN310</f>
        <v>0.68715727962925022</v>
      </c>
      <c r="AI13" s="173"/>
    </row>
    <row r="14" spans="1:35" hidden="1" x14ac:dyDescent="0.25">
      <c r="A14" s="45"/>
      <c r="B14" s="45"/>
      <c r="C14" s="350">
        <f>Funktional!D313</f>
        <v>42</v>
      </c>
      <c r="D14" s="80"/>
      <c r="E14" s="85"/>
      <c r="F14" s="80"/>
      <c r="G14" s="43"/>
      <c r="H14" s="43"/>
      <c r="I14" s="85"/>
      <c r="J14" s="80"/>
      <c r="K14" s="43"/>
      <c r="L14" s="43"/>
      <c r="M14" s="43"/>
      <c r="N14" s="80"/>
      <c r="O14" s="43"/>
      <c r="P14" s="43"/>
      <c r="Q14" s="43"/>
      <c r="R14" s="80"/>
      <c r="S14" s="43"/>
      <c r="T14" s="80"/>
      <c r="U14" s="43"/>
      <c r="V14" s="183">
        <f>MAX(V287,V293)</f>
        <v>4689.3783964644399</v>
      </c>
      <c r="W14" s="183">
        <f>MAX(W288,W294)</f>
        <v>34763.983295460188</v>
      </c>
      <c r="X14" s="172">
        <f>Funktional!S313</f>
        <v>0.77833682185055864</v>
      </c>
      <c r="Y14" s="42">
        <f>Funktional!X313</f>
        <v>6.7106797203334706E-2</v>
      </c>
      <c r="Z14" s="42">
        <f>'Kennzahlen Revision'!L311</f>
        <v>2.2210350261189751E-2</v>
      </c>
      <c r="AA14" s="42">
        <f>Funktional!AE313</f>
        <v>0.19826501337030616</v>
      </c>
      <c r="AB14" s="42">
        <f>Funktional!AJ313</f>
        <v>0.18537337383549346</v>
      </c>
      <c r="AC14" s="42">
        <f>Funktional!AS313</f>
        <v>0.15976935660476102</v>
      </c>
      <c r="AD14" s="42">
        <f>Funktional!AO313</f>
        <v>1.2133239325890664E-2</v>
      </c>
      <c r="AE14" s="202">
        <f>Funktional!AV313</f>
        <v>0.17871661678635303</v>
      </c>
      <c r="AF14" s="172">
        <f>'Kennzahlen Revision'!C311</f>
        <v>0</v>
      </c>
      <c r="AG14" s="42">
        <f>'Kennzahlen Revision'!D311</f>
        <v>0</v>
      </c>
      <c r="AH14" s="42">
        <f>Artengliederung!AN311</f>
        <v>0.54276542526099558</v>
      </c>
      <c r="AI14" s="173"/>
    </row>
    <row r="15" spans="1:35" x14ac:dyDescent="0.25">
      <c r="A15" s="45" t="s">
        <v>35</v>
      </c>
      <c r="B15" s="45"/>
      <c r="C15" s="350">
        <f>Funktional!D314</f>
        <v>476</v>
      </c>
      <c r="D15" s="80">
        <f>Funktional!G314</f>
        <v>59023.859505874927</v>
      </c>
      <c r="E15" s="85">
        <f>Funktional!F314</f>
        <v>914869.82234106131</v>
      </c>
      <c r="F15" s="80">
        <f>Funktional!U314</f>
        <v>9845.3734169938525</v>
      </c>
      <c r="G15" s="43">
        <f>Funktional!T314</f>
        <v>201907.35503164498</v>
      </c>
      <c r="H15" s="43">
        <f>Artengliederung!R312</f>
        <v>760.62257076833043</v>
      </c>
      <c r="I15" s="85">
        <f>Artengliederung!Q312</f>
        <v>12693.345631009699</v>
      </c>
      <c r="J15" s="80">
        <f>Funktional!Z314</f>
        <v>1045.7149798884443</v>
      </c>
      <c r="K15" s="43">
        <f>Funktional!Y314</f>
        <v>14572.812202850211</v>
      </c>
      <c r="L15" s="43">
        <f>'Kennzahlen Revision'!O312</f>
        <v>359.97065234166251</v>
      </c>
      <c r="M15" s="43">
        <f>'Kennzahlen Revision'!N312</f>
        <v>7113.2040050125779</v>
      </c>
      <c r="N15" s="80">
        <f>Funktional!AG314</f>
        <v>4102.0582694409104</v>
      </c>
      <c r="O15" s="43">
        <f>Funktional!AF314</f>
        <v>53326.757502731831</v>
      </c>
      <c r="P15" s="43">
        <f>Funktional!AL314</f>
        <v>2112.2722007606008</v>
      </c>
      <c r="Q15" s="43">
        <f>Funktional!AK314</f>
        <v>46187.06144017577</v>
      </c>
      <c r="R15" s="80">
        <f>Funktional!AU314</f>
        <v>1797.2830899668634</v>
      </c>
      <c r="S15" s="43">
        <f>Funktional!AT314</f>
        <v>34232.618787640342</v>
      </c>
      <c r="T15" s="80">
        <f>Funktional!AQ314</f>
        <v>160.65968970673168</v>
      </c>
      <c r="U15" s="43">
        <f>Funktional!AP314</f>
        <v>2360.1595466040221</v>
      </c>
      <c r="V15" s="80">
        <f t="shared" ref="V15:W15" si="3">MAX(V13:V14)</f>
        <v>4689.3783964644399</v>
      </c>
      <c r="W15" s="183">
        <f t="shared" si="3"/>
        <v>40490.946806249143</v>
      </c>
      <c r="X15" s="172">
        <f>Funktional!S314</f>
        <v>0.78643793889122904</v>
      </c>
      <c r="Y15" s="42">
        <f>Funktional!X314</f>
        <v>7.4343766720547502E-2</v>
      </c>
      <c r="Z15" s="42">
        <f>'Kennzahlen Revision'!L312</f>
        <v>2.9625583897589965E-2</v>
      </c>
      <c r="AA15" s="42">
        <f>Funktional!AE314</f>
        <v>0.26907865672734127</v>
      </c>
      <c r="AB15" s="42">
        <f>Funktional!AJ314</f>
        <v>0.18746932298428198</v>
      </c>
      <c r="AC15" s="42">
        <f>Funktional!AS314</f>
        <v>0.15976935660476102</v>
      </c>
      <c r="AD15" s="42">
        <f>Funktional!AO314</f>
        <v>1.2133239325890664E-2</v>
      </c>
      <c r="AE15" s="202">
        <f>Funktional!AV314</f>
        <v>0.81876561893768329</v>
      </c>
      <c r="AF15" s="172"/>
      <c r="AG15" s="42"/>
      <c r="AH15" s="42">
        <f>Artengliederung!AN312</f>
        <v>0.68715727962925022</v>
      </c>
      <c r="AI15" s="173" t="str">
        <f>A15</f>
        <v>KiGa</v>
      </c>
    </row>
    <row r="16" spans="1:35" x14ac:dyDescent="0.25">
      <c r="A16" s="45" t="s">
        <v>36</v>
      </c>
      <c r="B16" s="45"/>
      <c r="C16" s="350">
        <f>Funktional!D315</f>
        <v>1775</v>
      </c>
      <c r="D16" s="80">
        <f>Funktional!G315</f>
        <v>26239.185145667565</v>
      </c>
      <c r="E16" s="85">
        <f>Funktional!F315</f>
        <v>708457.99893302424</v>
      </c>
      <c r="F16" s="80">
        <f>Funktional!U315</f>
        <v>18800.93859927771</v>
      </c>
      <c r="G16" s="43">
        <f>Funktional!T315</f>
        <v>507625.34218049818</v>
      </c>
      <c r="H16" s="43">
        <f>Artengliederung!R313</f>
        <v>413.50745664739878</v>
      </c>
      <c r="I16" s="85">
        <f>Artengliederung!Q313</f>
        <v>9132.1588922306255</v>
      </c>
      <c r="J16" s="80">
        <f>Funktional!Z315</f>
        <v>1448.1489360564126</v>
      </c>
      <c r="K16" s="43">
        <f>Funktional!Y315</f>
        <v>39100.02127352314</v>
      </c>
      <c r="L16" s="43">
        <f>'Kennzahlen Revision'!O313</f>
        <v>323.30330330330332</v>
      </c>
      <c r="M16" s="43">
        <f>'Kennzahlen Revision'!N313</f>
        <v>8630.3727152902502</v>
      </c>
      <c r="N16" s="80">
        <f>Funktional!AG315</f>
        <v>2178.702876020076</v>
      </c>
      <c r="O16" s="43">
        <f>Funktional!AF315</f>
        <v>41831.095219585455</v>
      </c>
      <c r="P16" s="43">
        <f>Funktional!AL315</f>
        <v>2511.5218817982691</v>
      </c>
      <c r="Q16" s="43">
        <f>Funktional!AK315</f>
        <v>39179.741356052997</v>
      </c>
      <c r="R16" s="80">
        <f>Funktional!AU315</f>
        <v>1528.5774209957231</v>
      </c>
      <c r="S16" s="43">
        <f>Funktional!AT315</f>
        <v>29459.855750099392</v>
      </c>
      <c r="T16" s="80">
        <f>Funktional!AQ315</f>
        <v>318.36631308873984</v>
      </c>
      <c r="U16" s="43">
        <f>Funktional!AP315</f>
        <v>8595.8904533959758</v>
      </c>
      <c r="V16" s="80">
        <f>MAX(V27:V280)</f>
        <v>60855.223636901217</v>
      </c>
      <c r="W16" s="183">
        <f>MAX(W275:W280)</f>
        <v>16419.694827586231</v>
      </c>
      <c r="X16" s="172">
        <f>Funktional!S315</f>
        <v>0.78648178170835481</v>
      </c>
      <c r="Y16" s="42">
        <f>Funktional!X315</f>
        <v>6.710679720333472E-2</v>
      </c>
      <c r="Z16" s="42">
        <f>'Kennzahlen Revision'!L313</f>
        <v>3.024855216166588E-2</v>
      </c>
      <c r="AA16" s="42">
        <f>Funktional!AE315</f>
        <v>0.19826501337030616</v>
      </c>
      <c r="AB16" s="42">
        <f>Funktional!AJ315</f>
        <v>0.18537337383549346</v>
      </c>
      <c r="AC16" s="42">
        <f>Funktional!AS315</f>
        <v>0.15976935660476105</v>
      </c>
      <c r="AD16" s="42">
        <f>Funktional!AO315</f>
        <v>1.2133239325890664E-2</v>
      </c>
      <c r="AE16" s="202">
        <f>Funktional!AV315</f>
        <v>0.17871661678635314</v>
      </c>
      <c r="AF16" s="172">
        <f>'Kennzahlen Revision'!C313</f>
        <v>0.27100000000000002</v>
      </c>
      <c r="AG16" s="42">
        <f>'Kennzahlen Revision'!D313</f>
        <v>0.12909999999999999</v>
      </c>
      <c r="AH16" s="42">
        <f>Artengliederung!AN313</f>
        <v>0.54276542526099558</v>
      </c>
      <c r="AI16" s="173" t="str">
        <f>A16</f>
        <v>VSG</v>
      </c>
    </row>
    <row r="17" spans="1:35" x14ac:dyDescent="0.25">
      <c r="A17" s="45" t="s">
        <v>37</v>
      </c>
      <c r="B17" s="45"/>
      <c r="C17" s="350">
        <f>Funktional!D316</f>
        <v>1180</v>
      </c>
      <c r="D17" s="80">
        <f>Funktional!G316</f>
        <v>27614.636427546629</v>
      </c>
      <c r="E17" s="85">
        <f>Funktional!F316</f>
        <v>441359.76428571431</v>
      </c>
      <c r="F17" s="80">
        <f>Funktional!U316</f>
        <v>14424.684433962264</v>
      </c>
      <c r="G17" s="43">
        <f>Funktional!T316</f>
        <v>254836.09166666667</v>
      </c>
      <c r="H17" s="43">
        <f>Artengliederung!R314</f>
        <v>1000.4186991869918</v>
      </c>
      <c r="I17" s="85">
        <f>Artengliederung!Q314</f>
        <v>20653.778571428575</v>
      </c>
      <c r="J17" s="80">
        <f>Funktional!Z316</f>
        <v>1010.9734513274336</v>
      </c>
      <c r="K17" s="43">
        <f>Funktional!Y316</f>
        <v>18945.141666666666</v>
      </c>
      <c r="L17" s="43">
        <f>'Kennzahlen Revision'!O314</f>
        <v>405.79710144927537</v>
      </c>
      <c r="M17" s="43">
        <f>'Kennzahlen Revision'!N314</f>
        <v>7000</v>
      </c>
      <c r="N17" s="80">
        <f>Funktional!AG316</f>
        <v>8662.9363701578204</v>
      </c>
      <c r="O17" s="43">
        <f>Funktional!AF316</f>
        <v>137228.78750000001</v>
      </c>
      <c r="P17" s="43">
        <f>Funktional!AL316</f>
        <v>3497.7361963190183</v>
      </c>
      <c r="Q17" s="43">
        <f>Funktional!AK316</f>
        <v>81447.28571428571</v>
      </c>
      <c r="R17" s="80">
        <f>Funktional!AU316</f>
        <v>3133.9928104575165</v>
      </c>
      <c r="S17" s="43">
        <f>Funktional!AT316</f>
        <v>68500.128571428577</v>
      </c>
      <c r="T17" s="80">
        <f>Funktional!AQ316</f>
        <v>89.309756097560978</v>
      </c>
      <c r="U17" s="43">
        <f>Funktional!AP316</f>
        <v>1569.3</v>
      </c>
      <c r="V17" s="80">
        <f t="shared" ref="V17:W17" si="4">MAX(V296:V325)</f>
        <v>3710.9914634146339</v>
      </c>
      <c r="W17" s="183">
        <f t="shared" si="4"/>
        <v>68752.494999999981</v>
      </c>
      <c r="X17" s="172">
        <f>Funktional!S316</f>
        <v>0.91728921473934033</v>
      </c>
      <c r="Y17" s="42">
        <f>Funktional!X316</f>
        <v>7.3486258812569732E-2</v>
      </c>
      <c r="Z17" s="42">
        <f>'Kennzahlen Revision'!L314</f>
        <v>2.3647815782163753E-2</v>
      </c>
      <c r="AA17" s="42">
        <f>Funktional!AE316</f>
        <v>0.31370814505876377</v>
      </c>
      <c r="AB17" s="42">
        <f>Funktional!AJ316</f>
        <v>0.2068073685583198</v>
      </c>
      <c r="AC17" s="42">
        <f>Funktional!AS316</f>
        <v>0.15520247678736074</v>
      </c>
      <c r="AD17" s="42">
        <f>Funktional!AO316</f>
        <v>5.648529336374033E-3</v>
      </c>
      <c r="AE17" s="202">
        <f>Funktional!AV316</f>
        <v>0.16966653567240247</v>
      </c>
      <c r="AF17" s="172">
        <f>'Kennzahlen Revision'!C314</f>
        <v>0.2707</v>
      </c>
      <c r="AG17" s="42">
        <f>'Kennzahlen Revision'!D314</f>
        <v>0.16700000000000001</v>
      </c>
      <c r="AH17" s="42">
        <f>Artengliederung!AN314</f>
        <v>0.35511927649548852</v>
      </c>
      <c r="AI17" s="173" t="str">
        <f>A17</f>
        <v>OSG</v>
      </c>
    </row>
    <row r="18" spans="1:35" x14ac:dyDescent="0.25">
      <c r="A18" s="110"/>
      <c r="B18" s="110"/>
      <c r="C18" s="351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97"/>
      <c r="X18" s="170"/>
      <c r="Y18" s="188"/>
      <c r="Z18" s="188"/>
      <c r="AA18" s="188"/>
      <c r="AB18" s="188"/>
      <c r="AC18" s="188"/>
      <c r="AD18" s="188"/>
      <c r="AE18" s="198"/>
      <c r="AF18" s="188"/>
      <c r="AG18" s="188"/>
      <c r="AH18" s="188"/>
      <c r="AI18" s="189"/>
    </row>
    <row r="19" spans="1:35" x14ac:dyDescent="0.25">
      <c r="A19" s="190" t="s">
        <v>38</v>
      </c>
      <c r="B19" s="190"/>
      <c r="C19" s="351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97"/>
      <c r="X19" s="170"/>
      <c r="Y19" s="188"/>
      <c r="Z19" s="188"/>
      <c r="AA19" s="188"/>
      <c r="AB19" s="188"/>
      <c r="AC19" s="188"/>
      <c r="AD19" s="188"/>
      <c r="AE19" s="198"/>
      <c r="AF19" s="188"/>
      <c r="AG19" s="188"/>
      <c r="AH19" s="188"/>
      <c r="AI19" s="191" t="str">
        <f>A19</f>
        <v>Minimalwerte</v>
      </c>
    </row>
    <row r="20" spans="1:35" x14ac:dyDescent="0.25">
      <c r="A20" s="45" t="s">
        <v>34</v>
      </c>
      <c r="B20" s="45"/>
      <c r="C20" s="350">
        <f>Funktional!D321</f>
        <v>17</v>
      </c>
      <c r="D20" s="80">
        <f>Funktional!G321</f>
        <v>7815.6957142857136</v>
      </c>
      <c r="E20" s="85">
        <f>Funktional!F321</f>
        <v>146236.84270559862</v>
      </c>
      <c r="F20" s="80">
        <f>Funktional!U321</f>
        <v>4888.6735137435217</v>
      </c>
      <c r="G20" s="43">
        <f>Funktional!T321</f>
        <v>94218.071355784239</v>
      </c>
      <c r="H20" s="43">
        <f>Artengliederung!R317</f>
        <v>116.7235294117647</v>
      </c>
      <c r="I20" s="85">
        <f>Artengliederung!Q317</f>
        <v>2228.8095822530436</v>
      </c>
      <c r="J20" s="80">
        <f>Funktional!Z321</f>
        <v>23.820137853938096</v>
      </c>
      <c r="K20" s="43">
        <f>Funktional!Y321</f>
        <v>446.62758476133934</v>
      </c>
      <c r="L20" s="43">
        <f>'Kennzahlen Revision'!O317</f>
        <v>0</v>
      </c>
      <c r="M20" s="43">
        <f>'Kennzahlen Revision'!N317</f>
        <v>0</v>
      </c>
      <c r="N20" s="80">
        <f>Funktional!AG321</f>
        <v>0</v>
      </c>
      <c r="O20" s="43">
        <f>Funktional!AF321</f>
        <v>0</v>
      </c>
      <c r="P20" s="43">
        <f>Funktional!AL321</f>
        <v>-437.85939856968554</v>
      </c>
      <c r="Q20" s="43">
        <f>Funktional!AK321</f>
        <v>-8757.1879713937105</v>
      </c>
      <c r="R20" s="80">
        <f>Funktional!AU321</f>
        <v>0</v>
      </c>
      <c r="S20" s="43">
        <f>Funktional!AT321</f>
        <v>0</v>
      </c>
      <c r="T20" s="80">
        <f>Funktional!AQ321</f>
        <v>-35.438972538212973</v>
      </c>
      <c r="U20" s="43">
        <f>Funktional!AP321</f>
        <v>-703.93685824350985</v>
      </c>
      <c r="V20" s="80">
        <f t="shared" ref="V20:W20" si="5">MIN(V27:V149)</f>
        <v>132.11041666666637</v>
      </c>
      <c r="W20" s="183">
        <f t="shared" si="5"/>
        <v>3170.6499999999819</v>
      </c>
      <c r="X20" s="172">
        <f>Funktional!S321</f>
        <v>9.3787153759295736E-2</v>
      </c>
      <c r="Y20" s="42">
        <f>Funktional!X321</f>
        <v>2.9282940703047097E-3</v>
      </c>
      <c r="Z20" s="42">
        <f>'Kennzahlen Revision'!L317</f>
        <v>0</v>
      </c>
      <c r="AA20" s="42">
        <f>Funktional!AE321</f>
        <v>0</v>
      </c>
      <c r="AB20" s="42">
        <f>Funktional!AJ321</f>
        <v>-3.625754406724882E-2</v>
      </c>
      <c r="AC20" s="42">
        <f>Funktional!AS321</f>
        <v>0</v>
      </c>
      <c r="AD20" s="42">
        <f>Funktional!AO321</f>
        <v>-3.3411762933303175E-3</v>
      </c>
      <c r="AE20" s="202">
        <f>Funktional!AV321</f>
        <v>1.3280778202961696E-2</v>
      </c>
      <c r="AF20" s="42">
        <f>'Kennzahlen Revision'!C317</f>
        <v>-9.35E-2</v>
      </c>
      <c r="AG20" s="42">
        <f>'Kennzahlen Revision'!D317</f>
        <v>-0.1709</v>
      </c>
      <c r="AH20" s="42">
        <f>Artengliederung!AN317</f>
        <v>0</v>
      </c>
      <c r="AI20" s="173" t="str">
        <f>A20</f>
        <v>PSG</v>
      </c>
    </row>
    <row r="21" spans="1:35" hidden="1" x14ac:dyDescent="0.25">
      <c r="A21" s="45"/>
      <c r="B21" s="45"/>
      <c r="C21" s="350">
        <f>Funktional!D322</f>
        <v>11</v>
      </c>
      <c r="D21" s="80"/>
      <c r="E21" s="85"/>
      <c r="F21" s="80"/>
      <c r="G21" s="43"/>
      <c r="H21" s="43"/>
      <c r="I21" s="85"/>
      <c r="J21" s="80"/>
      <c r="K21" s="43"/>
      <c r="L21" s="43"/>
      <c r="M21" s="43"/>
      <c r="N21" s="80"/>
      <c r="O21" s="43"/>
      <c r="P21" s="43"/>
      <c r="Q21" s="43"/>
      <c r="R21" s="80"/>
      <c r="S21" s="43"/>
      <c r="T21" s="80"/>
      <c r="U21" s="43"/>
      <c r="V21" s="183">
        <f t="shared" ref="V21:W21" si="6">MIN(V151,V271)</f>
        <v>0</v>
      </c>
      <c r="W21" s="183">
        <f t="shared" si="6"/>
        <v>0</v>
      </c>
      <c r="X21" s="172">
        <f>Funktional!S322</f>
        <v>9.3787153759295736E-2</v>
      </c>
      <c r="Y21" s="42">
        <f>Funktional!X322</f>
        <v>2.9282940703047101E-3</v>
      </c>
      <c r="Z21" s="42">
        <f>'Kennzahlen Revision'!L318</f>
        <v>0</v>
      </c>
      <c r="AA21" s="42">
        <f>Funktional!AE322</f>
        <v>0</v>
      </c>
      <c r="AB21" s="42">
        <f>Funktional!AJ322</f>
        <v>-3.625754406724882E-2</v>
      </c>
      <c r="AC21" s="42">
        <f>Funktional!AS322</f>
        <v>0</v>
      </c>
      <c r="AD21" s="42">
        <f>Funktional!AO322</f>
        <v>-3.3411762933303175E-3</v>
      </c>
      <c r="AE21" s="202">
        <f>Funktional!AV322</f>
        <v>1.5873248277397861E-2</v>
      </c>
      <c r="AF21" s="172">
        <f>'Kennzahlen Revision'!C318</f>
        <v>-9.35E-2</v>
      </c>
      <c r="AG21" s="42">
        <f>'Kennzahlen Revision'!D318</f>
        <v>-0.1709</v>
      </c>
      <c r="AH21" s="42">
        <f>Artengliederung!AN318</f>
        <v>0</v>
      </c>
      <c r="AI21" s="173"/>
    </row>
    <row r="22" spans="1:35" hidden="1" x14ac:dyDescent="0.25">
      <c r="A22" s="45"/>
      <c r="B22" s="45"/>
      <c r="C22" s="350">
        <f>Funktional!D323</f>
        <v>12</v>
      </c>
      <c r="D22" s="80"/>
      <c r="E22" s="85"/>
      <c r="F22" s="80"/>
      <c r="G22" s="43"/>
      <c r="H22" s="43"/>
      <c r="I22" s="85"/>
      <c r="J22" s="80"/>
      <c r="K22" s="43"/>
      <c r="L22" s="43"/>
      <c r="M22" s="43"/>
      <c r="N22" s="80"/>
      <c r="O22" s="43"/>
      <c r="P22" s="43"/>
      <c r="Q22" s="43"/>
      <c r="R22" s="80"/>
      <c r="S22" s="43"/>
      <c r="T22" s="80"/>
      <c r="U22" s="43"/>
      <c r="V22" s="183">
        <f t="shared" ref="V22:W22" si="7">MIN(V288,V294)</f>
        <v>399.9527135737805</v>
      </c>
      <c r="W22" s="183">
        <f t="shared" si="7"/>
        <v>11998.581407213405</v>
      </c>
      <c r="X22" s="172">
        <f>Funktional!S323</f>
        <v>0.5109719738191294</v>
      </c>
      <c r="Y22" s="42">
        <f>Funktional!X323</f>
        <v>3.8798194974039822E-2</v>
      </c>
      <c r="Z22" s="42">
        <f>'Kennzahlen Revision'!L319</f>
        <v>8.6446814852698967E-3</v>
      </c>
      <c r="AA22" s="42">
        <f>Funktional!AE323</f>
        <v>0</v>
      </c>
      <c r="AB22" s="42">
        <f>Funktional!AJ323</f>
        <v>3.7438392058545385E-2</v>
      </c>
      <c r="AC22" s="42">
        <f>Funktional!AS323</f>
        <v>0</v>
      </c>
      <c r="AD22" s="42">
        <f>Funktional!AO323</f>
        <v>3.5271714493716891E-3</v>
      </c>
      <c r="AE22" s="202">
        <f>Funktional!AV323</f>
        <v>1.7183918627856447E-2</v>
      </c>
      <c r="AF22" s="172">
        <f>'Kennzahlen Revision'!C319</f>
        <v>0</v>
      </c>
      <c r="AG22" s="42">
        <f>'Kennzahlen Revision'!D319</f>
        <v>0</v>
      </c>
      <c r="AH22" s="42">
        <f>Artengliederung!AN319</f>
        <v>0</v>
      </c>
      <c r="AI22" s="173"/>
    </row>
    <row r="23" spans="1:35" x14ac:dyDescent="0.25">
      <c r="A23" s="45" t="s">
        <v>35</v>
      </c>
      <c r="B23" s="45"/>
      <c r="C23" s="350">
        <f>Funktional!D324</f>
        <v>11</v>
      </c>
      <c r="D23" s="80">
        <f>Funktional!G324</f>
        <v>4056.3619518825399</v>
      </c>
      <c r="E23" s="85">
        <f>Funktional!F324</f>
        <v>90126.264663319467</v>
      </c>
      <c r="F23" s="80">
        <f>Funktional!U324</f>
        <v>2942.0607141669411</v>
      </c>
      <c r="G23" s="43">
        <f>Funktional!T324</f>
        <v>51218.603771593356</v>
      </c>
      <c r="H23" s="43">
        <f>Artengliederung!R320</f>
        <v>0</v>
      </c>
      <c r="I23" s="85">
        <f>Artengliederung!Q320</f>
        <v>0</v>
      </c>
      <c r="J23" s="80">
        <f>Funktional!Z324</f>
        <v>19.299507664506805</v>
      </c>
      <c r="K23" s="43">
        <f>Funktional!Y324</f>
        <v>405.2896609546429</v>
      </c>
      <c r="L23" s="43">
        <f>'Kennzahlen Revision'!O320</f>
        <v>0</v>
      </c>
      <c r="M23" s="43">
        <f>'Kennzahlen Revision'!N320</f>
        <v>0</v>
      </c>
      <c r="N23" s="80">
        <f>Funktional!AG324</f>
        <v>0</v>
      </c>
      <c r="O23" s="43">
        <f>Funktional!AF324</f>
        <v>0</v>
      </c>
      <c r="P23" s="43">
        <f>Funktional!AL324</f>
        <v>-206.05075178789312</v>
      </c>
      <c r="Q23" s="43">
        <f>Funktional!AK324</f>
        <v>-6593.6240572125798</v>
      </c>
      <c r="R23" s="80">
        <f>Funktional!AU323</f>
        <v>0</v>
      </c>
      <c r="S23" s="43">
        <f>Funktional!AT323</f>
        <v>0</v>
      </c>
      <c r="T23" s="80">
        <f>Funktional!AQ324</f>
        <v>-23.602275023944248</v>
      </c>
      <c r="U23" s="43">
        <f>Funktional!AP324</f>
        <v>-510.66740506352102</v>
      </c>
      <c r="V23" s="80">
        <f>'Hilfe Min. übriger Aufwand Kiga'!B8</f>
        <v>101</v>
      </c>
      <c r="W23" s="183">
        <f>'Hilfe Min. übriger Aufwand Kiga'!C8</f>
        <v>2020</v>
      </c>
      <c r="X23" s="172">
        <f>Funktional!S324</f>
        <v>9.3787153759295736E-2</v>
      </c>
      <c r="Y23" s="42">
        <f>Funktional!X324</f>
        <v>2.9282940703047101E-3</v>
      </c>
      <c r="Z23" s="42">
        <f>'Kennzahlen Revision'!L320</f>
        <v>0</v>
      </c>
      <c r="AA23" s="42">
        <f>Funktional!AE324</f>
        <v>0</v>
      </c>
      <c r="AB23" s="42">
        <f>Funktional!AJ324</f>
        <v>-3.625754406724882E-2</v>
      </c>
      <c r="AC23" s="42">
        <f>Funktional!AS324</f>
        <v>0</v>
      </c>
      <c r="AD23" s="42">
        <f>Funktional!AO324</f>
        <v>-3.3411762933303175E-3</v>
      </c>
      <c r="AE23" s="202">
        <f>Funktional!AV324</f>
        <v>1.5873248277397861E-2</v>
      </c>
      <c r="AF23" s="172"/>
      <c r="AG23" s="42"/>
      <c r="AH23" s="42">
        <f>Artengliederung!AN320</f>
        <v>0</v>
      </c>
      <c r="AI23" s="173" t="str">
        <f t="shared" ref="AI23:AI54" si="8">A23</f>
        <v>KiGa</v>
      </c>
    </row>
    <row r="24" spans="1:35" x14ac:dyDescent="0.25">
      <c r="A24" s="45" t="s">
        <v>36</v>
      </c>
      <c r="B24" s="45"/>
      <c r="C24" s="350">
        <f>Funktional!D325</f>
        <v>27</v>
      </c>
      <c r="D24" s="80">
        <f>Funktional!G325</f>
        <v>9567.4004920551342</v>
      </c>
      <c r="E24" s="85">
        <f>Funktional!F325</f>
        <v>182130.86648648648</v>
      </c>
      <c r="F24" s="80">
        <f>Funktional!U325</f>
        <v>4888.6735137435217</v>
      </c>
      <c r="G24" s="43">
        <f>Funktional!T325</f>
        <v>94218.071355784239</v>
      </c>
      <c r="H24" s="43">
        <f>Artengliederung!R321</f>
        <v>309.34977477477474</v>
      </c>
      <c r="I24" s="85">
        <f>Artengliederung!Q321</f>
        <v>5971.7956521739125</v>
      </c>
      <c r="J24" s="80">
        <f>Funktional!Z325</f>
        <v>276.72933526011565</v>
      </c>
      <c r="K24" s="43">
        <f>Funktional!Y325</f>
        <v>5175.586486486487</v>
      </c>
      <c r="L24" s="43">
        <f>'Kennzahlen Revision'!O321</f>
        <v>82.707129895831116</v>
      </c>
      <c r="M24" s="43">
        <f>'Kennzahlen Revision'!N321</f>
        <v>1593.9919579923815</v>
      </c>
      <c r="N24" s="80">
        <f>Funktional!AG325</f>
        <v>0</v>
      </c>
      <c r="O24" s="43">
        <f>Funktional!AF325</f>
        <v>0</v>
      </c>
      <c r="P24" s="43">
        <f>Funktional!AL325</f>
        <v>636.28921126760565</v>
      </c>
      <c r="Q24" s="43">
        <f>Funktional!AK325</f>
        <v>12981.762643678161</v>
      </c>
      <c r="R24" s="80">
        <f>Funktional!AU324</f>
        <v>0</v>
      </c>
      <c r="S24" s="43">
        <f>Funktional!AT324</f>
        <v>0</v>
      </c>
      <c r="T24" s="80">
        <f>Funktional!AQ325</f>
        <v>10.896846846846847</v>
      </c>
      <c r="U24" s="43">
        <f>Funktional!AP325</f>
        <v>210.35652173913041</v>
      </c>
      <c r="V24" s="80">
        <f t="shared" ref="V24:W24" si="9">MIN(V275:V280)</f>
        <v>198.70243083003777</v>
      </c>
      <c r="W24" s="183">
        <f t="shared" si="9"/>
        <v>4021.7371999999641</v>
      </c>
      <c r="X24" s="172">
        <f>Funktional!S325</f>
        <v>0.5109719738191294</v>
      </c>
      <c r="Y24" s="42">
        <f>Funktional!X325</f>
        <v>2.8416855343245725E-2</v>
      </c>
      <c r="Z24" s="42">
        <f>'Kennzahlen Revision'!L321</f>
        <v>8.644681485269895E-3</v>
      </c>
      <c r="AA24" s="42">
        <f>Funktional!AE325</f>
        <v>0</v>
      </c>
      <c r="AB24" s="42">
        <f>Funktional!AJ325</f>
        <v>3.7438392058545385E-2</v>
      </c>
      <c r="AC24" s="42">
        <f>Funktional!AS325</f>
        <v>0</v>
      </c>
      <c r="AD24" s="42">
        <f>Funktional!AO325</f>
        <v>8.8783024066288192E-4</v>
      </c>
      <c r="AE24" s="202">
        <f>Funktional!AV325</f>
        <v>1.718391862785644E-2</v>
      </c>
      <c r="AF24" s="172">
        <f>'Kennzahlen Revision'!C321</f>
        <v>0</v>
      </c>
      <c r="AG24" s="42">
        <f>'Kennzahlen Revision'!D321</f>
        <v>0</v>
      </c>
      <c r="AH24" s="42">
        <f>Artengliederung!AN321</f>
        <v>2.3510270453316974E-2</v>
      </c>
      <c r="AI24" s="173" t="str">
        <f t="shared" si="8"/>
        <v>VSG</v>
      </c>
    </row>
    <row r="25" spans="1:35" x14ac:dyDescent="0.25">
      <c r="A25" s="45" t="s">
        <v>37</v>
      </c>
      <c r="B25" s="45"/>
      <c r="C25" s="350">
        <f>Funktional!D326</f>
        <v>106</v>
      </c>
      <c r="D25" s="80">
        <f>Funktional!G326</f>
        <v>12672.257103825135</v>
      </c>
      <c r="E25" s="85">
        <f>Funktional!F326</f>
        <v>222082.33571428573</v>
      </c>
      <c r="F25" s="80">
        <f>Funktional!U326</f>
        <v>8933.5084362139914</v>
      </c>
      <c r="G25" s="43">
        <f>Funktional!T326</f>
        <v>151616.38571428572</v>
      </c>
      <c r="H25" s="43">
        <f>Artengliederung!R322</f>
        <v>253.1010054844607</v>
      </c>
      <c r="I25" s="85">
        <f>Artengliederung!Q322</f>
        <v>5537.85</v>
      </c>
      <c r="J25" s="80">
        <f>Funktional!Z326</f>
        <v>500.19863945578231</v>
      </c>
      <c r="K25" s="43">
        <f>Funktional!Y326</f>
        <v>8904.7333333333336</v>
      </c>
      <c r="L25" s="43">
        <f>'Kennzahlen Revision'!O322</f>
        <v>149.53271028037383</v>
      </c>
      <c r="M25" s="43">
        <f>'Kennzahlen Revision'!N322</f>
        <v>2405.5555555555557</v>
      </c>
      <c r="N25" s="80">
        <f>Funktional!AG326</f>
        <v>0</v>
      </c>
      <c r="O25" s="43">
        <f>Funktional!AF326</f>
        <v>0</v>
      </c>
      <c r="P25" s="43">
        <f>Funktional!AL326</f>
        <v>0</v>
      </c>
      <c r="Q25" s="43">
        <f>Funktional!AK326</f>
        <v>0</v>
      </c>
      <c r="R25" s="80">
        <f>Funktional!AU325</f>
        <v>0</v>
      </c>
      <c r="S25" s="43">
        <f>Funktional!AT325</f>
        <v>0</v>
      </c>
      <c r="T25" s="80">
        <f>Funktional!AQ326</f>
        <v>7.5783171521035593</v>
      </c>
      <c r="U25" s="43">
        <f>Funktional!AP326</f>
        <v>137.74705882352941</v>
      </c>
      <c r="V25" s="80">
        <f t="shared" ref="V25:W25" si="10">MIN(V296:V325)</f>
        <v>42.297267759560796</v>
      </c>
      <c r="W25" s="183">
        <f t="shared" si="10"/>
        <v>860.04444444442515</v>
      </c>
      <c r="X25" s="172">
        <f>Funktional!S326</f>
        <v>0.42901753264659759</v>
      </c>
      <c r="Y25" s="42">
        <f>Funktional!X326</f>
        <v>3.2298190854134927E-2</v>
      </c>
      <c r="Z25" s="42">
        <f>'Kennzahlen Revision'!L322</f>
        <v>8.7110767013522435E-3</v>
      </c>
      <c r="AA25" s="42">
        <f>Funktional!AE326</f>
        <v>0</v>
      </c>
      <c r="AB25" s="42">
        <f>Funktional!AJ326</f>
        <v>0</v>
      </c>
      <c r="AC25" s="42">
        <f>Funktional!AS326</f>
        <v>0</v>
      </c>
      <c r="AD25" s="42">
        <f>Funktional!AO326</f>
        <v>4.644455313306859E-4</v>
      </c>
      <c r="AE25" s="202">
        <f>Funktional!AV326</f>
        <v>3.3377848486670497E-3</v>
      </c>
      <c r="AF25" s="172">
        <f>'Kennzahlen Revision'!C322</f>
        <v>-1.5900000000000001E-2</v>
      </c>
      <c r="AG25" s="42">
        <f>'Kennzahlen Revision'!D322</f>
        <v>-5.3E-3</v>
      </c>
      <c r="AH25" s="42">
        <f>Artengliederung!AN322</f>
        <v>1.138054127374874E-2</v>
      </c>
      <c r="AI25" s="173" t="str">
        <f t="shared" si="8"/>
        <v>OSG</v>
      </c>
    </row>
    <row r="26" spans="1:35" ht="37.15" customHeight="1" x14ac:dyDescent="0.25">
      <c r="A26" s="193" t="s">
        <v>39</v>
      </c>
      <c r="B26" s="193"/>
      <c r="C26" s="351"/>
      <c r="D26" s="174"/>
      <c r="E26" s="174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99"/>
      <c r="X26" s="170"/>
      <c r="Y26" s="188"/>
      <c r="Z26" s="188"/>
      <c r="AA26" s="188"/>
      <c r="AB26" s="188"/>
      <c r="AC26" s="188"/>
      <c r="AD26" s="188"/>
      <c r="AE26" s="198"/>
      <c r="AF26" s="188"/>
      <c r="AG26" s="188"/>
      <c r="AH26" s="188"/>
      <c r="AI26" s="194" t="str">
        <f t="shared" si="8"/>
        <v>Primarschulen</v>
      </c>
    </row>
    <row r="27" spans="1:35" x14ac:dyDescent="0.25">
      <c r="A27" s="41" t="str">
        <f>Funktional!A8</f>
        <v>Aadorf</v>
      </c>
      <c r="B27" s="41" t="str">
        <f>Funktional!B8</f>
        <v>PSG</v>
      </c>
      <c r="C27" s="352">
        <f>Funktional!D8</f>
        <v>323</v>
      </c>
      <c r="D27" s="348">
        <f>Funktional!G8</f>
        <v>13089.691384123711</v>
      </c>
      <c r="E27" s="186">
        <f>Funktional!F8</f>
        <v>272772.27852077154</v>
      </c>
      <c r="F27" s="48">
        <f>Funktional!U8</f>
        <v>5852.3532633439154</v>
      </c>
      <c r="G27" s="48">
        <f>Funktional!T8</f>
        <v>121955.4905845216</v>
      </c>
      <c r="H27" s="48">
        <f>Artengliederung!R8</f>
        <v>313.17988929201579</v>
      </c>
      <c r="I27" s="186">
        <f>Artengliederung!Q8</f>
        <v>6526.2647897626512</v>
      </c>
      <c r="J27" s="48">
        <f>Funktional!Z8</f>
        <v>553.36226960367981</v>
      </c>
      <c r="K27" s="48">
        <f>Funktional!Y8</f>
        <v>11531.355682708941</v>
      </c>
      <c r="L27" s="48">
        <f>'Kennzahlen Revision'!O8</f>
        <v>234.56373589431104</v>
      </c>
      <c r="M27" s="48">
        <f>'Kennzahlen Revision'!N8</f>
        <v>4888.0055931524175</v>
      </c>
      <c r="N27" s="80">
        <f>Funktional!AG8</f>
        <v>1396.1934463952609</v>
      </c>
      <c r="O27" s="43">
        <f>Funktional!AF8</f>
        <v>29094.869882946405</v>
      </c>
      <c r="P27" s="43">
        <f>Funktional!AL8</f>
        <v>1421.3507057504044</v>
      </c>
      <c r="Q27" s="43">
        <f>Funktional!AK8</f>
        <v>29619.114706927783</v>
      </c>
      <c r="R27" s="80">
        <f>Funktional!AU8</f>
        <v>1574.3108197261836</v>
      </c>
      <c r="S27" s="43">
        <f>Funktional!AT8</f>
        <v>32806.606114294016</v>
      </c>
      <c r="T27" s="80">
        <f>Funktional!AQ8</f>
        <v>28.23088060069918</v>
      </c>
      <c r="U27" s="43">
        <f>Funktional!AP8</f>
        <v>588.29512477586036</v>
      </c>
      <c r="V27" s="80">
        <f t="shared" ref="V27:W46" si="11">D27-F27-J27-N27-P27-R27-T27</f>
        <v>2263.8899987035675</v>
      </c>
      <c r="W27" s="183">
        <f t="shared" si="11"/>
        <v>47176.546424596934</v>
      </c>
      <c r="X27" s="172">
        <f>Funktional!S8</f>
        <v>0.44709635174761619</v>
      </c>
      <c r="Y27" s="42">
        <f>Funktional!X8</f>
        <v>4.2274661286120507E-2</v>
      </c>
      <c r="Z27" s="42">
        <f>'Kennzahlen Revision'!L8</f>
        <v>1.7919730038770041E-2</v>
      </c>
      <c r="AA27" s="42">
        <f>Funktional!AE8</f>
        <v>0.10666358781297801</v>
      </c>
      <c r="AB27" s="42">
        <f>Funktional!AJ8</f>
        <v>0.1085855016776285</v>
      </c>
      <c r="AC27" s="42">
        <f>Funktional!AS8</f>
        <v>0.1202710418089491</v>
      </c>
      <c r="AD27" s="42">
        <f>Funktional!AO8</f>
        <v>2.1567262185371301E-3</v>
      </c>
      <c r="AE27" s="202">
        <f>Funktional!AV8</f>
        <v>0.17295212944817051</v>
      </c>
      <c r="AF27" s="172">
        <f>'Kennzahlen Revision'!C8</f>
        <v>0.218</v>
      </c>
      <c r="AG27" s="42">
        <f>'Kennzahlen Revision'!D8</f>
        <v>0.1026</v>
      </c>
      <c r="AH27" s="42">
        <f>Artengliederung!AN8</f>
        <v>0.28504499792276156</v>
      </c>
      <c r="AI27" s="178" t="str">
        <f t="shared" si="8"/>
        <v>Aadorf</v>
      </c>
    </row>
    <row r="28" spans="1:35" x14ac:dyDescent="0.25">
      <c r="A28" s="41" t="str">
        <f>Funktional!A9</f>
        <v>Affeltrangen</v>
      </c>
      <c r="B28" s="41" t="str">
        <f>Funktional!B9</f>
        <v>PSG</v>
      </c>
      <c r="C28" s="352">
        <f>Funktional!D9</f>
        <v>56</v>
      </c>
      <c r="D28" s="348">
        <f>Funktional!G9</f>
        <v>18738.141662025642</v>
      </c>
      <c r="E28" s="186">
        <f>Funktional!F9</f>
        <v>349778.64435781195</v>
      </c>
      <c r="F28" s="48">
        <f>Funktional!U9</f>
        <v>7329.3937229784979</v>
      </c>
      <c r="G28" s="48">
        <f>Funktional!T9</f>
        <v>136815.34949559861</v>
      </c>
      <c r="H28" s="48">
        <f>Artengliederung!R9</f>
        <v>382.36447996187945</v>
      </c>
      <c r="I28" s="186">
        <f>Artengliederung!Q9</f>
        <v>7137.4702926217496</v>
      </c>
      <c r="J28" s="48">
        <f>Funktional!Z9</f>
        <v>747.33131924132181</v>
      </c>
      <c r="K28" s="48">
        <f>Funktional!Y9</f>
        <v>13950.184625838008</v>
      </c>
      <c r="L28" s="48">
        <f>'Kennzahlen Revision'!O9</f>
        <v>370.3713570533468</v>
      </c>
      <c r="M28" s="48">
        <f>'Kennzahlen Revision'!N9</f>
        <v>6913.5986649958068</v>
      </c>
      <c r="N28" s="80">
        <f>Funktional!AG9</f>
        <v>1467.9757958889024</v>
      </c>
      <c r="O28" s="43">
        <f>Funktional!AF9</f>
        <v>27402.214856592847</v>
      </c>
      <c r="P28" s="43">
        <f>Funktional!AL9</f>
        <v>1764.1153134774017</v>
      </c>
      <c r="Q28" s="43">
        <f>Funktional!AK9</f>
        <v>32930.152518244831</v>
      </c>
      <c r="R28" s="80">
        <f>Funktional!AU9</f>
        <v>1649.0986120565735</v>
      </c>
      <c r="S28" s="43">
        <f>Funktional!AT9</f>
        <v>30783.174091722703</v>
      </c>
      <c r="T28" s="80">
        <f>Funktional!AQ9</f>
        <v>38.098226905623946</v>
      </c>
      <c r="U28" s="43">
        <f>Funktional!AP9</f>
        <v>711.16690223831358</v>
      </c>
      <c r="V28" s="80">
        <f t="shared" si="11"/>
        <v>5742.1286714773214</v>
      </c>
      <c r="W28" s="183">
        <f t="shared" si="11"/>
        <v>107186.40186757663</v>
      </c>
      <c r="X28" s="172">
        <f>Funktional!S9</f>
        <v>0.39114837827446391</v>
      </c>
      <c r="Y28" s="42">
        <f>Funktional!X9</f>
        <v>3.9882894084200954E-2</v>
      </c>
      <c r="Z28" s="42">
        <f>'Kennzahlen Revision'!L9</f>
        <v>1.9765639716767341E-2</v>
      </c>
      <c r="AA28" s="42">
        <f>Funktional!AE9</f>
        <v>7.834158916963864E-2</v>
      </c>
      <c r="AB28" s="42">
        <f>Funktional!AJ9</f>
        <v>9.4145691995301969E-2</v>
      </c>
      <c r="AC28" s="42">
        <f>Funktional!AS9</f>
        <v>8.800758590691013E-2</v>
      </c>
      <c r="AD28" s="42">
        <f>Funktional!AO9</f>
        <v>2.0331913160221795E-3</v>
      </c>
      <c r="AE28" s="202">
        <f>Funktional!AV9</f>
        <v>0.30644066925346214</v>
      </c>
      <c r="AF28" s="172">
        <f>'Kennzahlen Revision'!C9</f>
        <v>0.12959999999999999</v>
      </c>
      <c r="AG28" s="42">
        <f>'Kennzahlen Revision'!D9</f>
        <v>7.1999999999999995E-2</v>
      </c>
      <c r="AH28" s="42">
        <f>Artengliederung!AN9</f>
        <v>0.274209435083484</v>
      </c>
      <c r="AI28" s="178" t="str">
        <f t="shared" si="8"/>
        <v>Affeltrangen</v>
      </c>
    </row>
    <row r="29" spans="1:35" x14ac:dyDescent="0.25">
      <c r="A29" s="41" t="str">
        <f>Funktional!A10</f>
        <v>Alterswilen</v>
      </c>
      <c r="B29" s="41" t="str">
        <f>Funktional!B10</f>
        <v>PSG</v>
      </c>
      <c r="C29" s="352">
        <f>Funktional!D10</f>
        <v>57</v>
      </c>
      <c r="D29" s="348">
        <f>Funktional!G10</f>
        <v>16870.731558384046</v>
      </c>
      <c r="E29" s="186">
        <f>Funktional!F10</f>
        <v>320543.89960929687</v>
      </c>
      <c r="F29" s="48">
        <f>Funktional!U10</f>
        <v>7865.0139324875026</v>
      </c>
      <c r="G29" s="48">
        <f>Funktional!T10</f>
        <v>149435.26471726256</v>
      </c>
      <c r="H29" s="48">
        <f>Artengliederung!R10</f>
        <v>271.90724028605894</v>
      </c>
      <c r="I29" s="186">
        <f>Artengliederung!Q10</f>
        <v>5166.237565435119</v>
      </c>
      <c r="J29" s="48">
        <f>Funktional!Z10</f>
        <v>571.57884480233031</v>
      </c>
      <c r="K29" s="48">
        <f>Funktional!Y10</f>
        <v>10859.998051244276</v>
      </c>
      <c r="L29" s="48">
        <f>'Kennzahlen Revision'!O10</f>
        <v>260.27232377797276</v>
      </c>
      <c r="M29" s="48">
        <f>'Kennzahlen Revision'!N10</f>
        <v>4945.1741517814817</v>
      </c>
      <c r="N29" s="80">
        <f>Funktional!AG10</f>
        <v>1450.7765236186899</v>
      </c>
      <c r="O29" s="43">
        <f>Funktional!AF10</f>
        <v>27564.753948755108</v>
      </c>
      <c r="P29" s="43">
        <f>Funktional!AL10</f>
        <v>64.232234967560316</v>
      </c>
      <c r="Q29" s="43">
        <f>Funktional!AK10</f>
        <v>1220.412464383646</v>
      </c>
      <c r="R29" s="80">
        <f>Funktional!AU10</f>
        <v>1155.1079074421239</v>
      </c>
      <c r="S29" s="43">
        <f>Funktional!AT10</f>
        <v>21947.050241400353</v>
      </c>
      <c r="T29" s="80">
        <f>Funktional!AQ10</f>
        <v>83.209805547028679</v>
      </c>
      <c r="U29" s="43">
        <f>Funktional!AP10</f>
        <v>1580.9863053935449</v>
      </c>
      <c r="V29" s="80">
        <f t="shared" si="11"/>
        <v>5680.8123095188112</v>
      </c>
      <c r="W29" s="183">
        <f t="shared" si="11"/>
        <v>107935.43388085741</v>
      </c>
      <c r="X29" s="172">
        <f>Funktional!S10</f>
        <v>0.46619282070070756</v>
      </c>
      <c r="Y29" s="42">
        <f>Funktional!X10</f>
        <v>3.3879908694195278E-2</v>
      </c>
      <c r="Z29" s="42">
        <f>'Kennzahlen Revision'!L10</f>
        <v>1.5427447403644347E-2</v>
      </c>
      <c r="AA29" s="42">
        <f>Funktional!AE10</f>
        <v>8.5993693788442419E-2</v>
      </c>
      <c r="AB29" s="42">
        <f>Funktional!AJ10</f>
        <v>3.8073177055348018E-3</v>
      </c>
      <c r="AC29" s="42">
        <f>Funktional!AS10</f>
        <v>6.8468157616323605E-2</v>
      </c>
      <c r="AD29" s="42">
        <f>Funktional!AO10</f>
        <v>4.9321990133662508E-3</v>
      </c>
      <c r="AE29" s="202">
        <f>Funktional!AV10</f>
        <v>0.33672590248143008</v>
      </c>
      <c r="AF29" s="172">
        <f>'Kennzahlen Revision'!C10</f>
        <v>-9.35E-2</v>
      </c>
      <c r="AG29" s="42">
        <f>'Kennzahlen Revision'!D10</f>
        <v>-0.1709</v>
      </c>
      <c r="AH29" s="42">
        <f>Artengliederung!AN10</f>
        <v>0.15821759735755153</v>
      </c>
      <c r="AI29" s="178" t="str">
        <f t="shared" si="8"/>
        <v>Alterswilen</v>
      </c>
    </row>
    <row r="30" spans="1:35" x14ac:dyDescent="0.25">
      <c r="A30" s="41" t="str">
        <f>Funktional!A11</f>
        <v>Altishausen-Graltshausen</v>
      </c>
      <c r="B30" s="41" t="str">
        <f>Funktional!B11</f>
        <v>PSG</v>
      </c>
      <c r="C30" s="352">
        <f>Funktional!D11</f>
        <v>27</v>
      </c>
      <c r="D30" s="348">
        <f>Funktional!G11</f>
        <v>12367.368518518519</v>
      </c>
      <c r="E30" s="186">
        <f>Funktional!F11</f>
        <v>333918.95</v>
      </c>
      <c r="F30" s="48">
        <f>Funktional!U11</f>
        <v>9234.2555555555573</v>
      </c>
      <c r="G30" s="48">
        <f>Funktional!T11</f>
        <v>249324.90000000002</v>
      </c>
      <c r="H30" s="48">
        <f>Artengliederung!R11</f>
        <v>803.68888888888887</v>
      </c>
      <c r="I30" s="186">
        <f>Artengliederung!Q11</f>
        <v>21699.599999999999</v>
      </c>
      <c r="J30" s="48">
        <f>Funktional!Z11</f>
        <v>740.68333333333339</v>
      </c>
      <c r="K30" s="48">
        <f>Funktional!Y11</f>
        <v>19998.45</v>
      </c>
      <c r="L30" s="48">
        <f>'Kennzahlen Revision'!O11</f>
        <v>177.77777777777777</v>
      </c>
      <c r="M30" s="48">
        <f>'Kennzahlen Revision'!N11</f>
        <v>4800</v>
      </c>
      <c r="N30" s="80">
        <f>Funktional!AG11</f>
        <v>112.70370370370371</v>
      </c>
      <c r="O30" s="43">
        <f>Funktional!AF11</f>
        <v>3043</v>
      </c>
      <c r="P30" s="43">
        <f>Funktional!AL11</f>
        <v>973.82037037037037</v>
      </c>
      <c r="Q30" s="43">
        <f>Funktional!AK11</f>
        <v>26293.15</v>
      </c>
      <c r="R30" s="80">
        <f>Funktional!AU11</f>
        <v>514.6</v>
      </c>
      <c r="S30" s="43">
        <f>Funktional!AT11</f>
        <v>13894.2</v>
      </c>
      <c r="T30" s="80">
        <f>Funktional!AQ11</f>
        <v>97.957407407407402</v>
      </c>
      <c r="U30" s="43">
        <f>Funktional!AP11</f>
        <v>2644.85</v>
      </c>
      <c r="V30" s="80">
        <f t="shared" si="11"/>
        <v>693.34814814814627</v>
      </c>
      <c r="W30" s="183">
        <f t="shared" si="11"/>
        <v>18720.399999999991</v>
      </c>
      <c r="X30" s="172">
        <f>Funktional!S11</f>
        <v>0.7466629252397925</v>
      </c>
      <c r="Y30" s="42">
        <f>Funktional!X11</f>
        <v>5.9890132021557928E-2</v>
      </c>
      <c r="Z30" s="42">
        <f>'Kennzahlen Revision'!L11</f>
        <v>1.4374745727967819E-2</v>
      </c>
      <c r="AA30" s="42">
        <f>Funktional!AE11</f>
        <v>9.1129898437929315E-3</v>
      </c>
      <c r="AB30" s="42">
        <f>Funktional!AJ11</f>
        <v>7.874111367444106E-2</v>
      </c>
      <c r="AC30" s="42">
        <f>Funktional!AS11</f>
        <v>4.1609498352818852E-2</v>
      </c>
      <c r="AD30" s="42">
        <f>Funktional!AO11</f>
        <v>7.9206346330449352E-3</v>
      </c>
      <c r="AE30" s="202">
        <f>Funktional!AV11</f>
        <v>5.6062706234551798E-2</v>
      </c>
      <c r="AF30" s="172">
        <f>'Kennzahlen Revision'!C11</f>
        <v>2.4299999999999999E-2</v>
      </c>
      <c r="AG30" s="42">
        <f>'Kennzahlen Revision'!D11</f>
        <v>6.4000000000000001E-2</v>
      </c>
      <c r="AH30" s="42">
        <f>Artengliederung!AN11</f>
        <v>0.17201779054468158</v>
      </c>
      <c r="AI30" s="178" t="str">
        <f t="shared" si="8"/>
        <v>Altishausen-Graltshausen</v>
      </c>
    </row>
    <row r="31" spans="1:35" x14ac:dyDescent="0.25">
      <c r="A31" s="41" t="str">
        <f>Funktional!A12</f>
        <v>Altnau</v>
      </c>
      <c r="B31" s="41" t="str">
        <f>Funktional!B12</f>
        <v>PSG</v>
      </c>
      <c r="C31" s="352">
        <f>Funktional!D12</f>
        <v>174</v>
      </c>
      <c r="D31" s="348">
        <f>Funktional!G12</f>
        <v>12459.283591523887</v>
      </c>
      <c r="E31" s="186">
        <f>Funktional!F12</f>
        <v>255048.86410884192</v>
      </c>
      <c r="F31" s="48">
        <f>Funktional!U12</f>
        <v>6906.0953075207972</v>
      </c>
      <c r="G31" s="48">
        <f>Funktional!T12</f>
        <v>141371.83335395512</v>
      </c>
      <c r="H31" s="48">
        <f>Artengliederung!R12</f>
        <v>326.45157771173615</v>
      </c>
      <c r="I31" s="186">
        <f>Artengliederung!Q12</f>
        <v>6682.6558260990687</v>
      </c>
      <c r="J31" s="48">
        <f>Funktional!Z12</f>
        <v>438.28100667528975</v>
      </c>
      <c r="K31" s="48">
        <f>Funktional!Y12</f>
        <v>8971.8700190000491</v>
      </c>
      <c r="L31" s="48">
        <f>'Kennzahlen Revision'!O12</f>
        <v>145.68315027656149</v>
      </c>
      <c r="M31" s="48">
        <f>'Kennzahlen Revision'!N12</f>
        <v>2982.2197821319646</v>
      </c>
      <c r="N31" s="80">
        <f>Funktional!AG12</f>
        <v>1710.0501469770111</v>
      </c>
      <c r="O31" s="43">
        <f>Funktional!AF12</f>
        <v>35005.73242047058</v>
      </c>
      <c r="P31" s="43">
        <f>Funktional!AL12</f>
        <v>1051.2078838103132</v>
      </c>
      <c r="Q31" s="43">
        <f>Funktional!AK12</f>
        <v>21518.843739175823</v>
      </c>
      <c r="R31" s="80">
        <f>Funktional!AU12</f>
        <v>1307.707089491671</v>
      </c>
      <c r="S31" s="43">
        <f>Funktional!AT12</f>
        <v>26769.533361358914</v>
      </c>
      <c r="T31" s="80">
        <f>Funktional!AQ12</f>
        <v>78.45927982666521</v>
      </c>
      <c r="U31" s="43">
        <f>Funktional!AP12</f>
        <v>1606.1076105693819</v>
      </c>
      <c r="V31" s="80">
        <f t="shared" si="11"/>
        <v>967.48287722213911</v>
      </c>
      <c r="W31" s="183">
        <f t="shared" si="11"/>
        <v>19804.943604312051</v>
      </c>
      <c r="X31" s="172">
        <f>Funktional!S12</f>
        <v>0.5542931306434864</v>
      </c>
      <c r="Y31" s="42">
        <f>Funktional!X12</f>
        <v>3.5177063228053862E-2</v>
      </c>
      <c r="Z31" s="42">
        <f>'Kennzahlen Revision'!L12</f>
        <v>1.1692738928879544E-2</v>
      </c>
      <c r="AA31" s="42">
        <f>Funktional!AE12</f>
        <v>0.13725108144583584</v>
      </c>
      <c r="AB31" s="42">
        <f>Funktional!AJ12</f>
        <v>8.4371454914587155E-2</v>
      </c>
      <c r="AC31" s="42">
        <f>Funktional!AS12</f>
        <v>0.10495844964804484</v>
      </c>
      <c r="AD31" s="42">
        <f>Funktional!AO12</f>
        <v>6.2972545130958778E-3</v>
      </c>
      <c r="AE31" s="202">
        <f>Funktional!AV12</f>
        <v>7.7651565606896053E-2</v>
      </c>
      <c r="AF31" s="172">
        <f>'Kennzahlen Revision'!C12</f>
        <v>0.25650000000000001</v>
      </c>
      <c r="AG31" s="42">
        <f>'Kennzahlen Revision'!D12</f>
        <v>0.11360000000000001</v>
      </c>
      <c r="AH31" s="42">
        <f>Artengliederung!AN12</f>
        <v>0.19499776147656755</v>
      </c>
      <c r="AI31" s="178" t="str">
        <f t="shared" si="8"/>
        <v>Altnau</v>
      </c>
    </row>
    <row r="32" spans="1:35" x14ac:dyDescent="0.25">
      <c r="A32" s="41" t="str">
        <f>Funktional!A13</f>
        <v>Amlikon</v>
      </c>
      <c r="B32" s="41" t="str">
        <f>Funktional!B13</f>
        <v>PSG</v>
      </c>
      <c r="C32" s="352">
        <f>Funktional!D13</f>
        <v>49</v>
      </c>
      <c r="D32" s="348">
        <f>Funktional!G13</f>
        <v>14176.770866702693</v>
      </c>
      <c r="E32" s="186">
        <f>Funktional!F13</f>
        <v>277864.70898737281</v>
      </c>
      <c r="F32" s="48">
        <f>Funktional!U13</f>
        <v>6864.3324905901964</v>
      </c>
      <c r="G32" s="48">
        <f>Funktional!T13</f>
        <v>134540.91681556785</v>
      </c>
      <c r="H32" s="48">
        <f>Artengliederung!R13</f>
        <v>270.32886662204828</v>
      </c>
      <c r="I32" s="186">
        <f>Artengliederung!Q13</f>
        <v>5298.4457857921461</v>
      </c>
      <c r="J32" s="48">
        <f>Funktional!Z13</f>
        <v>663.32559870486637</v>
      </c>
      <c r="K32" s="48">
        <f>Funktional!Y13</f>
        <v>13001.18173461538</v>
      </c>
      <c r="L32" s="48">
        <f>'Kennzahlen Revision'!O13</f>
        <v>234.67026809589925</v>
      </c>
      <c r="M32" s="48">
        <f>'Kennzahlen Revision'!N13</f>
        <v>4599.5372546796252</v>
      </c>
      <c r="N32" s="80">
        <f>Funktional!AG13</f>
        <v>2048.7571853828508</v>
      </c>
      <c r="O32" s="43">
        <f>Funktional!AF13</f>
        <v>40155.640833503872</v>
      </c>
      <c r="P32" s="43">
        <f>Funktional!AL13</f>
        <v>2296.4403711336445</v>
      </c>
      <c r="Q32" s="43">
        <f>Funktional!AK13</f>
        <v>45010.231274219434</v>
      </c>
      <c r="R32" s="80">
        <f>Funktional!AU13</f>
        <v>1159.9074418514638</v>
      </c>
      <c r="S32" s="43">
        <f>Funktional!AT13</f>
        <v>22734.18586028869</v>
      </c>
      <c r="T32" s="80">
        <f>Funktional!AQ13</f>
        <v>72.339366585446484</v>
      </c>
      <c r="U32" s="43">
        <f>Funktional!AP13</f>
        <v>1417.851585074751</v>
      </c>
      <c r="V32" s="80">
        <f t="shared" si="11"/>
        <v>1071.6684124542253</v>
      </c>
      <c r="W32" s="183">
        <f t="shared" si="11"/>
        <v>21004.700884102833</v>
      </c>
      <c r="X32" s="172">
        <f>Funktional!S13</f>
        <v>0.48419577032966032</v>
      </c>
      <c r="Y32" s="42">
        <f>Funktional!X13</f>
        <v>4.6789611325582924E-2</v>
      </c>
      <c r="Z32" s="42">
        <f>'Kennzahlen Revision'!L13</f>
        <v>1.6553153768399734E-2</v>
      </c>
      <c r="AA32" s="42">
        <f>Funktional!AE13</f>
        <v>0.14451508066585275</v>
      </c>
      <c r="AB32" s="42">
        <f>Funktional!AJ13</f>
        <v>0.16198613864369824</v>
      </c>
      <c r="AC32" s="42">
        <f>Funktional!AS13</f>
        <v>8.1817464128997458E-2</v>
      </c>
      <c r="AD32" s="42">
        <f>Funktional!AO13</f>
        <v>5.1026688140492988E-3</v>
      </c>
      <c r="AE32" s="202">
        <f>Funktional!AV13</f>
        <v>7.5593266092158995E-2</v>
      </c>
      <c r="AF32" s="172">
        <f>'Kennzahlen Revision'!C13</f>
        <v>0.29389999999999999</v>
      </c>
      <c r="AG32" s="42">
        <f>'Kennzahlen Revision'!D13</f>
        <v>0.11269999999999999</v>
      </c>
      <c r="AH32" s="42">
        <f>Artengliederung!AN13</f>
        <v>0.19195397883700516</v>
      </c>
      <c r="AI32" s="178" t="str">
        <f t="shared" si="8"/>
        <v>Amlikon</v>
      </c>
    </row>
    <row r="33" spans="1:35" x14ac:dyDescent="0.25">
      <c r="A33" s="41" t="str">
        <f>Funktional!A14</f>
        <v>Amriswil</v>
      </c>
      <c r="B33" s="41" t="str">
        <f>Funktional!B14</f>
        <v>PSG</v>
      </c>
      <c r="C33" s="352">
        <f>Funktional!D14</f>
        <v>960</v>
      </c>
      <c r="D33" s="348">
        <f>Funktional!G14</f>
        <v>11656.7491959898</v>
      </c>
      <c r="E33" s="186">
        <f>Funktional!F14</f>
        <v>228377.12710510628</v>
      </c>
      <c r="F33" s="48">
        <f>Funktional!U14</f>
        <v>6793.6067947638358</v>
      </c>
      <c r="G33" s="48">
        <f>Funktional!T14</f>
        <v>133099.23516272006</v>
      </c>
      <c r="H33" s="48">
        <f>Artengliederung!R14</f>
        <v>129.78804388330889</v>
      </c>
      <c r="I33" s="186">
        <f>Artengliederung!Q14</f>
        <v>2542.7861658770721</v>
      </c>
      <c r="J33" s="48">
        <f>Funktional!Z14</f>
        <v>676.76890410905401</v>
      </c>
      <c r="K33" s="48">
        <f>Funktional!Y14</f>
        <v>13259.145876422283</v>
      </c>
      <c r="L33" s="48">
        <f>'Kennzahlen Revision'!O14</f>
        <v>345.33800127896023</v>
      </c>
      <c r="M33" s="48">
        <f>'Kennzahlen Revision'!N14</f>
        <v>6765.8057393428944</v>
      </c>
      <c r="N33" s="80">
        <f>Funktional!AG14</f>
        <v>748.08047242751013</v>
      </c>
      <c r="O33" s="43">
        <f>Funktional!AF14</f>
        <v>14656.270480212444</v>
      </c>
      <c r="P33" s="43">
        <f>Funktional!AL14</f>
        <v>1126.9119317157379</v>
      </c>
      <c r="Q33" s="43">
        <f>Funktional!AK14</f>
        <v>22078.274580553232</v>
      </c>
      <c r="R33" s="80">
        <f>Funktional!AU14</f>
        <v>835.4455652178217</v>
      </c>
      <c r="S33" s="43">
        <f>Funktional!AT14</f>
        <v>16367.913114471608</v>
      </c>
      <c r="T33" s="80">
        <f>Funktional!AQ14</f>
        <v>55.735093214858338</v>
      </c>
      <c r="U33" s="43">
        <f>Funktional!AP14</f>
        <v>1091.9528466584491</v>
      </c>
      <c r="V33" s="80">
        <f t="shared" si="11"/>
        <v>1420.2004345409814</v>
      </c>
      <c r="W33" s="183">
        <f t="shared" si="11"/>
        <v>27824.335044068208</v>
      </c>
      <c r="X33" s="172">
        <f>Funktional!S14</f>
        <v>0.58280457789217932</v>
      </c>
      <c r="Y33" s="42">
        <f>Funktional!X14</f>
        <v>5.8058116609550001E-2</v>
      </c>
      <c r="Z33" s="42">
        <f>'Kennzahlen Revision'!L14</f>
        <v>2.9625583897589968E-2</v>
      </c>
      <c r="AA33" s="42">
        <f>Funktional!AE14</f>
        <v>6.4175737150188303E-2</v>
      </c>
      <c r="AB33" s="42">
        <f>Funktional!AJ14</f>
        <v>9.667463138894869E-2</v>
      </c>
      <c r="AC33" s="42">
        <f>Funktional!AS14</f>
        <v>7.1670544778061701E-2</v>
      </c>
      <c r="AD33" s="42">
        <f>Funktional!AO14</f>
        <v>4.7813581880986628E-3</v>
      </c>
      <c r="AE33" s="202">
        <f>Funktional!AV14</f>
        <v>0.12183503399297332</v>
      </c>
      <c r="AF33" s="172">
        <f>'Kennzahlen Revision'!C14</f>
        <v>0.1197</v>
      </c>
      <c r="AG33" s="42">
        <f>'Kennzahlen Revision'!D14</f>
        <v>5.8500000000000003E-2</v>
      </c>
      <c r="AH33" s="42">
        <f>Artengliederung!AN14</f>
        <v>0.2754143345052662</v>
      </c>
      <c r="AI33" s="178" t="str">
        <f t="shared" si="8"/>
        <v>Amriswil</v>
      </c>
    </row>
    <row r="34" spans="1:35" x14ac:dyDescent="0.25">
      <c r="A34" s="41" t="str">
        <f>Funktional!A15</f>
        <v>Au</v>
      </c>
      <c r="B34" s="41" t="str">
        <f>Funktional!B15</f>
        <v>PSG</v>
      </c>
      <c r="C34" s="352">
        <f>Funktional!D15</f>
        <v>20</v>
      </c>
      <c r="D34" s="348">
        <f>Funktional!G15</f>
        <v>11248.627499999999</v>
      </c>
      <c r="E34" s="186">
        <f>Funktional!F15</f>
        <v>224972.55</v>
      </c>
      <c r="F34" s="48">
        <f>Funktional!U15</f>
        <v>8737.9</v>
      </c>
      <c r="G34" s="48">
        <f>Funktional!T15</f>
        <v>174758</v>
      </c>
      <c r="H34" s="48">
        <f>Artengliederung!R15</f>
        <v>412.8175</v>
      </c>
      <c r="I34" s="186">
        <f>Artengliederung!Q15</f>
        <v>8256.35</v>
      </c>
      <c r="J34" s="48">
        <f>Funktional!Z15</f>
        <v>558.0625</v>
      </c>
      <c r="K34" s="48">
        <f>Funktional!Y15</f>
        <v>11161.25</v>
      </c>
      <c r="L34" s="48">
        <f>'Kennzahlen Revision'!O15</f>
        <v>200</v>
      </c>
      <c r="M34" s="48">
        <f>'Kennzahlen Revision'!N15</f>
        <v>4000</v>
      </c>
      <c r="N34" s="80">
        <f>Funktional!AG15</f>
        <v>467.9</v>
      </c>
      <c r="O34" s="43">
        <f>Funktional!AF15</f>
        <v>9358</v>
      </c>
      <c r="P34" s="43">
        <f>Funktional!AL15</f>
        <v>370.5675</v>
      </c>
      <c r="Q34" s="43">
        <f>Funktional!AK15</f>
        <v>7411.35</v>
      </c>
      <c r="R34" s="80">
        <f>Funktional!AU15</f>
        <v>0</v>
      </c>
      <c r="S34" s="43">
        <f>Funktional!AT15</f>
        <v>0</v>
      </c>
      <c r="T34" s="80">
        <f>Funktional!AQ15</f>
        <v>27.847500000000004</v>
      </c>
      <c r="U34" s="43">
        <f>Funktional!AP15</f>
        <v>556.95000000000005</v>
      </c>
      <c r="V34" s="80">
        <f t="shared" si="11"/>
        <v>1086.3499999999988</v>
      </c>
      <c r="W34" s="183">
        <f t="shared" si="11"/>
        <v>21726.999999999989</v>
      </c>
      <c r="X34" s="172">
        <f>Funktional!S15</f>
        <v>0.77679699145517977</v>
      </c>
      <c r="Y34" s="42">
        <f>Funktional!X15</f>
        <v>4.961160817175251E-2</v>
      </c>
      <c r="Z34" s="42">
        <f>'Kennzahlen Revision'!L15</f>
        <v>1.7779946931303397E-2</v>
      </c>
      <c r="AA34" s="42">
        <f>Funktional!AE15</f>
        <v>4.1596185845784298E-2</v>
      </c>
      <c r="AB34" s="42">
        <f>Funktional!AJ15</f>
        <v>3.2943352422328862E-2</v>
      </c>
      <c r="AC34" s="42">
        <f>Funktional!AS15</f>
        <v>0</v>
      </c>
      <c r="AD34" s="42">
        <f>Funktional!AO15</f>
        <v>2.4756353608473571E-3</v>
      </c>
      <c r="AE34" s="202">
        <f>Funktional!AV15</f>
        <v>9.6576226744107221E-2</v>
      </c>
      <c r="AF34" s="172">
        <f>'Kennzahlen Revision'!C15</f>
        <v>3.7600000000000001E-2</v>
      </c>
      <c r="AG34" s="42">
        <f>'Kennzahlen Revision'!D15</f>
        <v>1E-4</v>
      </c>
      <c r="AH34" s="42">
        <f>Artengliederung!AN15</f>
        <v>0.66738364302667152</v>
      </c>
      <c r="AI34" s="178" t="str">
        <f t="shared" si="8"/>
        <v>Au</v>
      </c>
    </row>
    <row r="35" spans="1:35" x14ac:dyDescent="0.25">
      <c r="A35" s="41" t="str">
        <f>Funktional!A16</f>
        <v>Balterswil</v>
      </c>
      <c r="B35" s="41" t="str">
        <f>Funktional!B16</f>
        <v>PSG</v>
      </c>
      <c r="C35" s="352">
        <f>Funktional!D16</f>
        <v>100</v>
      </c>
      <c r="D35" s="348">
        <f>Funktional!G16</f>
        <v>13607.816419818009</v>
      </c>
      <c r="E35" s="186">
        <f>Funktional!F16</f>
        <v>272156.32839636022</v>
      </c>
      <c r="F35" s="48">
        <f>Funktional!U16</f>
        <v>8048.8359811082073</v>
      </c>
      <c r="G35" s="48">
        <f>Funktional!T16</f>
        <v>160976.71962216415</v>
      </c>
      <c r="H35" s="48">
        <f>Artengliederung!R16</f>
        <v>374.57304803090062</v>
      </c>
      <c r="I35" s="186">
        <f>Artengliederung!Q16</f>
        <v>7491.460960618012</v>
      </c>
      <c r="J35" s="48">
        <f>Funktional!Z16</f>
        <v>730.23570696097431</v>
      </c>
      <c r="K35" s="48">
        <f>Funktional!Y16</f>
        <v>14604.714139219486</v>
      </c>
      <c r="L35" s="48">
        <f>'Kennzahlen Revision'!O16</f>
        <v>316.33853554418982</v>
      </c>
      <c r="M35" s="48">
        <f>'Kennzahlen Revision'!N16</f>
        <v>6326.7707108837958</v>
      </c>
      <c r="N35" s="80">
        <f>Funktional!AG16</f>
        <v>2013.7689949659841</v>
      </c>
      <c r="O35" s="43">
        <f>Funktional!AF16</f>
        <v>40275.379899319683</v>
      </c>
      <c r="P35" s="43">
        <f>Funktional!AL16</f>
        <v>1214.6826901503625</v>
      </c>
      <c r="Q35" s="43">
        <f>Funktional!AK16</f>
        <v>24293.653803007248</v>
      </c>
      <c r="R35" s="80">
        <f>Funktional!AU16</f>
        <v>1354.1433346785227</v>
      </c>
      <c r="S35" s="43">
        <f>Funktional!AT16</f>
        <v>27082.866693570453</v>
      </c>
      <c r="T35" s="80">
        <f>Funktional!AQ16</f>
        <v>30.14946340893599</v>
      </c>
      <c r="U35" s="43">
        <f>Funktional!AP16</f>
        <v>602.98926817871984</v>
      </c>
      <c r="V35" s="80">
        <f t="shared" si="11"/>
        <v>216.00024854502212</v>
      </c>
      <c r="W35" s="183">
        <f t="shared" si="11"/>
        <v>4320.0049709004716</v>
      </c>
      <c r="X35" s="172">
        <f>Funktional!S16</f>
        <v>0.59148622620938118</v>
      </c>
      <c r="Y35" s="42">
        <f>Funktional!X16</f>
        <v>5.3662959907181083E-2</v>
      </c>
      <c r="Z35" s="42">
        <f>'Kennzahlen Revision'!L16</f>
        <v>2.3246825632030423E-2</v>
      </c>
      <c r="AA35" s="42">
        <f>Funktional!AE16</f>
        <v>0.1479861965240207</v>
      </c>
      <c r="AB35" s="42">
        <f>Funktional!AJ16</f>
        <v>8.9263600615697283E-2</v>
      </c>
      <c r="AC35" s="42">
        <f>Funktional!AS16</f>
        <v>9.9512169542968668E-2</v>
      </c>
      <c r="AD35" s="42">
        <f>Funktional!AO16</f>
        <v>2.2155989233531418E-3</v>
      </c>
      <c r="AE35" s="202">
        <f>Funktional!AV16</f>
        <v>1.5873248277397972E-2</v>
      </c>
      <c r="AF35" s="172">
        <f>'Kennzahlen Revision'!C16</f>
        <v>0.2205</v>
      </c>
      <c r="AG35" s="42">
        <f>'Kennzahlen Revision'!D16</f>
        <v>9.2899999999999996E-2</v>
      </c>
      <c r="AH35" s="42">
        <f>Artengliederung!AN16</f>
        <v>0.21634405995316089</v>
      </c>
      <c r="AI35" s="178" t="str">
        <f t="shared" si="8"/>
        <v>Balterswil</v>
      </c>
    </row>
    <row r="36" spans="1:35" x14ac:dyDescent="0.25">
      <c r="A36" s="41" t="str">
        <f>Funktional!A17</f>
        <v xml:space="preserve">Basadingen-Willisdorf </v>
      </c>
      <c r="B36" s="41" t="str">
        <f>Funktional!B17</f>
        <v>PSG</v>
      </c>
      <c r="C36" s="352">
        <f>Funktional!D17</f>
        <v>96</v>
      </c>
      <c r="D36" s="348">
        <f>Funktional!G17</f>
        <v>11153.07718038625</v>
      </c>
      <c r="E36" s="186">
        <f>Funktional!F17</f>
        <v>214139.08186341598</v>
      </c>
      <c r="F36" s="48">
        <f>Funktional!U17</f>
        <v>8104.0535797033835</v>
      </c>
      <c r="G36" s="48">
        <f>Funktional!T17</f>
        <v>155597.82873030496</v>
      </c>
      <c r="H36" s="48">
        <f>Artengliederung!R17</f>
        <v>378.1985547883944</v>
      </c>
      <c r="I36" s="186">
        <f>Artengliederung!Q17</f>
        <v>7261.4122519371722</v>
      </c>
      <c r="J36" s="48">
        <f>Funktional!Z17</f>
        <v>598.6260468841715</v>
      </c>
      <c r="K36" s="48">
        <f>Funktional!Y17</f>
        <v>11493.620100176093</v>
      </c>
      <c r="L36" s="48">
        <f>'Kennzahlen Revision'!O17</f>
        <v>126.75606091972641</v>
      </c>
      <c r="M36" s="48">
        <f>'Kennzahlen Revision'!N17</f>
        <v>2433.7163696587472</v>
      </c>
      <c r="N36" s="80">
        <f>Funktional!AG17</f>
        <v>365.99190286037054</v>
      </c>
      <c r="O36" s="43">
        <f>Funktional!AF17</f>
        <v>7027.0445349191141</v>
      </c>
      <c r="P36" s="43">
        <f>Funktional!AL17</f>
        <v>871.77584064624932</v>
      </c>
      <c r="Q36" s="43">
        <f>Funktional!AK17</f>
        <v>16738.096140407986</v>
      </c>
      <c r="R36" s="80">
        <f>Funktional!AU17</f>
        <v>590.44054712764535</v>
      </c>
      <c r="S36" s="43">
        <f>Funktional!AT17</f>
        <v>11336.458504850791</v>
      </c>
      <c r="T36" s="80">
        <f>Funktional!AQ17</f>
        <v>109.89793743194519</v>
      </c>
      <c r="U36" s="43">
        <f>Funktional!AP17</f>
        <v>2110.0403986933479</v>
      </c>
      <c r="V36" s="80">
        <f t="shared" si="11"/>
        <v>512.29132573248444</v>
      </c>
      <c r="W36" s="183">
        <f t="shared" si="11"/>
        <v>9835.9934540636896</v>
      </c>
      <c r="X36" s="172">
        <f>Funktional!S17</f>
        <v>0.72662041592925897</v>
      </c>
      <c r="Y36" s="42">
        <f>Funktional!X17</f>
        <v>5.3673621835677109E-2</v>
      </c>
      <c r="Z36" s="42">
        <f>'Kennzahlen Revision'!L17</f>
        <v>1.1365120035449861E-2</v>
      </c>
      <c r="AA36" s="42">
        <f>Funktional!AE17</f>
        <v>3.2815329522152166E-2</v>
      </c>
      <c r="AB36" s="42">
        <f>Funktional!AJ17</f>
        <v>7.816460215834875E-2</v>
      </c>
      <c r="AC36" s="42">
        <f>Funktional!AS17</f>
        <v>5.2939698845265004E-2</v>
      </c>
      <c r="AD36" s="42">
        <f>Funktional!AO17</f>
        <v>9.8535978595406127E-3</v>
      </c>
      <c r="AE36" s="202">
        <f>Funktional!AV17</f>
        <v>4.5932733849757393E-2</v>
      </c>
      <c r="AF36" s="172">
        <f>'Kennzahlen Revision'!C17</f>
        <v>9.1200000000000003E-2</v>
      </c>
      <c r="AG36" s="42">
        <f>'Kennzahlen Revision'!D17</f>
        <v>6.88E-2</v>
      </c>
      <c r="AH36" s="42">
        <f>Artengliederung!AN17</f>
        <v>0.10064919272349933</v>
      </c>
      <c r="AI36" s="178" t="str">
        <f t="shared" si="8"/>
        <v xml:space="preserve">Basadingen-Willisdorf </v>
      </c>
    </row>
    <row r="37" spans="1:35" x14ac:dyDescent="0.25">
      <c r="A37" s="41" t="str">
        <f>Funktional!A18</f>
        <v>Berg</v>
      </c>
      <c r="B37" s="41" t="str">
        <f>Funktional!B18</f>
        <v>PSG</v>
      </c>
      <c r="C37" s="352">
        <f>Funktional!D18</f>
        <v>190</v>
      </c>
      <c r="D37" s="348">
        <f>Funktional!G18</f>
        <v>10040.711576227126</v>
      </c>
      <c r="E37" s="186">
        <f>Funktional!F18</f>
        <v>211970.57772035044</v>
      </c>
      <c r="F37" s="48">
        <f>Funktional!U18</f>
        <v>6850.9444634322517</v>
      </c>
      <c r="G37" s="48">
        <f>Funktional!T18</f>
        <v>144631.04978356976</v>
      </c>
      <c r="H37" s="48">
        <f>Artengliederung!R18</f>
        <v>338.70062565280921</v>
      </c>
      <c r="I37" s="186">
        <f>Artengliederung!Q18</f>
        <v>7150.3465415593055</v>
      </c>
      <c r="J37" s="48">
        <f>Funktional!Z18</f>
        <v>460.70914222058178</v>
      </c>
      <c r="K37" s="48">
        <f>Funktional!Y18</f>
        <v>9726.0818913233925</v>
      </c>
      <c r="L37" s="48">
        <f>'Kennzahlen Revision'!O18</f>
        <v>192.93583574465168</v>
      </c>
      <c r="M37" s="48">
        <f>'Kennzahlen Revision'!N18</f>
        <v>4073.0898657204243</v>
      </c>
      <c r="N37" s="80">
        <f>Funktional!AG18</f>
        <v>1230.9076740109263</v>
      </c>
      <c r="O37" s="43">
        <f>Funktional!AF18</f>
        <v>25985.828673563999</v>
      </c>
      <c r="P37" s="43">
        <f>Funktional!AL18</f>
        <v>791.6982947039769</v>
      </c>
      <c r="Q37" s="43">
        <f>Funktional!AK18</f>
        <v>16713.630665972843</v>
      </c>
      <c r="R37" s="80">
        <f>Funktional!AU18</f>
        <v>270.65674799366082</v>
      </c>
      <c r="S37" s="43">
        <f>Funktional!AT18</f>
        <v>5713.864679866173</v>
      </c>
      <c r="T37" s="80">
        <f>Funktional!AQ18</f>
        <v>55.987816179333279</v>
      </c>
      <c r="U37" s="43">
        <f>Funktional!AP18</f>
        <v>1181.9650082303692</v>
      </c>
      <c r="V37" s="80">
        <f t="shared" si="11"/>
        <v>379.8074376863953</v>
      </c>
      <c r="W37" s="183">
        <f t="shared" si="11"/>
        <v>8018.1570178238999</v>
      </c>
      <c r="X37" s="172">
        <f>Funktional!S18</f>
        <v>0.68231662780284208</v>
      </c>
      <c r="Y37" s="42">
        <f>Funktional!X18</f>
        <v>4.5884112766607005E-2</v>
      </c>
      <c r="Z37" s="42">
        <f>'Kennzahlen Revision'!L18</f>
        <v>1.9215354836150843E-2</v>
      </c>
      <c r="AA37" s="42">
        <f>Funktional!AE18</f>
        <v>0.12259167735933008</v>
      </c>
      <c r="AB37" s="42">
        <f>Funktional!AJ18</f>
        <v>7.8848823481638491E-2</v>
      </c>
      <c r="AC37" s="42">
        <f>Funktional!AS18</f>
        <v>2.6955932947469664E-2</v>
      </c>
      <c r="AD37" s="42">
        <f>Funktional!AO18</f>
        <v>5.5760805152388539E-3</v>
      </c>
      <c r="AE37" s="202">
        <f>Funktional!AV18</f>
        <v>3.7826745126873867E-2</v>
      </c>
      <c r="AF37" s="172">
        <f>'Kennzahlen Revision'!C18</f>
        <v>0.1048</v>
      </c>
      <c r="AG37" s="42">
        <f>'Kennzahlen Revision'!D18</f>
        <v>2.0299999999999999E-2</v>
      </c>
      <c r="AH37" s="42">
        <f>Artengliederung!AN18</f>
        <v>3.5446833289736024E-2</v>
      </c>
      <c r="AI37" s="178" t="str">
        <f t="shared" si="8"/>
        <v>Berg</v>
      </c>
    </row>
    <row r="38" spans="1:35" x14ac:dyDescent="0.25">
      <c r="A38" s="41" t="str">
        <f>Funktional!A19</f>
        <v>Berlingen</v>
      </c>
      <c r="B38" s="41" t="str">
        <f>Funktional!B19</f>
        <v>PSG</v>
      </c>
      <c r="C38" s="352">
        <f>Funktional!D19</f>
        <v>73</v>
      </c>
      <c r="D38" s="348">
        <f>Funktional!G19</f>
        <v>11910.675543379373</v>
      </c>
      <c r="E38" s="186">
        <f>Funktional!F19</f>
        <v>289826.4382222314</v>
      </c>
      <c r="F38" s="48">
        <f>Funktional!U19</f>
        <v>7350.7584793982705</v>
      </c>
      <c r="G38" s="48">
        <f>Funktional!T19</f>
        <v>178868.45633202457</v>
      </c>
      <c r="H38" s="48">
        <f>Artengliederung!R19</f>
        <v>306.80484327140204</v>
      </c>
      <c r="I38" s="186">
        <f>Artengliederung!Q19</f>
        <v>7465.5845196041164</v>
      </c>
      <c r="J38" s="48">
        <f>Funktional!Z19</f>
        <v>780.75233207313238</v>
      </c>
      <c r="K38" s="48">
        <f>Funktional!Y19</f>
        <v>18998.306747112889</v>
      </c>
      <c r="L38" s="48">
        <f>'Kennzahlen Revision'!O19</f>
        <v>248.59546742823369</v>
      </c>
      <c r="M38" s="48">
        <f>'Kennzahlen Revision'!N19</f>
        <v>6049.1563740870197</v>
      </c>
      <c r="N38" s="80">
        <f>Funktional!AG19</f>
        <v>46.422899237490242</v>
      </c>
      <c r="O38" s="43">
        <f>Funktional!AF19</f>
        <v>1129.6238814455958</v>
      </c>
      <c r="P38" s="43">
        <f>Funktional!AL19</f>
        <v>667.49000073035563</v>
      </c>
      <c r="Q38" s="43">
        <f>Funktional!AK19</f>
        <v>16242.256684438653</v>
      </c>
      <c r="R38" s="80">
        <f>Funktional!AU19</f>
        <v>576.04362532428752</v>
      </c>
      <c r="S38" s="43">
        <f>Funktional!AT19</f>
        <v>14017.061549557664</v>
      </c>
      <c r="T38" s="80">
        <f>Funktional!AQ19</f>
        <v>119.9518318290304</v>
      </c>
      <c r="U38" s="43">
        <f>Funktional!AP19</f>
        <v>2918.8279078397395</v>
      </c>
      <c r="V38" s="80">
        <f t="shared" si="11"/>
        <v>2369.2563747868066</v>
      </c>
      <c r="W38" s="183">
        <f t="shared" si="11"/>
        <v>57651.905119812283</v>
      </c>
      <c r="X38" s="172">
        <f>Funktional!S19</f>
        <v>0.61715714214751127</v>
      </c>
      <c r="Y38" s="42">
        <f>Funktional!X19</f>
        <v>6.5550633902299413E-2</v>
      </c>
      <c r="Z38" s="42">
        <f>'Kennzahlen Revision'!L19</f>
        <v>2.08716513620772E-2</v>
      </c>
      <c r="AA38" s="42">
        <f>Funktional!AE19</f>
        <v>3.8975874263735368E-3</v>
      </c>
      <c r="AB38" s="42">
        <f>Funktional!AJ19</f>
        <v>5.6041321778879639E-2</v>
      </c>
      <c r="AC38" s="42">
        <f>Funktional!AS19</f>
        <v>4.8363640099699061E-2</v>
      </c>
      <c r="AD38" s="42">
        <f>Funktional!AO19</f>
        <v>1.0070951172514006E-2</v>
      </c>
      <c r="AE38" s="202">
        <f>Funktional!AV19</f>
        <v>0.19891872347272305</v>
      </c>
      <c r="AF38" s="172">
        <f>'Kennzahlen Revision'!C19</f>
        <v>5.79E-2</v>
      </c>
      <c r="AG38" s="42">
        <f>'Kennzahlen Revision'!D19</f>
        <v>5.3600000000000002E-2</v>
      </c>
      <c r="AH38" s="42">
        <f>Artengliederung!AN19</f>
        <v>1.8266347457241299E-2</v>
      </c>
      <c r="AI38" s="178" t="str">
        <f t="shared" si="8"/>
        <v>Berlingen</v>
      </c>
    </row>
    <row r="39" spans="1:35" x14ac:dyDescent="0.25">
      <c r="A39" s="41" t="str">
        <f>Funktional!A20</f>
        <v>Bettwiesen</v>
      </c>
      <c r="B39" s="41" t="str">
        <f>Funktional!B20</f>
        <v>PSG</v>
      </c>
      <c r="C39" s="352">
        <f>Funktional!D20</f>
        <v>115</v>
      </c>
      <c r="D39" s="348">
        <f>Funktional!G20</f>
        <v>11107.682203088061</v>
      </c>
      <c r="E39" s="186">
        <f>Funktional!F20</f>
        <v>212897.24222585451</v>
      </c>
      <c r="F39" s="48">
        <f>Funktional!U20</f>
        <v>6087.7851036634229</v>
      </c>
      <c r="G39" s="48">
        <f>Funktional!T20</f>
        <v>116682.54782021559</v>
      </c>
      <c r="H39" s="48">
        <f>Artengliederung!R20</f>
        <v>324.97727901452981</v>
      </c>
      <c r="I39" s="186">
        <f>Artengliederung!Q20</f>
        <v>6228.7311811118207</v>
      </c>
      <c r="J39" s="48">
        <f>Funktional!Z20</f>
        <v>391.2258387093085</v>
      </c>
      <c r="K39" s="48">
        <f>Funktional!Y20</f>
        <v>7498.4952419284127</v>
      </c>
      <c r="L39" s="48">
        <f>'Kennzahlen Revision'!O20</f>
        <v>144.22058023265174</v>
      </c>
      <c r="M39" s="48">
        <f>'Kennzahlen Revision'!N20</f>
        <v>2764.2277877924917</v>
      </c>
      <c r="N39" s="80">
        <f>Funktional!AG20</f>
        <v>1429.0844452746271</v>
      </c>
      <c r="O39" s="43">
        <f>Funktional!AF20</f>
        <v>27390.78520109702</v>
      </c>
      <c r="P39" s="43">
        <f>Funktional!AL20</f>
        <v>1055.4977554801462</v>
      </c>
      <c r="Q39" s="43">
        <f>Funktional!AK20</f>
        <v>20230.373646702803</v>
      </c>
      <c r="R39" s="80">
        <f>Funktional!AU20</f>
        <v>1595.4133686663326</v>
      </c>
      <c r="S39" s="43">
        <f>Funktional!AT20</f>
        <v>30578.756232771379</v>
      </c>
      <c r="T39" s="80">
        <f>Funktional!AQ20</f>
        <v>19.660952787365542</v>
      </c>
      <c r="U39" s="43">
        <f>Funktional!AP20</f>
        <v>376.83492842450619</v>
      </c>
      <c r="V39" s="80">
        <f t="shared" si="11"/>
        <v>529.01473850685818</v>
      </c>
      <c r="W39" s="183">
        <f t="shared" si="11"/>
        <v>10139.449154714794</v>
      </c>
      <c r="X39" s="172">
        <f>Funktional!S20</f>
        <v>0.54806979461214234</v>
      </c>
      <c r="Y39" s="42">
        <f>Funktional!X20</f>
        <v>3.5221194805208175E-2</v>
      </c>
      <c r="Z39" s="42">
        <f>'Kennzahlen Revision'!L20</f>
        <v>1.2983859062204426E-2</v>
      </c>
      <c r="AA39" s="42">
        <f>Funktional!AE20</f>
        <v>0.12865730394026986</v>
      </c>
      <c r="AB39" s="42">
        <f>Funktional!AJ20</f>
        <v>9.5024122601086475E-2</v>
      </c>
      <c r="AC39" s="42">
        <f>Funktional!AS20</f>
        <v>0.14363152811689101</v>
      </c>
      <c r="AD39" s="42">
        <f>Funktional!AO20</f>
        <v>1.7700319857818379E-3</v>
      </c>
      <c r="AE39" s="202">
        <f>Funktional!AV20</f>
        <v>4.762602393862031E-2</v>
      </c>
      <c r="AF39" s="172">
        <f>'Kennzahlen Revision'!C20</f>
        <v>0.23369999999999999</v>
      </c>
      <c r="AG39" s="42">
        <f>'Kennzahlen Revision'!D20</f>
        <v>0.1132</v>
      </c>
      <c r="AH39" s="42">
        <f>Artengliederung!AN20</f>
        <v>0.46358473089166652</v>
      </c>
      <c r="AI39" s="178" t="str">
        <f t="shared" si="8"/>
        <v>Bettwiesen</v>
      </c>
    </row>
    <row r="40" spans="1:35" x14ac:dyDescent="0.25">
      <c r="A40" s="41" t="str">
        <f>Funktional!A21</f>
        <v>Bichelsee</v>
      </c>
      <c r="B40" s="41" t="str">
        <f>Funktional!B21</f>
        <v>PSG</v>
      </c>
      <c r="C40" s="352">
        <f>Funktional!D21</f>
        <v>101</v>
      </c>
      <c r="D40" s="348">
        <f>Funktional!G21</f>
        <v>10243.300810592656</v>
      </c>
      <c r="E40" s="186">
        <f>Funktional!F21</f>
        <v>206914.67637397168</v>
      </c>
      <c r="F40" s="48">
        <f>Funktional!U21</f>
        <v>6009.3692247135077</v>
      </c>
      <c r="G40" s="48">
        <f>Funktional!T21</f>
        <v>121389.25833921286</v>
      </c>
      <c r="H40" s="48">
        <f>Artengliederung!R21</f>
        <v>324.81511650117824</v>
      </c>
      <c r="I40" s="186">
        <f>Artengliederung!Q21</f>
        <v>6561.2653533237999</v>
      </c>
      <c r="J40" s="48">
        <f>Funktional!Z21</f>
        <v>699.96785810995857</v>
      </c>
      <c r="K40" s="48">
        <f>Funktional!Y21</f>
        <v>14139.350733821164</v>
      </c>
      <c r="L40" s="48">
        <f>'Kennzahlen Revision'!O21</f>
        <v>239.61302194339808</v>
      </c>
      <c r="M40" s="48">
        <f>'Kennzahlen Revision'!N21</f>
        <v>4840.1830432566412</v>
      </c>
      <c r="N40" s="80">
        <f>Funktional!AG21</f>
        <v>658.58238514966592</v>
      </c>
      <c r="O40" s="43">
        <f>Funktional!AF21</f>
        <v>13303.364180023253</v>
      </c>
      <c r="P40" s="43">
        <f>Funktional!AL21</f>
        <v>1493.4923039440491</v>
      </c>
      <c r="Q40" s="43">
        <f>Funktional!AK21</f>
        <v>30168.544539669791</v>
      </c>
      <c r="R40" s="80">
        <f>Funktional!AU21</f>
        <v>870.08691489051057</v>
      </c>
      <c r="S40" s="43">
        <f>Funktional!AT21</f>
        <v>17575.755680788316</v>
      </c>
      <c r="T40" s="80">
        <f>Funktional!AQ21</f>
        <v>15.419524541637617</v>
      </c>
      <c r="U40" s="43">
        <f>Funktional!AP21</f>
        <v>311.47439574107989</v>
      </c>
      <c r="V40" s="80">
        <f t="shared" si="11"/>
        <v>496.38259924332652</v>
      </c>
      <c r="W40" s="183">
        <f t="shared" si="11"/>
        <v>10026.928504715226</v>
      </c>
      <c r="X40" s="172">
        <f>Funktional!S21</f>
        <v>0.58666335547806858</v>
      </c>
      <c r="Y40" s="42">
        <f>Funktional!X21</f>
        <v>6.8334208967691129E-2</v>
      </c>
      <c r="Z40" s="42">
        <f>'Kennzahlen Revision'!L21</f>
        <v>2.3392168830540724E-2</v>
      </c>
      <c r="AA40" s="42">
        <f>Funktional!AE21</f>
        <v>6.4293961226699711E-2</v>
      </c>
      <c r="AB40" s="42">
        <f>Funktional!AJ21</f>
        <v>0.14580185933811687</v>
      </c>
      <c r="AC40" s="42">
        <f>Funktional!AS21</f>
        <v>8.4942044657201579E-2</v>
      </c>
      <c r="AD40" s="42">
        <f>Funktional!AO21</f>
        <v>1.5053277089834361E-3</v>
      </c>
      <c r="AE40" s="202">
        <f>Funktional!AV21</f>
        <v>4.8459242623238682E-2</v>
      </c>
      <c r="AF40" s="172">
        <f>'Kennzahlen Revision'!C21</f>
        <v>9.6799999999999997E-2</v>
      </c>
      <c r="AG40" s="42">
        <f>'Kennzahlen Revision'!D21</f>
        <v>5.9799999999999999E-2</v>
      </c>
      <c r="AH40" s="42">
        <f>Artengliederung!AN21</f>
        <v>0.18164126975469536</v>
      </c>
      <c r="AI40" s="178" t="str">
        <f t="shared" si="8"/>
        <v>Bichelsee</v>
      </c>
    </row>
    <row r="41" spans="1:35" x14ac:dyDescent="0.25">
      <c r="A41" s="41" t="str">
        <f>Funktional!A22</f>
        <v>Bischofszell</v>
      </c>
      <c r="B41" s="41" t="str">
        <f>Funktional!B22</f>
        <v>PSG</v>
      </c>
      <c r="C41" s="352">
        <f>Funktional!D22</f>
        <v>386</v>
      </c>
      <c r="D41" s="348">
        <f>Funktional!G22</f>
        <v>12738.577354657251</v>
      </c>
      <c r="E41" s="186">
        <f>Funktional!F22</f>
        <v>245854.54294488495</v>
      </c>
      <c r="F41" s="48">
        <f>Funktional!U22</f>
        <v>7725.0809592516925</v>
      </c>
      <c r="G41" s="48">
        <f>Funktional!T22</f>
        <v>149094.06251355767</v>
      </c>
      <c r="H41" s="48">
        <f>Artengliederung!R22</f>
        <v>302.29402672238274</v>
      </c>
      <c r="I41" s="186">
        <f>Artengliederung!Q22</f>
        <v>5834.2747157419863</v>
      </c>
      <c r="J41" s="48">
        <f>Funktional!Z22</f>
        <v>688.71308030687874</v>
      </c>
      <c r="K41" s="48">
        <f>Funktional!Y22</f>
        <v>13292.162449922758</v>
      </c>
      <c r="L41" s="48">
        <f>'Kennzahlen Revision'!O22</f>
        <v>196.93454912696177</v>
      </c>
      <c r="M41" s="48">
        <f>'Kennzahlen Revision'!N22</f>
        <v>3800.8367981503625</v>
      </c>
      <c r="N41" s="80">
        <f>Funktional!AG22</f>
        <v>1483.6815900905463</v>
      </c>
      <c r="O41" s="43">
        <f>Funktional!AF22</f>
        <v>28635.054688747543</v>
      </c>
      <c r="P41" s="43">
        <f>Funktional!AL22</f>
        <v>289.58572927410552</v>
      </c>
      <c r="Q41" s="43">
        <f>Funktional!AK22</f>
        <v>5589.0045749902365</v>
      </c>
      <c r="R41" s="80">
        <f>Funktional!AU22</f>
        <v>1403.371836494186</v>
      </c>
      <c r="S41" s="43">
        <f>Funktional!AT22</f>
        <v>27085.076444337792</v>
      </c>
      <c r="T41" s="80">
        <f>Funktional!AQ22</f>
        <v>21.448429996192186</v>
      </c>
      <c r="U41" s="43">
        <f>Funktional!AP22</f>
        <v>413.9546989265092</v>
      </c>
      <c r="V41" s="80">
        <f t="shared" si="11"/>
        <v>1126.6957292436498</v>
      </c>
      <c r="W41" s="183">
        <f t="shared" si="11"/>
        <v>21745.227574402434</v>
      </c>
      <c r="X41" s="172">
        <f>Funktional!S22</f>
        <v>0.60643200132763542</v>
      </c>
      <c r="Y41" s="42">
        <f>Funktional!X22</f>
        <v>5.4065148809971604E-2</v>
      </c>
      <c r="Z41" s="42">
        <f>'Kennzahlen Revision'!L22</f>
        <v>1.545969723651771E-2</v>
      </c>
      <c r="AA41" s="42">
        <f>Funktional!AE22</f>
        <v>0.11647152965225814</v>
      </c>
      <c r="AB41" s="42">
        <f>Funktional!AJ22</f>
        <v>2.2732972545653408E-2</v>
      </c>
      <c r="AC41" s="42">
        <f>Funktional!AS22</f>
        <v>0.11016707732917368</v>
      </c>
      <c r="AD41" s="42">
        <f>Funktional!AO22</f>
        <v>1.6837382542054897E-3</v>
      </c>
      <c r="AE41" s="202">
        <f>Funktional!AV22</f>
        <v>8.8447532081102245E-2</v>
      </c>
      <c r="AF41" s="172">
        <f>'Kennzahlen Revision'!C22</f>
        <v>0.1817</v>
      </c>
      <c r="AG41" s="42">
        <f>'Kennzahlen Revision'!D22</f>
        <v>6.13E-2</v>
      </c>
      <c r="AH41" s="42">
        <f>Artengliederung!AN22</f>
        <v>4.7101620145275858E-2</v>
      </c>
      <c r="AI41" s="178" t="str">
        <f t="shared" si="8"/>
        <v>Bischofszell</v>
      </c>
    </row>
    <row r="42" spans="1:35" x14ac:dyDescent="0.25">
      <c r="A42" s="41" t="str">
        <f>Funktional!A23</f>
        <v>Blidegg</v>
      </c>
      <c r="B42" s="41" t="str">
        <f>Funktional!B23</f>
        <v>PSG</v>
      </c>
      <c r="C42" s="352">
        <f>Funktional!D23</f>
        <v>28</v>
      </c>
      <c r="D42" s="348">
        <f>Funktional!G23</f>
        <v>15309.344642857144</v>
      </c>
      <c r="E42" s="186">
        <f>Funktional!F23</f>
        <v>214330.82500000001</v>
      </c>
      <c r="F42" s="48">
        <f>Funktional!U23</f>
        <v>7601.4749999999995</v>
      </c>
      <c r="G42" s="48">
        <f>Funktional!T23</f>
        <v>106420.65</v>
      </c>
      <c r="H42" s="48">
        <f>Artengliederung!R23</f>
        <v>452.6035714285714</v>
      </c>
      <c r="I42" s="186">
        <f>Artengliederung!Q23</f>
        <v>6336.45</v>
      </c>
      <c r="J42" s="48">
        <f>Funktional!Z23</f>
        <v>817.79107142857151</v>
      </c>
      <c r="K42" s="48">
        <f>Funktional!Y23</f>
        <v>11449.075000000001</v>
      </c>
      <c r="L42" s="48">
        <f>'Kennzahlen Revision'!O23</f>
        <v>341.14285714285717</v>
      </c>
      <c r="M42" s="48">
        <f>'Kennzahlen Revision'!N23</f>
        <v>4776</v>
      </c>
      <c r="N42" s="80">
        <f>Funktional!AG23</f>
        <v>756.95892857142849</v>
      </c>
      <c r="O42" s="43">
        <f>Funktional!AF23</f>
        <v>10597.424999999999</v>
      </c>
      <c r="P42" s="43">
        <f>Funktional!AL23</f>
        <v>1109.805357142857</v>
      </c>
      <c r="Q42" s="43">
        <f>Funktional!AK23</f>
        <v>15537.275</v>
      </c>
      <c r="R42" s="80">
        <f>Funktional!AU23</f>
        <v>488.26607142857148</v>
      </c>
      <c r="S42" s="43">
        <f>Funktional!AT23</f>
        <v>6835.7250000000004</v>
      </c>
      <c r="T42" s="80">
        <f>Funktional!AQ23</f>
        <v>42.903571428571425</v>
      </c>
      <c r="U42" s="43">
        <f>Funktional!AP23</f>
        <v>600.65</v>
      </c>
      <c r="V42" s="80">
        <f t="shared" si="11"/>
        <v>4492.1446428571453</v>
      </c>
      <c r="W42" s="183">
        <f t="shared" si="11"/>
        <v>62890.025000000023</v>
      </c>
      <c r="X42" s="172">
        <f>Funktional!S23</f>
        <v>0.49652517317562694</v>
      </c>
      <c r="Y42" s="42">
        <f>Funktional!X23</f>
        <v>5.3417771335504356E-2</v>
      </c>
      <c r="Z42" s="42">
        <f>'Kennzahlen Revision'!L23</f>
        <v>2.2283308992068686E-2</v>
      </c>
      <c r="AA42" s="42">
        <f>Funktional!AE23</f>
        <v>4.9444241163164461E-2</v>
      </c>
      <c r="AB42" s="42">
        <f>Funktional!AJ23</f>
        <v>7.2492022554385249E-2</v>
      </c>
      <c r="AC42" s="42">
        <f>Funktional!AS23</f>
        <v>3.1893335921232981E-2</v>
      </c>
      <c r="AD42" s="42">
        <f>Funktional!AO23</f>
        <v>2.8024433722960754E-3</v>
      </c>
      <c r="AE42" s="202">
        <f>Funktional!AV23</f>
        <v>0.2934250124777899</v>
      </c>
      <c r="AF42" s="172">
        <f>'Kennzahlen Revision'!C23</f>
        <v>0.40200000000000002</v>
      </c>
      <c r="AG42" s="42">
        <f>'Kennzahlen Revision'!D23</f>
        <v>6.1600000000000002E-2</v>
      </c>
      <c r="AH42" s="42">
        <f>Artengliederung!AN23</f>
        <v>0.27904992200725209</v>
      </c>
      <c r="AI42" s="178" t="str">
        <f t="shared" si="8"/>
        <v>Blidegg</v>
      </c>
    </row>
    <row r="43" spans="1:35" x14ac:dyDescent="0.25">
      <c r="A43" s="41" t="str">
        <f>Funktional!A24</f>
        <v>Bottighofen</v>
      </c>
      <c r="B43" s="41" t="str">
        <f>Funktional!B24</f>
        <v>PSG</v>
      </c>
      <c r="C43" s="352">
        <f>Funktional!D24</f>
        <v>101</v>
      </c>
      <c r="D43" s="348">
        <f>Funktional!G24</f>
        <v>74325.572824929448</v>
      </c>
      <c r="E43" s="186">
        <f>Funktional!F24</f>
        <v>1876720.7138294687</v>
      </c>
      <c r="F43" s="48">
        <f>Funktional!U24</f>
        <v>6970.7839267793915</v>
      </c>
      <c r="G43" s="48">
        <f>Funktional!T24</f>
        <v>176012.29415117964</v>
      </c>
      <c r="H43" s="48">
        <f>Artengliederung!R24</f>
        <v>424.71573942272539</v>
      </c>
      <c r="I43" s="186">
        <f>Artengliederung!Q24</f>
        <v>10724.072420423816</v>
      </c>
      <c r="J43" s="48">
        <f>Funktional!Z24</f>
        <v>978.78445944533269</v>
      </c>
      <c r="K43" s="48">
        <f>Funktional!Y24</f>
        <v>24714.307600994649</v>
      </c>
      <c r="L43" s="48">
        <f>'Kennzahlen Revision'!O24</f>
        <v>223.25639596922193</v>
      </c>
      <c r="M43" s="48">
        <f>'Kennzahlen Revision'!N24</f>
        <v>5637.2239982228539</v>
      </c>
      <c r="N43" s="80">
        <f>Funktional!AG24</f>
        <v>2507.60437619201</v>
      </c>
      <c r="O43" s="43">
        <f>Funktional!AF24</f>
        <v>63317.010498848249</v>
      </c>
      <c r="P43" s="43">
        <f>Funktional!AL24</f>
        <v>2183.6652763240345</v>
      </c>
      <c r="Q43" s="43">
        <f>Funktional!AK24</f>
        <v>55137.548227181876</v>
      </c>
      <c r="R43" s="80">
        <f>Funktional!AU24</f>
        <v>668.49548409753663</v>
      </c>
      <c r="S43" s="43">
        <f>Funktional!AT24</f>
        <v>16879.510973462799</v>
      </c>
      <c r="T43" s="80">
        <f>Funktional!AQ24</f>
        <v>161.01566518993295</v>
      </c>
      <c r="U43" s="43">
        <f>Funktional!AP24</f>
        <v>4065.6455460458069</v>
      </c>
      <c r="V43" s="80">
        <f t="shared" si="11"/>
        <v>60855.223636901217</v>
      </c>
      <c r="W43" s="183">
        <f t="shared" si="11"/>
        <v>1536594.3968317555</v>
      </c>
      <c r="X43" s="172">
        <f>Funktional!S24</f>
        <v>9.3787153759295736E-2</v>
      </c>
      <c r="Y43" s="42">
        <f>Funktional!X24</f>
        <v>1.3168878788876816E-2</v>
      </c>
      <c r="Z43" s="42">
        <f>'Kennzahlen Revision'!L24</f>
        <v>3.0037628703527431E-3</v>
      </c>
      <c r="AA43" s="42">
        <f>Funktional!AE24</f>
        <v>3.3738110328440513E-2</v>
      </c>
      <c r="AB43" s="42">
        <f>Funktional!AJ24</f>
        <v>2.9379730196867238E-2</v>
      </c>
      <c r="AC43" s="42">
        <f>Funktional!AS24</f>
        <v>8.9941517931136257E-3</v>
      </c>
      <c r="AD43" s="42">
        <f>Funktional!AO24</f>
        <v>2.1663561957228116E-3</v>
      </c>
      <c r="AE43" s="202">
        <f>Funktional!AV24</f>
        <v>0.81876561893768329</v>
      </c>
      <c r="AF43" s="172">
        <f>'Kennzahlen Revision'!C24</f>
        <v>3.0300000000000001E-2</v>
      </c>
      <c r="AG43" s="42">
        <f>'Kennzahlen Revision'!D24</f>
        <v>3.8E-3</v>
      </c>
      <c r="AH43" s="42">
        <f>Artengliederung!AN24</f>
        <v>2.2269402024125968E-3</v>
      </c>
      <c r="AI43" s="178" t="str">
        <f t="shared" si="8"/>
        <v>Bottighofen</v>
      </c>
    </row>
    <row r="44" spans="1:35" x14ac:dyDescent="0.25">
      <c r="A44" s="41" t="str">
        <f>Funktional!A25</f>
        <v>Braunau</v>
      </c>
      <c r="B44" s="41" t="str">
        <f>Funktional!B25</f>
        <v>PSG</v>
      </c>
      <c r="C44" s="352">
        <f>Funktional!D25</f>
        <v>63</v>
      </c>
      <c r="D44" s="348">
        <f>Funktional!G25</f>
        <v>11036.53429828982</v>
      </c>
      <c r="E44" s="186">
        <f>Funktional!F25</f>
        <v>231767.22026408624</v>
      </c>
      <c r="F44" s="48">
        <f>Funktional!U25</f>
        <v>7417.4297096784521</v>
      </c>
      <c r="G44" s="48">
        <f>Funktional!T25</f>
        <v>155766.02390324749</v>
      </c>
      <c r="H44" s="48">
        <f>Artengliederung!R25</f>
        <v>242.26248091928053</v>
      </c>
      <c r="I44" s="186">
        <f>Artengliederung!Q25</f>
        <v>5087.5120993048913</v>
      </c>
      <c r="J44" s="48">
        <f>Funktional!Z25</f>
        <v>503.24874836143124</v>
      </c>
      <c r="K44" s="48">
        <f>Funktional!Y25</f>
        <v>10568.223715590057</v>
      </c>
      <c r="L44" s="48">
        <f>'Kennzahlen Revision'!O25</f>
        <v>198.14575619252221</v>
      </c>
      <c r="M44" s="48">
        <f>'Kennzahlen Revision'!N25</f>
        <v>4161.0608800429663</v>
      </c>
      <c r="N44" s="80">
        <f>Funktional!AG25</f>
        <v>874.51399093527596</v>
      </c>
      <c r="O44" s="43">
        <f>Funktional!AF25</f>
        <v>18364.793809640796</v>
      </c>
      <c r="P44" s="43">
        <f>Funktional!AL25</f>
        <v>618.30955330369841</v>
      </c>
      <c r="Q44" s="43">
        <f>Funktional!AK25</f>
        <v>12984.500619377666</v>
      </c>
      <c r="R44" s="80">
        <f>Funktional!AU25</f>
        <v>573.87289888421719</v>
      </c>
      <c r="S44" s="43">
        <f>Funktional!AT25</f>
        <v>12051.33087656856</v>
      </c>
      <c r="T44" s="80">
        <f>Funktional!AQ25</f>
        <v>-23.86241035289946</v>
      </c>
      <c r="U44" s="43">
        <f>Funktional!AP25</f>
        <v>-501.11061741088866</v>
      </c>
      <c r="V44" s="80">
        <f t="shared" si="11"/>
        <v>1073.0218074796442</v>
      </c>
      <c r="W44" s="183">
        <f t="shared" si="11"/>
        <v>22533.457957072558</v>
      </c>
      <c r="X44" s="172">
        <f>Funktional!S25</f>
        <v>0.67207961387188631</v>
      </c>
      <c r="Y44" s="42">
        <f>Funktional!X25</f>
        <v>4.5598440122585654E-2</v>
      </c>
      <c r="Z44" s="42">
        <f>'Kennzahlen Revision'!L25</f>
        <v>1.7953621203644167E-2</v>
      </c>
      <c r="AA44" s="42">
        <f>Funktional!AE25</f>
        <v>7.9238098419246283E-2</v>
      </c>
      <c r="AB44" s="42">
        <f>Funktional!AJ25</f>
        <v>5.6023887263188167E-2</v>
      </c>
      <c r="AC44" s="42">
        <f>Funktional!AS25</f>
        <v>5.1997564033588184E-2</v>
      </c>
      <c r="AD44" s="42">
        <f>Funktional!AO25</f>
        <v>-2.1621289535245763E-3</v>
      </c>
      <c r="AE44" s="202">
        <f>Funktional!AV25</f>
        <v>9.7224525243030019E-2</v>
      </c>
      <c r="AF44" s="172">
        <f>'Kennzahlen Revision'!C25</f>
        <v>0.1114</v>
      </c>
      <c r="AG44" s="42">
        <f>'Kennzahlen Revision'!D25</f>
        <v>3.32E-2</v>
      </c>
      <c r="AH44" s="42">
        <f>Artengliederung!AN25</f>
        <v>0.38289676011695506</v>
      </c>
      <c r="AI44" s="178" t="str">
        <f t="shared" si="8"/>
        <v>Braunau</v>
      </c>
    </row>
    <row r="45" spans="1:35" x14ac:dyDescent="0.25">
      <c r="A45" s="41" t="str">
        <f>Funktional!A26</f>
        <v>Buch bei Frauenfeld</v>
      </c>
      <c r="B45" s="41" t="str">
        <f>Funktional!B26</f>
        <v>PSG</v>
      </c>
      <c r="C45" s="352">
        <f>Funktional!D26</f>
        <v>43</v>
      </c>
      <c r="D45" s="348">
        <f>Funktional!G26</f>
        <v>9899.3162790697661</v>
      </c>
      <c r="E45" s="186">
        <f>Funktional!F26</f>
        <v>212835.3</v>
      </c>
      <c r="F45" s="48">
        <f>Funktional!U26</f>
        <v>6433.8302325581381</v>
      </c>
      <c r="G45" s="48">
        <f>Funktional!T26</f>
        <v>138327.34999999998</v>
      </c>
      <c r="H45" s="48">
        <f>Artengliederung!R26</f>
        <v>327.03139534883724</v>
      </c>
      <c r="I45" s="186">
        <f>Artengliederung!Q26</f>
        <v>7031.1750000000002</v>
      </c>
      <c r="J45" s="48">
        <f>Funktional!Z26</f>
        <v>481.82093023255811</v>
      </c>
      <c r="K45" s="48">
        <f>Funktional!Y26</f>
        <v>10359.15</v>
      </c>
      <c r="L45" s="48">
        <f>'Kennzahlen Revision'!O26</f>
        <v>134.88372093023256</v>
      </c>
      <c r="M45" s="48">
        <f>'Kennzahlen Revision'!N26</f>
        <v>2900</v>
      </c>
      <c r="N45" s="80">
        <f>Funktional!AG26</f>
        <v>303.53488372093022</v>
      </c>
      <c r="O45" s="43">
        <f>Funktional!AF26</f>
        <v>6526</v>
      </c>
      <c r="P45" s="43">
        <f>Funktional!AL26</f>
        <v>1411.3406976744186</v>
      </c>
      <c r="Q45" s="43">
        <f>Funktional!AK26</f>
        <v>30343.825000000001</v>
      </c>
      <c r="R45" s="80">
        <f>Funktional!AU26</f>
        <v>311.77325581395348</v>
      </c>
      <c r="S45" s="43">
        <f>Funktional!AT26</f>
        <v>6703.125</v>
      </c>
      <c r="T45" s="80">
        <f>Funktional!AQ26</f>
        <v>32.623255813953485</v>
      </c>
      <c r="U45" s="43">
        <f>Funktional!AP26</f>
        <v>701.4</v>
      </c>
      <c r="V45" s="80">
        <f t="shared" si="11"/>
        <v>924.393023255814</v>
      </c>
      <c r="W45" s="183">
        <f t="shared" si="11"/>
        <v>19874.450000000008</v>
      </c>
      <c r="X45" s="172">
        <f>Funktional!S26</f>
        <v>0.64992672738027946</v>
      </c>
      <c r="Y45" s="42">
        <f>Funktional!X26</f>
        <v>4.8672142262115352E-2</v>
      </c>
      <c r="Z45" s="42">
        <f>'Kennzahlen Revision'!L26</f>
        <v>1.3625559293970503E-2</v>
      </c>
      <c r="AA45" s="42">
        <f>Funktional!AE26</f>
        <v>3.0662206880155689E-2</v>
      </c>
      <c r="AB45" s="42">
        <f>Funktional!AJ26</f>
        <v>0.14256951267012569</v>
      </c>
      <c r="AC45" s="42">
        <f>Funktional!AS26</f>
        <v>3.1494423152550355E-2</v>
      </c>
      <c r="AD45" s="42">
        <f>Funktional!AO26</f>
        <v>3.2955059616520382E-3</v>
      </c>
      <c r="AE45" s="202">
        <f>Funktional!AV26</f>
        <v>9.3379481693121408E-2</v>
      </c>
      <c r="AF45" s="172">
        <f>'Kennzahlen Revision'!C26</f>
        <v>1.49E-2</v>
      </c>
      <c r="AG45" s="42">
        <f>'Kennzahlen Revision'!D26</f>
        <v>-1.1900000000000001E-2</v>
      </c>
      <c r="AH45" s="42">
        <f>Artengliederung!AN26</f>
        <v>0.40104954394313352</v>
      </c>
      <c r="AI45" s="178" t="str">
        <f t="shared" si="8"/>
        <v>Buch bei Frauenfeld</v>
      </c>
    </row>
    <row r="46" spans="1:35" x14ac:dyDescent="0.25">
      <c r="A46" s="41" t="str">
        <f>Funktional!A27</f>
        <v>Buhwil-Neukirch an der Thur</v>
      </c>
      <c r="B46" s="41" t="str">
        <f>Funktional!B27</f>
        <v>PSG</v>
      </c>
      <c r="C46" s="352">
        <f>Funktional!D27</f>
        <v>80</v>
      </c>
      <c r="D46" s="348">
        <f>Funktional!G27</f>
        <v>12194.24131546896</v>
      </c>
      <c r="E46" s="186">
        <f>Funktional!F27</f>
        <v>243884.82630937919</v>
      </c>
      <c r="F46" s="48">
        <f>Funktional!U27</f>
        <v>7288.4501297666093</v>
      </c>
      <c r="G46" s="48">
        <f>Funktional!T27</f>
        <v>145769.00259533219</v>
      </c>
      <c r="H46" s="48">
        <f>Artengliederung!R27</f>
        <v>270.07267312288752</v>
      </c>
      <c r="I46" s="186">
        <f>Artengliederung!Q27</f>
        <v>5401.45346245775</v>
      </c>
      <c r="J46" s="48">
        <f>Funktional!Z27</f>
        <v>457.45719238407565</v>
      </c>
      <c r="K46" s="48">
        <f>Funktional!Y27</f>
        <v>9149.1438476815129</v>
      </c>
      <c r="L46" s="48">
        <f>'Kennzahlen Revision'!O27</f>
        <v>238.56237396382622</v>
      </c>
      <c r="M46" s="48">
        <f>'Kennzahlen Revision'!N27</f>
        <v>4771.2474792765242</v>
      </c>
      <c r="N46" s="80">
        <f>Funktional!AG27</f>
        <v>542.5453936018705</v>
      </c>
      <c r="O46" s="43">
        <f>Funktional!AF27</f>
        <v>10850.907872037411</v>
      </c>
      <c r="P46" s="43">
        <f>Funktional!AL27</f>
        <v>1608.6012493220928</v>
      </c>
      <c r="Q46" s="43">
        <f>Funktional!AK27</f>
        <v>32172.024986441858</v>
      </c>
      <c r="R46" s="80">
        <f>Funktional!AU27</f>
        <v>510.55625158762712</v>
      </c>
      <c r="S46" s="43">
        <f>Funktional!AT27</f>
        <v>10211.125031752543</v>
      </c>
      <c r="T46" s="80">
        <f>Funktional!AQ27</f>
        <v>39.939630306320495</v>
      </c>
      <c r="U46" s="43">
        <f>Funktional!AP27</f>
        <v>798.79260612640996</v>
      </c>
      <c r="V46" s="80">
        <f t="shared" si="11"/>
        <v>1746.6914685003644</v>
      </c>
      <c r="W46" s="183">
        <f t="shared" si="11"/>
        <v>34933.829370007275</v>
      </c>
      <c r="X46" s="172">
        <f>Funktional!S27</f>
        <v>0.5976960715482047</v>
      </c>
      <c r="Y46" s="42">
        <f>Funktional!X27</f>
        <v>3.7514198755749573E-2</v>
      </c>
      <c r="Z46" s="42">
        <f>'Kennzahlen Revision'!L27</f>
        <v>1.9563527389047059E-2</v>
      </c>
      <c r="AA46" s="42">
        <f>Funktional!AE27</f>
        <v>4.4491935132825899E-2</v>
      </c>
      <c r="AB46" s="42">
        <f>Funktional!AJ27</f>
        <v>0.13191482829534526</v>
      </c>
      <c r="AC46" s="42">
        <f>Funktional!AS27</f>
        <v>4.1868636053639753E-2</v>
      </c>
      <c r="AD46" s="42">
        <f>Funktional!AO27</f>
        <v>3.2752862005162413E-3</v>
      </c>
      <c r="AE46" s="202">
        <f>Funktional!AV27</f>
        <v>0.14323904401371859</v>
      </c>
      <c r="AF46" s="172">
        <f>'Kennzahlen Revision'!C27</f>
        <v>6.9500000000000006E-2</v>
      </c>
      <c r="AG46" s="42">
        <f>'Kennzahlen Revision'!D27</f>
        <v>2.5700000000000001E-2</v>
      </c>
      <c r="AH46" s="42">
        <f>Artengliederung!AN27</f>
        <v>0.58171097197394672</v>
      </c>
      <c r="AI46" s="178" t="str">
        <f t="shared" si="8"/>
        <v>Buhwil-Neukirch an der Thur</v>
      </c>
    </row>
    <row r="47" spans="1:35" x14ac:dyDescent="0.25">
      <c r="A47" s="41" t="str">
        <f>Funktional!A28</f>
        <v>Bürglen</v>
      </c>
      <c r="B47" s="41" t="str">
        <f>Funktional!B28</f>
        <v>PSG</v>
      </c>
      <c r="C47" s="352">
        <f>Funktional!D28</f>
        <v>218</v>
      </c>
      <c r="D47" s="348">
        <f>Funktional!G28</f>
        <v>14275.3990728271</v>
      </c>
      <c r="E47" s="186">
        <f>Funktional!F28</f>
        <v>239387.4613751006</v>
      </c>
      <c r="F47" s="48">
        <f>Funktional!U28</f>
        <v>9733.0394597700142</v>
      </c>
      <c r="G47" s="48">
        <f>Funktional!T28</f>
        <v>163215.58478691254</v>
      </c>
      <c r="H47" s="48">
        <f>Artengliederung!R28</f>
        <v>382.19877477719228</v>
      </c>
      <c r="I47" s="186">
        <f>Artengliederung!Q28</f>
        <v>6409.1794539559933</v>
      </c>
      <c r="J47" s="48">
        <f>Funktional!Z28</f>
        <v>569.96342789562721</v>
      </c>
      <c r="K47" s="48">
        <f>Funktional!Y28</f>
        <v>9557.8482524035953</v>
      </c>
      <c r="L47" s="48">
        <f>'Kennzahlen Revision'!O28</f>
        <v>290.41803671798266</v>
      </c>
      <c r="M47" s="48">
        <f>'Kennzahlen Revision'!N28</f>
        <v>4870.0870772707867</v>
      </c>
      <c r="N47" s="80">
        <f>Funktional!AG28</f>
        <v>1195.6007669683049</v>
      </c>
      <c r="O47" s="43">
        <f>Funktional!AF28</f>
        <v>20049.305169160805</v>
      </c>
      <c r="P47" s="43">
        <f>Funktional!AL28</f>
        <v>1011.9248742097919</v>
      </c>
      <c r="Q47" s="43">
        <f>Funktional!AK28</f>
        <v>16969.201736748819</v>
      </c>
      <c r="R47" s="80">
        <f>Funktional!AU28</f>
        <v>751.65603078737206</v>
      </c>
      <c r="S47" s="43">
        <f>Funktional!AT28</f>
        <v>12604.69343935747</v>
      </c>
      <c r="T47" s="80">
        <f>Funktional!AQ28</f>
        <v>43.450332021891029</v>
      </c>
      <c r="U47" s="43">
        <f>Funktional!AP28</f>
        <v>728.62864467478801</v>
      </c>
      <c r="V47" s="80">
        <f t="shared" ref="V47:W66" si="12">D47-F47-J47-N47-P47-R47-T47</f>
        <v>969.76418117409844</v>
      </c>
      <c r="W47" s="183">
        <f t="shared" si="12"/>
        <v>16262.199345842579</v>
      </c>
      <c r="X47" s="172">
        <f>Funktional!S28</f>
        <v>0.68180506969480348</v>
      </c>
      <c r="Y47" s="42">
        <f>Funktional!X28</f>
        <v>3.992626931043488E-2</v>
      </c>
      <c r="Z47" s="42">
        <f>'Kennzahlen Revision'!L28</f>
        <v>2.034395222412989E-2</v>
      </c>
      <c r="AA47" s="42">
        <f>Funktional!AE28</f>
        <v>8.3752528449036773E-2</v>
      </c>
      <c r="AB47" s="42">
        <f>Funktional!AJ28</f>
        <v>7.0885925433494049E-2</v>
      </c>
      <c r="AC47" s="42">
        <f>Funktional!AS28</f>
        <v>5.2653941718388268E-2</v>
      </c>
      <c r="AD47" s="42">
        <f>Funktional!AO28</f>
        <v>3.04372100564234E-3</v>
      </c>
      <c r="AE47" s="202">
        <f>Funktional!AV28</f>
        <v>6.7932544388200233E-2</v>
      </c>
      <c r="AF47" s="172">
        <f>'Kennzahlen Revision'!C28</f>
        <v>0.13250000000000001</v>
      </c>
      <c r="AG47" s="42">
        <f>'Kennzahlen Revision'!D28</f>
        <v>5.1299999999999998E-2</v>
      </c>
      <c r="AH47" s="42">
        <f>Artengliederung!AN28</f>
        <v>0.33287663372812365</v>
      </c>
      <c r="AI47" s="178" t="str">
        <f t="shared" si="8"/>
        <v>Bürglen</v>
      </c>
    </row>
    <row r="48" spans="1:35" x14ac:dyDescent="0.25">
      <c r="A48" s="41" t="str">
        <f>Funktional!A29</f>
        <v>Bussnang-Rothenhausen</v>
      </c>
      <c r="B48" s="41" t="str">
        <f>Funktional!B29</f>
        <v>PSG</v>
      </c>
      <c r="C48" s="352">
        <f>Funktional!D29</f>
        <v>96</v>
      </c>
      <c r="D48" s="348">
        <f>Funktional!G29</f>
        <v>10481.521811360975</v>
      </c>
      <c r="E48" s="186">
        <f>Funktional!F29</f>
        <v>251556.52347266342</v>
      </c>
      <c r="F48" s="48">
        <f>Funktional!U29</f>
        <v>7049.0419331798339</v>
      </c>
      <c r="G48" s="48">
        <f>Funktional!T29</f>
        <v>169177.00639631602</v>
      </c>
      <c r="H48" s="48">
        <f>Artengliederung!R29</f>
        <v>392.72894346537595</v>
      </c>
      <c r="I48" s="186">
        <f>Artengliederung!Q29</f>
        <v>9425.4946431690223</v>
      </c>
      <c r="J48" s="48">
        <f>Funktional!Z29</f>
        <v>535.64806698043174</v>
      </c>
      <c r="K48" s="48">
        <f>Funktional!Y29</f>
        <v>12855.553607530363</v>
      </c>
      <c r="L48" s="48">
        <f>'Kennzahlen Revision'!O29</f>
        <v>255.62444059998072</v>
      </c>
      <c r="M48" s="48">
        <f>'Kennzahlen Revision'!N29</f>
        <v>6134.9865743995369</v>
      </c>
      <c r="N48" s="80">
        <f>Funktional!AG29</f>
        <v>1116.2768463925825</v>
      </c>
      <c r="O48" s="43">
        <f>Funktional!AF29</f>
        <v>26790.644313421977</v>
      </c>
      <c r="P48" s="43">
        <f>Funktional!AL29</f>
        <v>903.68836757818735</v>
      </c>
      <c r="Q48" s="43">
        <f>Funktional!AK29</f>
        <v>21688.520821876496</v>
      </c>
      <c r="R48" s="80">
        <f>Funktional!AU29</f>
        <v>458.98036608917641</v>
      </c>
      <c r="S48" s="43">
        <f>Funktional!AT29</f>
        <v>11015.528786140234</v>
      </c>
      <c r="T48" s="80">
        <f>Funktional!AQ29</f>
        <v>30.000786062964405</v>
      </c>
      <c r="U48" s="43">
        <f>Funktional!AP29</f>
        <v>720.01886551114569</v>
      </c>
      <c r="V48" s="80">
        <f t="shared" si="12"/>
        <v>387.88544507779898</v>
      </c>
      <c r="W48" s="183">
        <f t="shared" si="12"/>
        <v>9309.2506818671845</v>
      </c>
      <c r="X48" s="172">
        <f>Funktional!S29</f>
        <v>0.672520847644408</v>
      </c>
      <c r="Y48" s="42">
        <f>Funktional!X29</f>
        <v>5.1104035904389382E-2</v>
      </c>
      <c r="Z48" s="42">
        <f>'Kennzahlen Revision'!L29</f>
        <v>2.4388103674306917E-2</v>
      </c>
      <c r="AA48" s="42">
        <f>Funktional!AE29</f>
        <v>0.10649950135891947</v>
      </c>
      <c r="AB48" s="42">
        <f>Funktional!AJ29</f>
        <v>8.6217286367584037E-2</v>
      </c>
      <c r="AC48" s="42">
        <f>Funktional!AS29</f>
        <v>4.3789477744699747E-2</v>
      </c>
      <c r="AD48" s="42">
        <f>Funktional!AO29</f>
        <v>2.8622547949522363E-3</v>
      </c>
      <c r="AE48" s="202">
        <f>Funktional!AV29</f>
        <v>3.7006596185047126E-2</v>
      </c>
      <c r="AF48" s="172">
        <f>'Kennzahlen Revision'!C29</f>
        <v>0.1424</v>
      </c>
      <c r="AG48" s="42">
        <f>'Kennzahlen Revision'!D29</f>
        <v>3.2599999999999997E-2</v>
      </c>
      <c r="AH48" s="42">
        <f>Artengliederung!AN29</f>
        <v>0.10785200501693579</v>
      </c>
      <c r="AI48" s="178" t="str">
        <f t="shared" si="8"/>
        <v>Bussnang-Rothenhausen</v>
      </c>
    </row>
    <row r="49" spans="1:35" x14ac:dyDescent="0.25">
      <c r="A49" s="41" t="str">
        <f>Funktional!A30</f>
        <v>Busswil</v>
      </c>
      <c r="B49" s="41" t="str">
        <f>Funktional!B30</f>
        <v>PSG</v>
      </c>
      <c r="C49" s="352">
        <f>Funktional!D30</f>
        <v>89</v>
      </c>
      <c r="D49" s="348">
        <f>Funktional!G30</f>
        <v>10196.26410525921</v>
      </c>
      <c r="E49" s="186">
        <f>Funktional!F30</f>
        <v>226866.87634201744</v>
      </c>
      <c r="F49" s="48">
        <f>Funktional!U30</f>
        <v>5793.1574874309945</v>
      </c>
      <c r="G49" s="48">
        <f>Funktional!T30</f>
        <v>128897.75409533962</v>
      </c>
      <c r="H49" s="48">
        <f>Artengliederung!R30</f>
        <v>242.99595642842763</v>
      </c>
      <c r="I49" s="186">
        <f>Artengliederung!Q30</f>
        <v>5406.6600305325146</v>
      </c>
      <c r="J49" s="48">
        <f>Funktional!Z30</f>
        <v>405.59243072686883</v>
      </c>
      <c r="K49" s="48">
        <f>Funktional!Y30</f>
        <v>9024.431583672831</v>
      </c>
      <c r="L49" s="48">
        <f>'Kennzahlen Revision'!O30</f>
        <v>193.31583855672227</v>
      </c>
      <c r="M49" s="48">
        <f>'Kennzahlen Revision'!N30</f>
        <v>4301.2774078870707</v>
      </c>
      <c r="N49" s="80">
        <f>Funktional!AG30</f>
        <v>1256.9402406889276</v>
      </c>
      <c r="O49" s="43">
        <f>Funktional!AF30</f>
        <v>27966.920355328639</v>
      </c>
      <c r="P49" s="43">
        <f>Funktional!AL30</f>
        <v>1499.6128099087107</v>
      </c>
      <c r="Q49" s="43">
        <f>Funktional!AK30</f>
        <v>33366.385020468813</v>
      </c>
      <c r="R49" s="80">
        <f>Funktional!AU30</f>
        <v>888.5755838506027</v>
      </c>
      <c r="S49" s="43">
        <f>Funktional!AT30</f>
        <v>19770.806740675911</v>
      </c>
      <c r="T49" s="80">
        <f>Funktional!AQ30</f>
        <v>32.023563569790191</v>
      </c>
      <c r="U49" s="43">
        <f>Funktional!AP30</f>
        <v>712.52428942783183</v>
      </c>
      <c r="V49" s="80">
        <f t="shared" si="12"/>
        <v>320.36198908331539</v>
      </c>
      <c r="W49" s="183">
        <f t="shared" si="12"/>
        <v>7128.0542571037868</v>
      </c>
      <c r="X49" s="172">
        <f>Funktional!S30</f>
        <v>0.56816471480401298</v>
      </c>
      <c r="Y49" s="42">
        <f>Funktional!X30</f>
        <v>3.9778533249022564E-2</v>
      </c>
      <c r="Z49" s="42">
        <f>'Kennzahlen Revision'!L30</f>
        <v>1.8959477369462251E-2</v>
      </c>
      <c r="AA49" s="42">
        <f>Funktional!AE30</f>
        <v>0.12327458642823901</v>
      </c>
      <c r="AB49" s="42">
        <f>Funktional!AJ30</f>
        <v>0.14707473192413814</v>
      </c>
      <c r="AC49" s="42">
        <f>Funktional!AS30</f>
        <v>8.7147172207149612E-2</v>
      </c>
      <c r="AD49" s="42">
        <f>Funktional!AO30</f>
        <v>3.1407153874400441E-3</v>
      </c>
      <c r="AE49" s="202">
        <f>Funktional!AV30</f>
        <v>3.1419545999997633E-2</v>
      </c>
      <c r="AF49" s="172">
        <f>'Kennzahlen Revision'!C30</f>
        <v>0.22750000000000001</v>
      </c>
      <c r="AG49" s="42">
        <f>'Kennzahlen Revision'!D30</f>
        <v>0.1</v>
      </c>
      <c r="AH49" s="42">
        <f>Artengliederung!AN30</f>
        <v>0.33122584900541563</v>
      </c>
      <c r="AI49" s="178" t="str">
        <f t="shared" si="8"/>
        <v>Busswil</v>
      </c>
    </row>
    <row r="50" spans="1:35" x14ac:dyDescent="0.25">
      <c r="A50" s="41" t="str">
        <f>Funktional!A31</f>
        <v>Dettighofen-Lanzenneunforn</v>
      </c>
      <c r="B50" s="41" t="str">
        <f>Funktional!B31</f>
        <v>PSG</v>
      </c>
      <c r="C50" s="352">
        <f>Funktional!D31</f>
        <v>91</v>
      </c>
      <c r="D50" s="348">
        <f>Funktional!G31</f>
        <v>9855.0328570594775</v>
      </c>
      <c r="E50" s="186">
        <f>Funktional!F31</f>
        <v>256230.85428354639</v>
      </c>
      <c r="F50" s="48">
        <f>Funktional!U31</f>
        <v>5465.3587433649773</v>
      </c>
      <c r="G50" s="48">
        <f>Funktional!T31</f>
        <v>142099.32732748942</v>
      </c>
      <c r="H50" s="48">
        <f>Artengliederung!R31</f>
        <v>300.80601466159322</v>
      </c>
      <c r="I50" s="186">
        <f>Artengliederung!Q31</f>
        <v>7820.9563812014239</v>
      </c>
      <c r="J50" s="48">
        <f>Funktional!Z31</f>
        <v>394.59852879067364</v>
      </c>
      <c r="K50" s="48">
        <f>Funktional!Y31</f>
        <v>10259.561748557515</v>
      </c>
      <c r="L50" s="48">
        <f>'Kennzahlen Revision'!O31</f>
        <v>154.93272687816349</v>
      </c>
      <c r="M50" s="48">
        <f>'Kennzahlen Revision'!N31</f>
        <v>4028.2508988322511</v>
      </c>
      <c r="N50" s="80">
        <f>Funktional!AG31</f>
        <v>1381.193173459415</v>
      </c>
      <c r="O50" s="43">
        <f>Funktional!AF31</f>
        <v>35911.022509944793</v>
      </c>
      <c r="P50" s="43">
        <f>Funktional!AL31</f>
        <v>503.59874433879799</v>
      </c>
      <c r="Q50" s="43">
        <f>Funktional!AK31</f>
        <v>13093.567352808748</v>
      </c>
      <c r="R50" s="80">
        <f>Funktional!AU31</f>
        <v>0</v>
      </c>
      <c r="S50" s="43">
        <f>Funktional!AT31</f>
        <v>0</v>
      </c>
      <c r="T50" s="80">
        <f>Funktional!AQ31</f>
        <v>43.968349393137046</v>
      </c>
      <c r="U50" s="43">
        <f>Funktional!AP31</f>
        <v>1143.1770842215633</v>
      </c>
      <c r="V50" s="80">
        <f t="shared" si="12"/>
        <v>2066.3153177124764</v>
      </c>
      <c r="W50" s="183">
        <f t="shared" si="12"/>
        <v>53724.198260524339</v>
      </c>
      <c r="X50" s="172">
        <f>Funktional!S31</f>
        <v>0.55457539539809497</v>
      </c>
      <c r="Y50" s="42">
        <f>Funktional!X31</f>
        <v>4.0040305751797671E-2</v>
      </c>
      <c r="Z50" s="42">
        <f>'Kennzahlen Revision'!L31</f>
        <v>1.5721178115320054E-2</v>
      </c>
      <c r="AA50" s="42">
        <f>Funktional!AE31</f>
        <v>0.14015104703278813</v>
      </c>
      <c r="AB50" s="42">
        <f>Funktional!AJ31</f>
        <v>5.1100666191899506E-2</v>
      </c>
      <c r="AC50" s="42">
        <f>Funktional!AS31</f>
        <v>0</v>
      </c>
      <c r="AD50" s="42">
        <f>Funktional!AO31</f>
        <v>4.4615122070994521E-3</v>
      </c>
      <c r="AE50" s="202">
        <f>Funktional!AV31</f>
        <v>0.20967107341832025</v>
      </c>
      <c r="AF50" s="172">
        <f>'Kennzahlen Revision'!C31</f>
        <v>0.15379999999999999</v>
      </c>
      <c r="AG50" s="42">
        <f>'Kennzahlen Revision'!D31</f>
        <v>2.7900000000000001E-2</v>
      </c>
      <c r="AH50" s="42">
        <f>Artengliederung!AN31</f>
        <v>0.49832650849704097</v>
      </c>
      <c r="AI50" s="178" t="str">
        <f t="shared" si="8"/>
        <v>Dettighofen-Lanzenneunforn</v>
      </c>
    </row>
    <row r="51" spans="1:35" x14ac:dyDescent="0.25">
      <c r="A51" s="41" t="str">
        <f>Funktional!A32</f>
        <v>Diessenhofen</v>
      </c>
      <c r="B51" s="41" t="str">
        <f>Funktional!B32</f>
        <v>PSG</v>
      </c>
      <c r="C51" s="352">
        <f>Funktional!D32</f>
        <v>233</v>
      </c>
      <c r="D51" s="348">
        <f>Funktional!G32</f>
        <v>11082.267360438416</v>
      </c>
      <c r="E51" s="186">
        <f>Funktional!F32</f>
        <v>234742.57227110464</v>
      </c>
      <c r="F51" s="48">
        <f>Funktional!U32</f>
        <v>7933.2644010874392</v>
      </c>
      <c r="G51" s="48">
        <f>Funktional!T32</f>
        <v>168040.96413212485</v>
      </c>
      <c r="H51" s="48">
        <f>Artengliederung!R32</f>
        <v>138.70087892773213</v>
      </c>
      <c r="I51" s="186">
        <f>Artengliederung!Q32</f>
        <v>2937.9367991055992</v>
      </c>
      <c r="J51" s="48">
        <f>Funktional!Z32</f>
        <v>554.86136819455407</v>
      </c>
      <c r="K51" s="48">
        <f>Funktional!Y32</f>
        <v>11752.972617211919</v>
      </c>
      <c r="L51" s="48">
        <f>'Kennzahlen Revision'!O32</f>
        <v>173.86023023019203</v>
      </c>
      <c r="M51" s="48">
        <f>'Kennzahlen Revision'!N32</f>
        <v>3682.6757857849766</v>
      </c>
      <c r="N51" s="80">
        <f>Funktional!AG32</f>
        <v>336.63296889451618</v>
      </c>
      <c r="O51" s="43">
        <f>Funktional!AF32</f>
        <v>7130.4983411292978</v>
      </c>
      <c r="P51" s="43">
        <f>Funktional!AL32</f>
        <v>802.41502924115628</v>
      </c>
      <c r="Q51" s="43">
        <f>Funktional!AK32</f>
        <v>16996.60925574449</v>
      </c>
      <c r="R51" s="80">
        <f>Funktional!AU32</f>
        <v>288.90701283891474</v>
      </c>
      <c r="S51" s="43">
        <f>Funktional!AT32</f>
        <v>6119.5758174061039</v>
      </c>
      <c r="T51" s="80">
        <f>Funktional!AQ32</f>
        <v>46.568545931479164</v>
      </c>
      <c r="U51" s="43">
        <f>Funktional!AP32</f>
        <v>986.40647291224047</v>
      </c>
      <c r="V51" s="80">
        <f t="shared" si="12"/>
        <v>1119.6180342503567</v>
      </c>
      <c r="W51" s="183">
        <f t="shared" si="12"/>
        <v>23715.545634575737</v>
      </c>
      <c r="X51" s="172">
        <f>Funktional!S32</f>
        <v>0.71585210346103745</v>
      </c>
      <c r="Y51" s="42">
        <f>Funktional!X32</f>
        <v>5.0067495228936949E-2</v>
      </c>
      <c r="Z51" s="42">
        <f>'Kennzahlen Revision'!L32</f>
        <v>1.5688146168611663E-2</v>
      </c>
      <c r="AA51" s="42">
        <f>Funktional!AE32</f>
        <v>3.0375820935003947E-2</v>
      </c>
      <c r="AB51" s="42">
        <f>Funktional!AJ32</f>
        <v>7.2405312301490304E-2</v>
      </c>
      <c r="AC51" s="42">
        <f>Funktional!AS32</f>
        <v>2.6069305444683437E-2</v>
      </c>
      <c r="AD51" s="42">
        <f>Funktional!AO32</f>
        <v>4.2020774645556737E-3</v>
      </c>
      <c r="AE51" s="202">
        <f>Funktional!AV32</f>
        <v>0.10102788516429226</v>
      </c>
      <c r="AF51" s="172">
        <f>'Kennzahlen Revision'!C32</f>
        <v>-2.35E-2</v>
      </c>
      <c r="AG51" s="42">
        <f>'Kennzahlen Revision'!D32</f>
        <v>-4.99E-2</v>
      </c>
      <c r="AH51" s="42">
        <f>Artengliederung!AN32</f>
        <v>2.935321621714054E-2</v>
      </c>
      <c r="AI51" s="178" t="str">
        <f t="shared" si="8"/>
        <v>Diessenhofen</v>
      </c>
    </row>
    <row r="52" spans="1:35" x14ac:dyDescent="0.25">
      <c r="A52" s="41" t="str">
        <f>Funktional!A33</f>
        <v>Dingetswil</v>
      </c>
      <c r="B52" s="41" t="str">
        <f>Funktional!B33</f>
        <v>PSG</v>
      </c>
      <c r="C52" s="348" t="s">
        <v>40</v>
      </c>
      <c r="D52"/>
      <c r="E52" s="186"/>
      <c r="F52" s="48"/>
      <c r="G52" s="48"/>
      <c r="H52" s="48"/>
      <c r="I52" s="186"/>
      <c r="J52" s="48"/>
      <c r="K52" s="48"/>
      <c r="L52" s="48"/>
      <c r="M52" s="48"/>
      <c r="N52" s="80"/>
      <c r="O52" s="43"/>
      <c r="P52" s="43"/>
      <c r="Q52" s="43"/>
      <c r="R52" s="80"/>
      <c r="S52" s="43"/>
      <c r="T52" s="80"/>
      <c r="U52" s="43"/>
      <c r="V52" s="80"/>
      <c r="W52" s="183"/>
      <c r="X52" s="172"/>
      <c r="Y52" s="42"/>
      <c r="Z52" s="42"/>
      <c r="AA52" s="42"/>
      <c r="AB52" s="42"/>
      <c r="AC52" s="42"/>
      <c r="AD52" s="42"/>
      <c r="AE52" s="202"/>
      <c r="AF52" s="172"/>
      <c r="AG52" s="42"/>
      <c r="AH52" s="42"/>
      <c r="AI52" s="178" t="str">
        <f t="shared" si="8"/>
        <v>Dingetswil</v>
      </c>
    </row>
    <row r="53" spans="1:35" x14ac:dyDescent="0.25">
      <c r="A53" s="41" t="str">
        <f>Funktional!A34</f>
        <v>Donzhausen</v>
      </c>
      <c r="B53" s="41" t="str">
        <f>Funktional!B34</f>
        <v>PSG</v>
      </c>
      <c r="C53" s="352">
        <f>Funktional!D34</f>
        <v>36</v>
      </c>
      <c r="D53" s="348">
        <f>Funktional!G34</f>
        <v>14651.277574391677</v>
      </c>
      <c r="E53" s="186">
        <f>Funktional!F34</f>
        <v>263722.99633905018</v>
      </c>
      <c r="F53" s="48">
        <f>Funktional!U34</f>
        <v>8119.5221636175202</v>
      </c>
      <c r="G53" s="48">
        <f>Funktional!T34</f>
        <v>146151.39894511536</v>
      </c>
      <c r="H53" s="48">
        <f>Artengliederung!R34</f>
        <v>123.82275456961354</v>
      </c>
      <c r="I53" s="186">
        <f>Artengliederung!Q34</f>
        <v>2228.8095822530436</v>
      </c>
      <c r="J53" s="48">
        <f>Funktional!Z34</f>
        <v>631.85312009918846</v>
      </c>
      <c r="K53" s="48">
        <f>Funktional!Y34</f>
        <v>11373.356161785392</v>
      </c>
      <c r="L53" s="48">
        <f>'Kennzahlen Revision'!O34</f>
        <v>285.75112422076495</v>
      </c>
      <c r="M53" s="48">
        <f>'Kennzahlen Revision'!N34</f>
        <v>5143.5202359737686</v>
      </c>
      <c r="N53" s="80">
        <f>Funktional!AG34</f>
        <v>1342.0933949057239</v>
      </c>
      <c r="O53" s="43">
        <f>Funktional!AF34</f>
        <v>24157.68110830303</v>
      </c>
      <c r="P53" s="43">
        <f>Funktional!AL34</f>
        <v>429.56357526301878</v>
      </c>
      <c r="Q53" s="43">
        <f>Funktional!AK34</f>
        <v>7732.1443547343379</v>
      </c>
      <c r="R53" s="80">
        <f>Funktional!AU34</f>
        <v>1335.1451923647328</v>
      </c>
      <c r="S53" s="43">
        <f>Funktional!AT34</f>
        <v>24032.61346256519</v>
      </c>
      <c r="T53" s="80">
        <f>Funktional!AQ34</f>
        <v>82.494241562438134</v>
      </c>
      <c r="U53" s="43">
        <f>Funktional!AP34</f>
        <v>1484.8963481238864</v>
      </c>
      <c r="V53" s="80">
        <f t="shared" si="12"/>
        <v>2710.6058865790556</v>
      </c>
      <c r="W53" s="183">
        <f t="shared" si="12"/>
        <v>48790.905958422969</v>
      </c>
      <c r="X53" s="172">
        <f>Funktional!S34</f>
        <v>0.55418526626027997</v>
      </c>
      <c r="Y53" s="42">
        <f>Funktional!X34</f>
        <v>4.3126144931113497E-2</v>
      </c>
      <c r="Z53" s="42">
        <f>'Kennzahlen Revision'!L34</f>
        <v>1.9503495362084788E-2</v>
      </c>
      <c r="AA53" s="42">
        <f>Funktional!AE34</f>
        <v>9.1602482315365441E-2</v>
      </c>
      <c r="AB53" s="42">
        <f>Funktional!AJ34</f>
        <v>2.9319188929560248E-2</v>
      </c>
      <c r="AC53" s="42">
        <f>Funktional!AS34</f>
        <v>9.1128243635106215E-2</v>
      </c>
      <c r="AD53" s="42">
        <f>Funktional!AO34</f>
        <v>5.6305152327894041E-3</v>
      </c>
      <c r="AE53" s="202">
        <f>Funktional!AV34</f>
        <v>0.18500815869578521</v>
      </c>
      <c r="AF53" s="172">
        <f>'Kennzahlen Revision'!C34</f>
        <v>0.1361</v>
      </c>
      <c r="AG53" s="42">
        <f>'Kennzahlen Revision'!D34</f>
        <v>3.7999999999999999E-2</v>
      </c>
      <c r="AH53" s="42">
        <f>Artengliederung!AN34</f>
        <v>0.60999100121513172</v>
      </c>
      <c r="AI53" s="178" t="str">
        <f t="shared" si="8"/>
        <v>Donzhausen</v>
      </c>
    </row>
    <row r="54" spans="1:35" x14ac:dyDescent="0.25">
      <c r="A54" s="41" t="str">
        <f>Funktional!A35</f>
        <v>Dozwil</v>
      </c>
      <c r="B54" s="41" t="str">
        <f>Funktional!B35</f>
        <v>PSG</v>
      </c>
      <c r="C54" s="352">
        <f>Funktional!D35</f>
        <v>48</v>
      </c>
      <c r="D54" s="348">
        <f>Funktional!G35</f>
        <v>9947.4906250000004</v>
      </c>
      <c r="E54" s="186">
        <f>Funktional!F35</f>
        <v>238739.77499999999</v>
      </c>
      <c r="F54" s="48">
        <f>Funktional!U35</f>
        <v>5864.2333333333336</v>
      </c>
      <c r="G54" s="48">
        <f>Funktional!T35</f>
        <v>140741.6</v>
      </c>
      <c r="H54" s="48">
        <f>Artengliederung!R35</f>
        <v>337.25104166666665</v>
      </c>
      <c r="I54" s="186">
        <f>Artengliederung!Q35</f>
        <v>8094.0249999999996</v>
      </c>
      <c r="J54" s="48">
        <f>Funktional!Z35</f>
        <v>641.73854166666672</v>
      </c>
      <c r="K54" s="48">
        <f>Funktional!Y35</f>
        <v>15401.725</v>
      </c>
      <c r="L54" s="48">
        <f>'Kennzahlen Revision'!O35</f>
        <v>279.16666666666669</v>
      </c>
      <c r="M54" s="48">
        <f>'Kennzahlen Revision'!N35</f>
        <v>6700</v>
      </c>
      <c r="N54" s="80">
        <f>Funktional!AG35</f>
        <v>1298.2291666666667</v>
      </c>
      <c r="O54" s="43">
        <f>Funktional!AF35</f>
        <v>31157.5</v>
      </c>
      <c r="P54" s="43">
        <f>Funktional!AL35</f>
        <v>885.05000000000007</v>
      </c>
      <c r="Q54" s="43">
        <f>Funktional!AK35</f>
        <v>21241.200000000001</v>
      </c>
      <c r="R54" s="80">
        <f>Funktional!AU35</f>
        <v>1085.078125</v>
      </c>
      <c r="S54" s="43">
        <f>Funktional!AT35</f>
        <v>26041.875</v>
      </c>
      <c r="T54" s="80">
        <f>Funktional!AQ35</f>
        <v>41.05104166666667</v>
      </c>
      <c r="U54" s="43">
        <f>Funktional!AP35</f>
        <v>985.22500000000002</v>
      </c>
      <c r="V54" s="80">
        <f t="shared" si="12"/>
        <v>132.11041666666637</v>
      </c>
      <c r="W54" s="183">
        <f t="shared" si="12"/>
        <v>3170.6499999999819</v>
      </c>
      <c r="X54" s="172">
        <f>Funktional!S35</f>
        <v>0.58951886002238219</v>
      </c>
      <c r="Y54" s="42">
        <f>Funktional!X35</f>
        <v>6.4512605827830749E-2</v>
      </c>
      <c r="Z54" s="42">
        <f>'Kennzahlen Revision'!L35</f>
        <v>2.8064029129624506E-2</v>
      </c>
      <c r="AA54" s="42">
        <f>Funktional!AE35</f>
        <v>0.13050820710541425</v>
      </c>
      <c r="AB54" s="42">
        <f>Funktional!AJ35</f>
        <v>8.8972187395250757E-2</v>
      </c>
      <c r="AC54" s="42">
        <f>Funktional!AS35</f>
        <v>0.10908058784925972</v>
      </c>
      <c r="AD54" s="42">
        <f>Funktional!AO35</f>
        <v>4.126773596900642E-3</v>
      </c>
      <c r="AE54" s="202">
        <f>Funktional!AV35</f>
        <v>1.3280778202961696E-2</v>
      </c>
      <c r="AF54" s="172">
        <f>'Kennzahlen Revision'!C35</f>
        <v>0.1903</v>
      </c>
      <c r="AG54" s="42">
        <f>'Kennzahlen Revision'!D35</f>
        <v>9.64E-2</v>
      </c>
      <c r="AH54" s="42">
        <f>Artengliederung!AN35</f>
        <v>0.45065385522793594</v>
      </c>
      <c r="AI54" s="178" t="str">
        <f t="shared" si="8"/>
        <v>Dozwil</v>
      </c>
    </row>
    <row r="55" spans="1:35" x14ac:dyDescent="0.25">
      <c r="A55" s="41" t="str">
        <f>Funktional!A36</f>
        <v>Dussnang-Oberwangen</v>
      </c>
      <c r="B55" s="41" t="str">
        <f>Funktional!B36</f>
        <v>PSG</v>
      </c>
      <c r="C55" s="352">
        <f>Funktional!D36</f>
        <v>180</v>
      </c>
      <c r="D55" s="348">
        <f>Funktional!G36</f>
        <v>10558.594960924005</v>
      </c>
      <c r="E55" s="186">
        <f>Funktional!F36</f>
        <v>211171.8992184801</v>
      </c>
      <c r="F55" s="48">
        <f>Funktional!U36</f>
        <v>7360.2803676005569</v>
      </c>
      <c r="G55" s="48">
        <f>Funktional!T36</f>
        <v>147205.60735201114</v>
      </c>
      <c r="H55" s="48">
        <f>Artengliederung!R36</f>
        <v>240.21062264781818</v>
      </c>
      <c r="I55" s="186">
        <f>Artengliederung!Q36</f>
        <v>4804.2124529563634</v>
      </c>
      <c r="J55" s="48">
        <f>Funktional!Z36</f>
        <v>409.52606027476679</v>
      </c>
      <c r="K55" s="48">
        <f>Funktional!Y36</f>
        <v>8190.5212054953363</v>
      </c>
      <c r="L55" s="48">
        <f>'Kennzahlen Revision'!O36</f>
        <v>169.62843957001894</v>
      </c>
      <c r="M55" s="48">
        <f>'Kennzahlen Revision'!N36</f>
        <v>3392.5687914003788</v>
      </c>
      <c r="N55" s="80">
        <f>Funktional!AG36</f>
        <v>800.24212428061003</v>
      </c>
      <c r="O55" s="43">
        <f>Funktional!AF36</f>
        <v>16004.8424856122</v>
      </c>
      <c r="P55" s="43">
        <f>Funktional!AL36</f>
        <v>907.29123796513386</v>
      </c>
      <c r="Q55" s="43">
        <f>Funktional!AK36</f>
        <v>18145.824759302675</v>
      </c>
      <c r="R55" s="80">
        <f>Funktional!AU36</f>
        <v>591.27756962572187</v>
      </c>
      <c r="S55" s="43">
        <f>Funktional!AT36</f>
        <v>11825.551392514439</v>
      </c>
      <c r="T55" s="80">
        <f>Funktional!AQ36</f>
        <v>51.965425097672401</v>
      </c>
      <c r="U55" s="43">
        <f>Funktional!AP36</f>
        <v>1039.3085019534481</v>
      </c>
      <c r="V55" s="80">
        <f t="shared" si="12"/>
        <v>438.01217607954351</v>
      </c>
      <c r="W55" s="183">
        <f t="shared" si="12"/>
        <v>8760.2435215908645</v>
      </c>
      <c r="X55" s="172">
        <f>Funktional!S36</f>
        <v>0.69708899667427371</v>
      </c>
      <c r="Y55" s="42">
        <f>Funktional!X36</f>
        <v>3.8786037516390183E-2</v>
      </c>
      <c r="Z55" s="42">
        <f>'Kennzahlen Revision'!L36</f>
        <v>1.6065436755344047E-2</v>
      </c>
      <c r="AA55" s="42">
        <f>Funktional!AE36</f>
        <v>7.5790588354056831E-2</v>
      </c>
      <c r="AB55" s="42">
        <f>Funktional!AJ36</f>
        <v>8.5929163996052646E-2</v>
      </c>
      <c r="AC55" s="42">
        <f>Funktional!AS36</f>
        <v>5.5999645010909475E-2</v>
      </c>
      <c r="AD55" s="42">
        <f>Funktional!AO36</f>
        <v>4.9216231222042068E-3</v>
      </c>
      <c r="AE55" s="202">
        <f>Funktional!AV36</f>
        <v>4.1483945326112916E-2</v>
      </c>
      <c r="AF55" s="172">
        <f>'Kennzahlen Revision'!C36</f>
        <v>0.1181</v>
      </c>
      <c r="AG55" s="42">
        <f>'Kennzahlen Revision'!D36</f>
        <v>5.0799999999999998E-2</v>
      </c>
      <c r="AH55" s="42">
        <f>Artengliederung!AN36</f>
        <v>0.51993468794547615</v>
      </c>
      <c r="AI55" s="178" t="str">
        <f t="shared" ref="AI55:AI75" si="13">A55</f>
        <v>Dussnang-Oberwangen</v>
      </c>
    </row>
    <row r="56" spans="1:35" x14ac:dyDescent="0.25">
      <c r="A56" s="41" t="str">
        <f>Funktional!A37</f>
        <v>Egg</v>
      </c>
      <c r="B56" s="41" t="str">
        <f>Funktional!B37</f>
        <v>PSG</v>
      </c>
      <c r="C56" s="352">
        <f>Funktional!D37</f>
        <v>83</v>
      </c>
      <c r="D56" s="348">
        <f>Funktional!G37</f>
        <v>9077.8411569899454</v>
      </c>
      <c r="E56" s="186">
        <f>Funktional!F37</f>
        <v>188365.20400754138</v>
      </c>
      <c r="F56" s="48">
        <f>Funktional!U37</f>
        <v>6145.9080429738187</v>
      </c>
      <c r="G56" s="48">
        <f>Funktional!T37</f>
        <v>127527.59189170673</v>
      </c>
      <c r="H56" s="48">
        <f>Artengliederung!R37</f>
        <v>271.02278652657901</v>
      </c>
      <c r="I56" s="186">
        <f>Artengliederung!Q37</f>
        <v>5623.7228204265148</v>
      </c>
      <c r="J56" s="48">
        <f>Funktional!Z37</f>
        <v>599.44366157814386</v>
      </c>
      <c r="K56" s="48">
        <f>Funktional!Y37</f>
        <v>12438.455977746486</v>
      </c>
      <c r="L56" s="48">
        <f>'Kennzahlen Revision'!O37</f>
        <v>209.21540450169314</v>
      </c>
      <c r="M56" s="48">
        <f>'Kennzahlen Revision'!N37</f>
        <v>4341.2196434101324</v>
      </c>
      <c r="N56" s="80">
        <f>Funktional!AG37</f>
        <v>207.32300385795924</v>
      </c>
      <c r="O56" s="43">
        <f>Funktional!AF37</f>
        <v>4301.9523300526544</v>
      </c>
      <c r="P56" s="43">
        <f>Funktional!AL37</f>
        <v>1493.8768381689113</v>
      </c>
      <c r="Q56" s="43">
        <f>Funktional!AK37</f>
        <v>30997.944392004909</v>
      </c>
      <c r="R56" s="80">
        <f>Funktional!AU37</f>
        <v>316.66433605236796</v>
      </c>
      <c r="S56" s="43">
        <f>Funktional!AT37</f>
        <v>6570.7849730866355</v>
      </c>
      <c r="T56" s="80">
        <f>Funktional!AQ37</f>
        <v>33.36775435063813</v>
      </c>
      <c r="U56" s="43">
        <f>Funktional!AP37</f>
        <v>692.38090277574122</v>
      </c>
      <c r="V56" s="80">
        <f t="shared" si="12"/>
        <v>281.2575200081065</v>
      </c>
      <c r="W56" s="183">
        <f t="shared" si="12"/>
        <v>5836.0935401682191</v>
      </c>
      <c r="X56" s="172">
        <f>Funktional!S37</f>
        <v>0.677023086952944</v>
      </c>
      <c r="Y56" s="42">
        <f>Funktional!X37</f>
        <v>6.6033724451828688E-2</v>
      </c>
      <c r="Z56" s="42">
        <f>'Kennzahlen Revision'!L37</f>
        <v>2.3046823675758756E-2</v>
      </c>
      <c r="AA56" s="42">
        <f>Funktional!AE37</f>
        <v>2.2838359944018224E-2</v>
      </c>
      <c r="AB56" s="42">
        <f>Funktional!AJ37</f>
        <v>0.16456300703374002</v>
      </c>
      <c r="AC56" s="42">
        <f>Funktional!AS37</f>
        <v>3.4883220644209678E-2</v>
      </c>
      <c r="AD56" s="42">
        <f>Funktional!AO37</f>
        <v>3.6757367499149212E-3</v>
      </c>
      <c r="AE56" s="202">
        <f>Funktional!AV37</f>
        <v>3.0982864223344453E-2</v>
      </c>
      <c r="AF56" s="172">
        <f>'Kennzahlen Revision'!C37</f>
        <v>4.3299999999999998E-2</v>
      </c>
      <c r="AG56" s="42">
        <f>'Kennzahlen Revision'!D37</f>
        <v>2.1600000000000001E-2</v>
      </c>
      <c r="AH56" s="42">
        <f>Artengliederung!AN37</f>
        <v>0.51129662066972326</v>
      </c>
      <c r="AI56" s="178" t="str">
        <f t="shared" si="13"/>
        <v>Egg</v>
      </c>
    </row>
    <row r="57" spans="1:35" x14ac:dyDescent="0.25">
      <c r="A57" s="41" t="str">
        <f>Funktional!A38</f>
        <v>Eggethof</v>
      </c>
      <c r="B57" s="41" t="str">
        <f>Funktional!B38</f>
        <v>PSG</v>
      </c>
      <c r="C57" s="352">
        <f>Funktional!D38</f>
        <v>38</v>
      </c>
      <c r="D57" s="348">
        <f>Funktional!G38</f>
        <v>11679.796052631578</v>
      </c>
      <c r="E57" s="186">
        <f>Funktional!F38</f>
        <v>221916.125</v>
      </c>
      <c r="F57" s="48">
        <f>Funktional!U38</f>
        <v>8168.9052631578952</v>
      </c>
      <c r="G57" s="48">
        <f>Funktional!T38</f>
        <v>155209.20000000001</v>
      </c>
      <c r="H57" s="48">
        <f>Artengliederung!R38</f>
        <v>287.54473684210529</v>
      </c>
      <c r="I57" s="186">
        <f>Artengliederung!Q38</f>
        <v>5463.35</v>
      </c>
      <c r="J57" s="48">
        <f>Funktional!Z38</f>
        <v>897.39342105263154</v>
      </c>
      <c r="K57" s="48">
        <f>Funktional!Y38</f>
        <v>17050.474999999999</v>
      </c>
      <c r="L57" s="48">
        <f>'Kennzahlen Revision'!O38</f>
        <v>254.76315789473685</v>
      </c>
      <c r="M57" s="48">
        <f>'Kennzahlen Revision'!N38</f>
        <v>4840.5</v>
      </c>
      <c r="N57" s="80">
        <f>Funktional!AG38</f>
        <v>109.89473684210526</v>
      </c>
      <c r="O57" s="43">
        <f>Funktional!AF38</f>
        <v>2088</v>
      </c>
      <c r="P57" s="43">
        <f>Funktional!AL38</f>
        <v>1579.575</v>
      </c>
      <c r="Q57" s="43">
        <f>Funktional!AK38</f>
        <v>30011.925000000003</v>
      </c>
      <c r="R57" s="80">
        <f>Funktional!AU38</f>
        <v>63.076315789473689</v>
      </c>
      <c r="S57" s="43">
        <f>Funktional!AT38</f>
        <v>1198.45</v>
      </c>
      <c r="T57" s="80">
        <f>Funktional!AQ38</f>
        <v>100.06447368421053</v>
      </c>
      <c r="U57" s="43">
        <f>Funktional!AP38</f>
        <v>1901.2249999999999</v>
      </c>
      <c r="V57" s="80">
        <f t="shared" si="12"/>
        <v>760.88684210526208</v>
      </c>
      <c r="W57" s="183">
        <f t="shared" si="12"/>
        <v>14456.849999999986</v>
      </c>
      <c r="X57" s="172">
        <f>Funktional!S38</f>
        <v>0.69940478638044001</v>
      </c>
      <c r="Y57" s="42">
        <f>Funktional!X38</f>
        <v>7.6832970114271773E-2</v>
      </c>
      <c r="Z57" s="42">
        <f>'Kennzahlen Revision'!L38</f>
        <v>2.1812295073194883E-2</v>
      </c>
      <c r="AA57" s="42">
        <f>Funktional!AE38</f>
        <v>9.4089602546908215E-3</v>
      </c>
      <c r="AB57" s="42">
        <f>Funktional!AJ38</f>
        <v>0.13523994707459858</v>
      </c>
      <c r="AC57" s="42">
        <f>Funktional!AS38</f>
        <v>5.4004638013573827E-3</v>
      </c>
      <c r="AD57" s="42">
        <f>Funktional!AO38</f>
        <v>8.567313438804864E-3</v>
      </c>
      <c r="AE57" s="202">
        <f>Funktional!AV38</f>
        <v>6.5145558935836595E-2</v>
      </c>
      <c r="AF57" s="172">
        <f>'Kennzahlen Revision'!C38</f>
        <v>-9.9000000000000008E-3</v>
      </c>
      <c r="AG57" s="42">
        <f>'Kennzahlen Revision'!D38</f>
        <v>-1.9900000000000001E-2</v>
      </c>
      <c r="AH57" s="42">
        <f>Artengliederung!AN38</f>
        <v>0.56199160831597972</v>
      </c>
      <c r="AI57" s="178" t="str">
        <f t="shared" si="13"/>
        <v>Eggethof</v>
      </c>
    </row>
    <row r="58" spans="1:35" x14ac:dyDescent="0.25">
      <c r="A58" s="41" t="str">
        <f>Funktional!A39</f>
        <v>Egnach</v>
      </c>
      <c r="B58" s="41" t="str">
        <f>Funktional!B39</f>
        <v>PSG</v>
      </c>
      <c r="C58" s="352">
        <f>Funktional!D39</f>
        <v>166</v>
      </c>
      <c r="D58" s="348">
        <f>Funktional!G39</f>
        <v>7883.5829030992563</v>
      </c>
      <c r="E58" s="186">
        <f>Funktional!F39</f>
        <v>163584.34523930956</v>
      </c>
      <c r="F58" s="48">
        <f>Funktional!U39</f>
        <v>5227.5252511832132</v>
      </c>
      <c r="G58" s="48">
        <f>Funktional!T39</f>
        <v>108471.14896205167</v>
      </c>
      <c r="H58" s="48">
        <f>Artengliederung!R39</f>
        <v>230.77456553815259</v>
      </c>
      <c r="I58" s="186">
        <f>Artengliederung!Q39</f>
        <v>4788.5722349166663</v>
      </c>
      <c r="J58" s="48">
        <f>Funktional!Z39</f>
        <v>313.14007125175419</v>
      </c>
      <c r="K58" s="48">
        <f>Funktional!Y39</f>
        <v>6497.6564784738994</v>
      </c>
      <c r="L58" s="48">
        <f>'Kennzahlen Revision'!O39</f>
        <v>123.43538218011135</v>
      </c>
      <c r="M58" s="48">
        <f>'Kennzahlen Revision'!N39</f>
        <v>2561.2841802373105</v>
      </c>
      <c r="N58" s="80">
        <f>Funktional!AG39</f>
        <v>505.19535043061313</v>
      </c>
      <c r="O58" s="43">
        <f>Funktional!AF39</f>
        <v>10482.803521435222</v>
      </c>
      <c r="P58" s="43">
        <f>Funktional!AL39</f>
        <v>901.3902020238844</v>
      </c>
      <c r="Q58" s="43">
        <f>Funktional!AK39</f>
        <v>18703.846691995601</v>
      </c>
      <c r="R58" s="80">
        <f>Funktional!AU39</f>
        <v>277.39724454312517</v>
      </c>
      <c r="S58" s="43">
        <f>Funktional!AT39</f>
        <v>5755.992824269847</v>
      </c>
      <c r="T58" s="80">
        <f>Funktional!AQ39</f>
        <v>50.731737543495228</v>
      </c>
      <c r="U58" s="43">
        <f>Funktional!AP39</f>
        <v>1052.683554027526</v>
      </c>
      <c r="V58" s="80">
        <f t="shared" si="12"/>
        <v>608.20304612317091</v>
      </c>
      <c r="W58" s="183">
        <f t="shared" si="12"/>
        <v>12620.213207055802</v>
      </c>
      <c r="X58" s="172">
        <f>Funktional!S39</f>
        <v>0.66309003348314211</v>
      </c>
      <c r="Y58" s="42">
        <f>Funktional!X39</f>
        <v>3.9720527468373561E-2</v>
      </c>
      <c r="Z58" s="42">
        <f>'Kennzahlen Revision'!L39</f>
        <v>1.5657269505161855E-2</v>
      </c>
      <c r="AA58" s="42">
        <f>Funktional!AE39</f>
        <v>6.4081948099005429E-2</v>
      </c>
      <c r="AB58" s="42">
        <f>Funktional!AJ39</f>
        <v>0.11433763215320826</v>
      </c>
      <c r="AC58" s="42">
        <f>Funktional!AS39</f>
        <v>3.518669721023325E-2</v>
      </c>
      <c r="AD58" s="42">
        <f>Funktional!AO39</f>
        <v>6.4351118225129808E-3</v>
      </c>
      <c r="AE58" s="202">
        <f>Funktional!AV39</f>
        <v>7.7148049763524421E-2</v>
      </c>
      <c r="AF58" s="172">
        <f>'Kennzahlen Revision'!C39</f>
        <v>5.11E-2</v>
      </c>
      <c r="AG58" s="42">
        <f>'Kennzahlen Revision'!D39</f>
        <v>-1.5100000000000001E-2</v>
      </c>
      <c r="AH58" s="42">
        <f>Artengliederung!AN39</f>
        <v>6.4469163918996389E-2</v>
      </c>
      <c r="AI58" s="178" t="str">
        <f t="shared" si="13"/>
        <v>Egnach</v>
      </c>
    </row>
    <row r="59" spans="1:35" x14ac:dyDescent="0.25">
      <c r="A59" s="41" t="str">
        <f>Funktional!A40</f>
        <v>Engelswilen-Dotnacht</v>
      </c>
      <c r="B59" s="41" t="str">
        <f>Funktional!B40</f>
        <v>PSG</v>
      </c>
      <c r="C59" s="352">
        <f>Funktional!D40</f>
        <v>39</v>
      </c>
      <c r="D59" s="348">
        <f>Funktional!G40</f>
        <v>15131.894871794872</v>
      </c>
      <c r="E59" s="186">
        <f>Funktional!F40</f>
        <v>295071.95</v>
      </c>
      <c r="F59" s="48">
        <f>Funktional!U40</f>
        <v>9009.9961538461539</v>
      </c>
      <c r="G59" s="48">
        <f>Funktional!T40</f>
        <v>175694.92500000002</v>
      </c>
      <c r="H59" s="48">
        <f>Artengliederung!R40</f>
        <v>494.55769230769232</v>
      </c>
      <c r="I59" s="186">
        <f>Artengliederung!Q40</f>
        <v>9643.875</v>
      </c>
      <c r="J59" s="48">
        <f>Funktional!Z40</f>
        <v>602.77948717948721</v>
      </c>
      <c r="K59" s="48">
        <f>Funktional!Y40</f>
        <v>11754.2</v>
      </c>
      <c r="L59" s="48">
        <f>'Kennzahlen Revision'!O40</f>
        <v>243.58974358974359</v>
      </c>
      <c r="M59" s="48">
        <f>'Kennzahlen Revision'!N40</f>
        <v>4750</v>
      </c>
      <c r="N59" s="80">
        <f>Funktional!AG40</f>
        <v>547.51282051282055</v>
      </c>
      <c r="O59" s="43">
        <f>Funktional!AF40</f>
        <v>10676.5</v>
      </c>
      <c r="P59" s="43">
        <f>Funktional!AL40</f>
        <v>2175.3243589743593</v>
      </c>
      <c r="Q59" s="43">
        <f>Funktional!AK40</f>
        <v>42418.825000000004</v>
      </c>
      <c r="R59" s="80">
        <f>Funktional!AU40</f>
        <v>621.38846153846157</v>
      </c>
      <c r="S59" s="43">
        <f>Funktional!AT40</f>
        <v>12117.075000000001</v>
      </c>
      <c r="T59" s="80">
        <f>Funktional!AQ40</f>
        <v>66.783333333333331</v>
      </c>
      <c r="U59" s="43">
        <f>Funktional!AP40</f>
        <v>1302.2750000000001</v>
      </c>
      <c r="V59" s="80">
        <f t="shared" si="12"/>
        <v>2108.1102564102562</v>
      </c>
      <c r="W59" s="183">
        <f t="shared" si="12"/>
        <v>41108.149999999987</v>
      </c>
      <c r="X59" s="172">
        <f>Funktional!S40</f>
        <v>0.59543079238809382</v>
      </c>
      <c r="Y59" s="42">
        <f>Funktional!X40</f>
        <v>3.9835030066395674E-2</v>
      </c>
      <c r="Z59" s="42">
        <f>'Kennzahlen Revision'!L40</f>
        <v>1.6097768696753452E-2</v>
      </c>
      <c r="AA59" s="42">
        <f>Funktional!AE40</f>
        <v>3.6182700524397524E-2</v>
      </c>
      <c r="AB59" s="42">
        <f>Funktional!AJ40</f>
        <v>0.14375756489222374</v>
      </c>
      <c r="AC59" s="42">
        <f>Funktional!AS40</f>
        <v>4.1064814869729231E-2</v>
      </c>
      <c r="AD59" s="42">
        <f>Funktional!AO40</f>
        <v>4.4134151009609691E-3</v>
      </c>
      <c r="AE59" s="202">
        <f>Funktional!AV40</f>
        <v>0.13931568215819903</v>
      </c>
      <c r="AF59" s="172">
        <f>'Kennzahlen Revision'!C40</f>
        <v>5.2200000000000003E-2</v>
      </c>
      <c r="AG59" s="42">
        <f>'Kennzahlen Revision'!D40</f>
        <v>1.4999999999999999E-2</v>
      </c>
      <c r="AH59" s="42">
        <f>Artengliederung!AN40</f>
        <v>0.57586293783600917</v>
      </c>
      <c r="AI59" s="178" t="str">
        <f t="shared" si="13"/>
        <v>Engelswilen-Dotnacht</v>
      </c>
    </row>
    <row r="60" spans="1:35" x14ac:dyDescent="0.25">
      <c r="A60" s="41" t="str">
        <f>Funktional!A41</f>
        <v>Engwang-Wagerswil</v>
      </c>
      <c r="B60" s="41" t="str">
        <f>Funktional!B41</f>
        <v>PSG</v>
      </c>
      <c r="C60" s="352">
        <f>Funktional!D41</f>
        <v>51</v>
      </c>
      <c r="D60" s="348">
        <f>Funktional!G41</f>
        <v>9044.8627450980384</v>
      </c>
      <c r="E60" s="186">
        <f>Funktional!F41</f>
        <v>230644</v>
      </c>
      <c r="F60" s="48">
        <f>Funktional!U41</f>
        <v>6437.045098039217</v>
      </c>
      <c r="G60" s="48">
        <f>Funktional!T41</f>
        <v>164144.65000000002</v>
      </c>
      <c r="H60" s="48">
        <f>Artengliederung!R41</f>
        <v>116.7235294117647</v>
      </c>
      <c r="I60" s="186">
        <f>Artengliederung!Q41</f>
        <v>2976.45</v>
      </c>
      <c r="J60" s="48">
        <f>Funktional!Z41</f>
        <v>377.92941176470589</v>
      </c>
      <c r="K60" s="48">
        <f>Funktional!Y41</f>
        <v>9637.2000000000007</v>
      </c>
      <c r="L60" s="48">
        <f>'Kennzahlen Revision'!O41</f>
        <v>124.11764705882354</v>
      </c>
      <c r="M60" s="48">
        <f>'Kennzahlen Revision'!N41</f>
        <v>3165</v>
      </c>
      <c r="N60" s="80">
        <f>Funktional!AG41</f>
        <v>921.56862745098044</v>
      </c>
      <c r="O60" s="43">
        <f>Funktional!AF41</f>
        <v>23500</v>
      </c>
      <c r="P60" s="43">
        <f>Funktional!AL41</f>
        <v>248.42156862745097</v>
      </c>
      <c r="Q60" s="43">
        <f>Funktional!AK41</f>
        <v>6334.75</v>
      </c>
      <c r="R60" s="80">
        <f>Funktional!AU41</f>
        <v>535.86568627450981</v>
      </c>
      <c r="S60" s="43">
        <f>Funktional!AT41</f>
        <v>13664.575000000001</v>
      </c>
      <c r="T60" s="80">
        <f>Funktional!AQ41</f>
        <v>19.411764705882351</v>
      </c>
      <c r="U60" s="43">
        <f>Funktional!AP41</f>
        <v>495</v>
      </c>
      <c r="V60" s="80">
        <f t="shared" si="12"/>
        <v>504.6205882352919</v>
      </c>
      <c r="W60" s="183">
        <f t="shared" si="12"/>
        <v>12867.824999999979</v>
      </c>
      <c r="X60" s="172">
        <f>Funktional!S41</f>
        <v>0.71167968817745109</v>
      </c>
      <c r="Y60" s="42">
        <f>Funktional!X41</f>
        <v>4.178387471601256E-2</v>
      </c>
      <c r="Z60" s="42">
        <f>'Kennzahlen Revision'!L41</f>
        <v>1.3722446714417023E-2</v>
      </c>
      <c r="AA60" s="42">
        <f>Funktional!AE41</f>
        <v>0.10188862489377569</v>
      </c>
      <c r="AB60" s="42">
        <f>Funktional!AJ41</f>
        <v>2.7465487938121088E-2</v>
      </c>
      <c r="AC60" s="42">
        <f>Funktional!AS41</f>
        <v>5.9245308787568722E-2</v>
      </c>
      <c r="AD60" s="42">
        <f>Funktional!AO41</f>
        <v>2.1461646520178285E-3</v>
      </c>
      <c r="AE60" s="202">
        <f>Funktional!AV41</f>
        <v>5.5790850835053023E-2</v>
      </c>
      <c r="AF60" s="172">
        <f>'Kennzahlen Revision'!C41</f>
        <v>0.12230000000000001</v>
      </c>
      <c r="AG60" s="42">
        <f>'Kennzahlen Revision'!D41</f>
        <v>2.01E-2</v>
      </c>
      <c r="AH60" s="42">
        <f>Artengliederung!AN41</f>
        <v>0.67904432805535808</v>
      </c>
      <c r="AI60" s="178" t="str">
        <f t="shared" si="13"/>
        <v>Engwang-Wagerswil</v>
      </c>
    </row>
    <row r="61" spans="1:35" x14ac:dyDescent="0.25">
      <c r="A61" s="41" t="str">
        <f>Funktional!A42</f>
        <v>Ermatingen</v>
      </c>
      <c r="B61" s="41" t="str">
        <f>Funktional!B42</f>
        <v>PSG</v>
      </c>
      <c r="C61" s="352">
        <f>Funktional!D42</f>
        <v>180</v>
      </c>
      <c r="D61" s="348">
        <f>Funktional!G42</f>
        <v>14144.556094716427</v>
      </c>
      <c r="E61" s="186">
        <f>Funktional!F42</f>
        <v>282891.12189432856</v>
      </c>
      <c r="F61" s="48">
        <f>Funktional!U42</f>
        <v>8201.7774689360594</v>
      </c>
      <c r="G61" s="48">
        <f>Funktional!T42</f>
        <v>164035.54937872116</v>
      </c>
      <c r="H61" s="48">
        <f>Artengliederung!R42</f>
        <v>321.48385691139106</v>
      </c>
      <c r="I61" s="186">
        <f>Artengliederung!Q42</f>
        <v>6429.6771382278203</v>
      </c>
      <c r="J61" s="48">
        <f>Funktional!Z42</f>
        <v>565.90716778829005</v>
      </c>
      <c r="K61" s="48">
        <f>Funktional!Y42</f>
        <v>11318.143355765802</v>
      </c>
      <c r="L61" s="48">
        <f>'Kennzahlen Revision'!O42</f>
        <v>187.96110432076304</v>
      </c>
      <c r="M61" s="48">
        <f>'Kennzahlen Revision'!N42</f>
        <v>3759.2220864152605</v>
      </c>
      <c r="N61" s="80">
        <f>Funktional!AG42</f>
        <v>2047.4539972394339</v>
      </c>
      <c r="O61" s="43">
        <f>Funktional!AF42</f>
        <v>40949.079944788682</v>
      </c>
      <c r="P61" s="43">
        <f>Funktional!AL42</f>
        <v>1691.1978035936377</v>
      </c>
      <c r="Q61" s="43">
        <f>Funktional!AK42</f>
        <v>33823.956071872759</v>
      </c>
      <c r="R61" s="80">
        <f>Funktional!AU42</f>
        <v>732.40423615146869</v>
      </c>
      <c r="S61" s="43">
        <f>Funktional!AT42</f>
        <v>14648.084723029373</v>
      </c>
      <c r="T61" s="80">
        <f>Funktional!AQ42</f>
        <v>46.456316923140221</v>
      </c>
      <c r="U61" s="43">
        <f>Funktional!AP42</f>
        <v>929.12633846280448</v>
      </c>
      <c r="V61" s="80">
        <f t="shared" si="12"/>
        <v>859.35910408439634</v>
      </c>
      <c r="W61" s="183">
        <f t="shared" si="12"/>
        <v>17187.182081687984</v>
      </c>
      <c r="X61" s="172">
        <f>Funktional!S42</f>
        <v>0.57985400277070265</v>
      </c>
      <c r="Y61" s="42">
        <f>Funktional!X42</f>
        <v>4.0008831949111479E-2</v>
      </c>
      <c r="Z61" s="42">
        <f>'Kennzahlen Revision'!L42</f>
        <v>1.3288582763723085E-2</v>
      </c>
      <c r="AA61" s="42">
        <f>Funktional!AE42</f>
        <v>0.14475208578685916</v>
      </c>
      <c r="AB61" s="42">
        <f>Funktional!AJ42</f>
        <v>0.11956527955128755</v>
      </c>
      <c r="AC61" s="42">
        <f>Funktional!AS42</f>
        <v>5.1779937896039858E-2</v>
      </c>
      <c r="AD61" s="42">
        <f>Funktional!AO42</f>
        <v>3.2843955379054678E-3</v>
      </c>
      <c r="AE61" s="202">
        <f>Funktional!AV42</f>
        <v>6.0755466508093846E-2</v>
      </c>
      <c r="AF61" s="172">
        <f>'Kennzahlen Revision'!C42</f>
        <v>0.21199999999999999</v>
      </c>
      <c r="AG61" s="42">
        <f>'Kennzahlen Revision'!D42</f>
        <v>4.2500000000000003E-2</v>
      </c>
      <c r="AH61" s="42">
        <f>Artengliederung!AN42</f>
        <v>1.9636690808363336E-2</v>
      </c>
      <c r="AI61" s="178" t="str">
        <f t="shared" si="13"/>
        <v>Ermatingen</v>
      </c>
    </row>
    <row r="62" spans="1:35" x14ac:dyDescent="0.25">
      <c r="A62" s="41" t="str">
        <f>Funktional!A43</f>
        <v>Eschenz</v>
      </c>
      <c r="B62" s="41" t="str">
        <f>Funktional!B43</f>
        <v>PSG</v>
      </c>
      <c r="C62" s="352">
        <f>Funktional!D43</f>
        <v>148</v>
      </c>
      <c r="D62" s="348">
        <f>Funktional!G43</f>
        <v>8892.7809753404563</v>
      </c>
      <c r="E62" s="186">
        <f>Funktional!F43</f>
        <v>146236.84270559862</v>
      </c>
      <c r="F62" s="48">
        <f>Funktional!U43</f>
        <v>6201.3433983577652</v>
      </c>
      <c r="G62" s="48">
        <f>Funktional!T43</f>
        <v>101977.64699521658</v>
      </c>
      <c r="H62" s="48">
        <f>Artengliederung!R43</f>
        <v>206.34265907251853</v>
      </c>
      <c r="I62" s="186">
        <f>Artengliederung!Q43</f>
        <v>3393.1903936369713</v>
      </c>
      <c r="J62" s="48">
        <f>Funktional!Z43</f>
        <v>375.59093557516007</v>
      </c>
      <c r="K62" s="48">
        <f>Funktional!Y43</f>
        <v>6176.3842739026331</v>
      </c>
      <c r="L62" s="48">
        <f>'Kennzahlen Revision'!O43</f>
        <v>186.61263950244111</v>
      </c>
      <c r="M62" s="48">
        <f>'Kennzahlen Revision'!N43</f>
        <v>3068.7411829290313</v>
      </c>
      <c r="N62" s="80">
        <f>Funktional!AG43</f>
        <v>421.69336058784847</v>
      </c>
      <c r="O62" s="43">
        <f>Funktional!AF43</f>
        <v>6934.5130407779534</v>
      </c>
      <c r="P62" s="43">
        <f>Funktional!AL43</f>
        <v>851.98541058764863</v>
      </c>
      <c r="Q62" s="43">
        <f>Funktional!AK43</f>
        <v>14010.426751885778</v>
      </c>
      <c r="R62" s="80">
        <f>Funktional!AU43</f>
        <v>480.26242022485854</v>
      </c>
      <c r="S62" s="43">
        <f>Funktional!AT43</f>
        <v>7897.6486881421188</v>
      </c>
      <c r="T62" s="80">
        <f>Funktional!AQ43</f>
        <v>39.339423653647223</v>
      </c>
      <c r="U62" s="43">
        <f>Funktional!AP43</f>
        <v>646.91496674886548</v>
      </c>
      <c r="V62" s="80">
        <f t="shared" si="12"/>
        <v>522.56602635352817</v>
      </c>
      <c r="W62" s="183">
        <f t="shared" si="12"/>
        <v>8593.3079889247001</v>
      </c>
      <c r="X62" s="172">
        <f>Funktional!S43</f>
        <v>0.69734579267767804</v>
      </c>
      <c r="Y62" s="42">
        <f>Funktional!X43</f>
        <v>4.2235487033433966E-2</v>
      </c>
      <c r="Z62" s="42">
        <f>'Kennzahlen Revision'!L43</f>
        <v>2.0984733574335751E-2</v>
      </c>
      <c r="AA62" s="42">
        <f>Funktional!AE43</f>
        <v>4.74197398718351E-2</v>
      </c>
      <c r="AB62" s="42">
        <f>Funktional!AJ43</f>
        <v>9.580640892316937E-2</v>
      </c>
      <c r="AC62" s="42">
        <f>Funktional!AS43</f>
        <v>5.4005875277555897E-2</v>
      </c>
      <c r="AD62" s="42">
        <f>Funktional!AO43</f>
        <v>4.423748179870261E-3</v>
      </c>
      <c r="AE62" s="202">
        <f>Funktional!AV43</f>
        <v>5.8762948036457381E-2</v>
      </c>
      <c r="AF62" s="172">
        <f>'Kennzahlen Revision'!C43</f>
        <v>0.1042</v>
      </c>
      <c r="AG62" s="42">
        <f>'Kennzahlen Revision'!D43</f>
        <v>5.6399999999999999E-2</v>
      </c>
      <c r="AH62" s="42">
        <f>Artengliederung!AN43</f>
        <v>0.26279325805294751</v>
      </c>
      <c r="AI62" s="178" t="str">
        <f t="shared" si="13"/>
        <v>Eschenz</v>
      </c>
    </row>
    <row r="63" spans="1:35" x14ac:dyDescent="0.25">
      <c r="A63" s="41" t="str">
        <f>Funktional!A44</f>
        <v>Ettenhausen</v>
      </c>
      <c r="B63" s="41" t="str">
        <f>Funktional!B44</f>
        <v>PSG</v>
      </c>
      <c r="C63" s="352">
        <f>Funktional!D44</f>
        <v>99</v>
      </c>
      <c r="D63" s="348">
        <f>Funktional!G44</f>
        <v>8857.4155494567531</v>
      </c>
      <c r="E63" s="186">
        <f>Funktional!F44</f>
        <v>194863.14208804854</v>
      </c>
      <c r="F63" s="48">
        <f>Funktional!U44</f>
        <v>5561.1737798948025</v>
      </c>
      <c r="G63" s="48">
        <f>Funktional!T44</f>
        <v>122345.82315768565</v>
      </c>
      <c r="H63" s="48">
        <f>Artengliederung!R44</f>
        <v>346.81229495636552</v>
      </c>
      <c r="I63" s="186">
        <f>Artengliederung!Q44</f>
        <v>7629.8704890400422</v>
      </c>
      <c r="J63" s="48">
        <f>Funktional!Z44</f>
        <v>343.50406889957105</v>
      </c>
      <c r="K63" s="48">
        <f>Funktional!Y44</f>
        <v>7557.0895157905634</v>
      </c>
      <c r="L63" s="48">
        <f>'Kennzahlen Revision'!O44</f>
        <v>149.70804369746861</v>
      </c>
      <c r="M63" s="48">
        <f>'Kennzahlen Revision'!N44</f>
        <v>3293.5769613443099</v>
      </c>
      <c r="N63" s="80">
        <f>Funktional!AG44</f>
        <v>585.3590388368508</v>
      </c>
      <c r="O63" s="43">
        <f>Funktional!AF44</f>
        <v>12877.89885441072</v>
      </c>
      <c r="P63" s="43">
        <f>Funktional!AL44</f>
        <v>1133.4607409053517</v>
      </c>
      <c r="Q63" s="43">
        <f>Funktional!AK44</f>
        <v>24936.136299917736</v>
      </c>
      <c r="R63" s="80">
        <f>Funktional!AU44</f>
        <v>311.04506686511399</v>
      </c>
      <c r="S63" s="43">
        <f>Funktional!AT44</f>
        <v>6842.9914710325074</v>
      </c>
      <c r="T63" s="80">
        <f>Funktional!AQ44</f>
        <v>36.710095616642363</v>
      </c>
      <c r="U63" s="43">
        <f>Funktional!AP44</f>
        <v>807.62210356613195</v>
      </c>
      <c r="V63" s="80">
        <f t="shared" si="12"/>
        <v>886.16275843842095</v>
      </c>
      <c r="W63" s="183">
        <f t="shared" si="12"/>
        <v>19495.580685645233</v>
      </c>
      <c r="X63" s="172">
        <f>Funktional!S44</f>
        <v>0.62785512871594729</v>
      </c>
      <c r="Y63" s="42">
        <f>Funktional!X44</f>
        <v>3.878152345699068E-2</v>
      </c>
      <c r="Z63" s="42">
        <f>'Kennzahlen Revision'!L44</f>
        <v>1.6902000686492641E-2</v>
      </c>
      <c r="AA63" s="42">
        <f>Funktional!AE44</f>
        <v>6.6086889066952759E-2</v>
      </c>
      <c r="AB63" s="42">
        <f>Funktional!AJ44</f>
        <v>0.12796743413205555</v>
      </c>
      <c r="AC63" s="42">
        <f>Funktional!AS44</f>
        <v>3.5116910246374429E-2</v>
      </c>
      <c r="AD63" s="42">
        <f>Funktional!AO44</f>
        <v>4.1445606127053485E-3</v>
      </c>
      <c r="AE63" s="202">
        <f>Funktional!AV44</f>
        <v>0.10004755376897392</v>
      </c>
      <c r="AF63" s="172">
        <f>'Kennzahlen Revision'!C44</f>
        <v>7.6499999999999999E-2</v>
      </c>
      <c r="AG63" s="42">
        <f>'Kennzahlen Revision'!D44</f>
        <v>1.4200000000000001E-2</v>
      </c>
      <c r="AH63" s="42">
        <f>Artengliederung!AN44</f>
        <v>0.24974524427933473</v>
      </c>
      <c r="AI63" s="178" t="str">
        <f t="shared" si="13"/>
        <v>Ettenhausen</v>
      </c>
    </row>
    <row r="64" spans="1:35" x14ac:dyDescent="0.25">
      <c r="A64" s="41" t="str">
        <f>Funktional!A45</f>
        <v>Felben-Wellhausen</v>
      </c>
      <c r="B64" s="41" t="str">
        <f>Funktional!B45</f>
        <v>PSG</v>
      </c>
      <c r="C64" s="352">
        <f>Funktional!D45</f>
        <v>178</v>
      </c>
      <c r="D64" s="348">
        <f>Funktional!G45</f>
        <v>10647.119777616252</v>
      </c>
      <c r="E64" s="186">
        <f>Funktional!F45</f>
        <v>236898.41505196161</v>
      </c>
      <c r="F64" s="48">
        <f>Funktional!U45</f>
        <v>7042.2022809666614</v>
      </c>
      <c r="G64" s="48">
        <f>Funktional!T45</f>
        <v>156689.00075150823</v>
      </c>
      <c r="H64" s="48">
        <f>Artengliederung!R45</f>
        <v>316.30671200253937</v>
      </c>
      <c r="I64" s="186">
        <f>Artengliederung!Q45</f>
        <v>7037.8243420565013</v>
      </c>
      <c r="J64" s="48">
        <f>Funktional!Z45</f>
        <v>707.09213981199969</v>
      </c>
      <c r="K64" s="48">
        <f>Funktional!Y45</f>
        <v>15732.800110816992</v>
      </c>
      <c r="L64" s="48">
        <f>'Kennzahlen Revision'!O45</f>
        <v>184.27605538163331</v>
      </c>
      <c r="M64" s="48">
        <f>'Kennzahlen Revision'!N45</f>
        <v>4100.1422322413409</v>
      </c>
      <c r="N64" s="80">
        <f>Funktional!AG45</f>
        <v>788.07906329773323</v>
      </c>
      <c r="O64" s="43">
        <f>Funktional!AF45</f>
        <v>17534.759158374563</v>
      </c>
      <c r="P64" s="43">
        <f>Funktional!AL45</f>
        <v>1077.4490136086076</v>
      </c>
      <c r="Q64" s="43">
        <f>Funktional!AK45</f>
        <v>23973.240552791522</v>
      </c>
      <c r="R64" s="80">
        <f>Funktional!AU45</f>
        <v>510.04591398271873</v>
      </c>
      <c r="S64" s="43">
        <f>Funktional!AT45</f>
        <v>11348.521586115492</v>
      </c>
      <c r="T64" s="80">
        <f>Funktional!AQ45</f>
        <v>54.378170502809745</v>
      </c>
      <c r="U64" s="43">
        <f>Funktional!AP45</f>
        <v>1209.9142936875169</v>
      </c>
      <c r="V64" s="80">
        <f t="shared" si="12"/>
        <v>467.87319544572102</v>
      </c>
      <c r="W64" s="183">
        <f t="shared" si="12"/>
        <v>10410.178598667302</v>
      </c>
      <c r="X64" s="172">
        <f>Funktional!S45</f>
        <v>0.66141852708106919</v>
      </c>
      <c r="Y64" s="42">
        <f>Funktional!X45</f>
        <v>6.6411588728300011E-2</v>
      </c>
      <c r="Z64" s="42">
        <f>'Kennzahlen Revision'!L45</f>
        <v>1.7307596723861618E-2</v>
      </c>
      <c r="AA64" s="42">
        <f>Funktional!AE45</f>
        <v>7.4018051807262897E-2</v>
      </c>
      <c r="AB64" s="42">
        <f>Funktional!AJ45</f>
        <v>0.10119628933580328</v>
      </c>
      <c r="AC64" s="42">
        <f>Funktional!AS45</f>
        <v>4.7904590596886398E-2</v>
      </c>
      <c r="AD64" s="42">
        <f>Funktional!AO45</f>
        <v>5.1073127417172997E-3</v>
      </c>
      <c r="AE64" s="202">
        <f>Funktional!AV45</f>
        <v>4.3943639708960952E-2</v>
      </c>
      <c r="AF64" s="172">
        <f>'Kennzahlen Revision'!C45</f>
        <v>6.5000000000000002E-2</v>
      </c>
      <c r="AG64" s="42">
        <f>'Kennzahlen Revision'!D45</f>
        <v>1.41E-2</v>
      </c>
      <c r="AH64" s="42">
        <f>Artengliederung!AN45</f>
        <v>6.2086055276663173E-2</v>
      </c>
      <c r="AI64" s="178" t="str">
        <f t="shared" si="13"/>
        <v>Felben-Wellhausen</v>
      </c>
    </row>
    <row r="65" spans="1:35" x14ac:dyDescent="0.25">
      <c r="A65" s="41" t="str">
        <f>Funktional!A46</f>
        <v>Fimmelsberg-Holzhäusern</v>
      </c>
      <c r="B65" s="41" t="str">
        <f>Funktional!B46</f>
        <v>PSG</v>
      </c>
      <c r="C65" s="352">
        <f>Funktional!D46</f>
        <v>71</v>
      </c>
      <c r="D65" s="348">
        <f>Funktional!G46</f>
        <v>7972.6758901553731</v>
      </c>
      <c r="E65" s="186">
        <f>Funktional!F46</f>
        <v>188686.66273367716</v>
      </c>
      <c r="F65" s="48">
        <f>Funktional!U46</f>
        <v>5545.8065138616548</v>
      </c>
      <c r="G65" s="48">
        <f>Funktional!T46</f>
        <v>131250.75416139248</v>
      </c>
      <c r="H65" s="48">
        <f>Artengliederung!R46</f>
        <v>192.85318995616836</v>
      </c>
      <c r="I65" s="186">
        <f>Artengliederung!Q46</f>
        <v>4564.1921622959844</v>
      </c>
      <c r="J65" s="48">
        <f>Funktional!Z46</f>
        <v>317.92492732842913</v>
      </c>
      <c r="K65" s="48">
        <f>Funktional!Y46</f>
        <v>7524.2232801061555</v>
      </c>
      <c r="L65" s="48">
        <f>'Kennzahlen Revision'!O46</f>
        <v>117.70824582285665</v>
      </c>
      <c r="M65" s="48">
        <f>'Kennzahlen Revision'!N46</f>
        <v>2785.7618178076077</v>
      </c>
      <c r="N65" s="80">
        <f>Funktional!AG46</f>
        <v>521.2793743583652</v>
      </c>
      <c r="O65" s="43">
        <f>Funktional!AF46</f>
        <v>12336.945193147976</v>
      </c>
      <c r="P65" s="43">
        <f>Funktional!AL46</f>
        <v>497.28426818964772</v>
      </c>
      <c r="Q65" s="43">
        <f>Funktional!AK46</f>
        <v>11769.061013821663</v>
      </c>
      <c r="R65" s="80">
        <f>Funktional!AU46</f>
        <v>432.21851299151035</v>
      </c>
      <c r="S65" s="43">
        <f>Funktional!AT46</f>
        <v>10229.171474132412</v>
      </c>
      <c r="T65" s="80">
        <f>Funktional!AQ46</f>
        <v>40.589166252458767</v>
      </c>
      <c r="U65" s="43">
        <f>Funktional!AP46</f>
        <v>960.61026797485749</v>
      </c>
      <c r="V65" s="80">
        <f t="shared" si="12"/>
        <v>617.57312717330717</v>
      </c>
      <c r="W65" s="183">
        <f t="shared" si="12"/>
        <v>14615.897343101611</v>
      </c>
      <c r="X65" s="172">
        <f>Funktional!S46</f>
        <v>0.69560165122347362</v>
      </c>
      <c r="Y65" s="42">
        <f>Funktional!X46</f>
        <v>3.9876815727703359E-2</v>
      </c>
      <c r="Z65" s="42">
        <f>'Kennzahlen Revision'!L46</f>
        <v>1.4763957226481803E-2</v>
      </c>
      <c r="AA65" s="42">
        <f>Funktional!AE46</f>
        <v>6.5383239145847982E-2</v>
      </c>
      <c r="AB65" s="42">
        <f>Funktional!AJ46</f>
        <v>6.2373571312950557E-2</v>
      </c>
      <c r="AC65" s="42">
        <f>Funktional!AS46</f>
        <v>5.4212477585500747E-2</v>
      </c>
      <c r="AD65" s="42">
        <f>Funktional!AO46</f>
        <v>5.0910342790402531E-3</v>
      </c>
      <c r="AE65" s="202">
        <f>Funktional!AV46</f>
        <v>7.7461210725483481E-2</v>
      </c>
      <c r="AF65" s="172">
        <f>'Kennzahlen Revision'!C46</f>
        <v>0.10780000000000001</v>
      </c>
      <c r="AG65" s="42">
        <f>'Kennzahlen Revision'!D46</f>
        <v>4.3299999999999998E-2</v>
      </c>
      <c r="AH65" s="42">
        <f>Artengliederung!AN46</f>
        <v>0.44739149278849594</v>
      </c>
      <c r="AI65" s="178" t="str">
        <f t="shared" si="13"/>
        <v>Fimmelsberg-Holzhäusern</v>
      </c>
    </row>
    <row r="66" spans="1:35" x14ac:dyDescent="0.25">
      <c r="A66" s="41" t="str">
        <f>Funktional!A47</f>
        <v>Fischingen</v>
      </c>
      <c r="B66" s="41" t="str">
        <f>Funktional!B47</f>
        <v>PSG</v>
      </c>
      <c r="C66" s="352">
        <f>Funktional!D47</f>
        <v>39</v>
      </c>
      <c r="D66" s="348">
        <f>Funktional!G47</f>
        <v>12415.464100090139</v>
      </c>
      <c r="E66" s="186">
        <f>Funktional!F47</f>
        <v>242101.54995175771</v>
      </c>
      <c r="F66" s="48">
        <f>Funktional!U47</f>
        <v>7992.9088975389786</v>
      </c>
      <c r="G66" s="48">
        <f>Funktional!T47</f>
        <v>155861.72350201008</v>
      </c>
      <c r="H66" s="48">
        <f>Artengliederung!R47</f>
        <v>312.51401888611116</v>
      </c>
      <c r="I66" s="186">
        <f>Artengliederung!Q47</f>
        <v>6094.0233682791677</v>
      </c>
      <c r="J66" s="48">
        <f>Funktional!Z47</f>
        <v>334.48478002569766</v>
      </c>
      <c r="K66" s="48">
        <f>Funktional!Y47</f>
        <v>6522.453210501104</v>
      </c>
      <c r="L66" s="48">
        <f>'Kennzahlen Revision'!O47</f>
        <v>166.95107248925888</v>
      </c>
      <c r="M66" s="48">
        <f>'Kennzahlen Revision'!N47</f>
        <v>3255.5459135405481</v>
      </c>
      <c r="N66" s="80">
        <f>Funktional!AG47</f>
        <v>324.01089882871935</v>
      </c>
      <c r="O66" s="43">
        <f>Funktional!AF47</f>
        <v>6318.2125271600271</v>
      </c>
      <c r="P66" s="43">
        <f>Funktional!AL47</f>
        <v>2178.3272665600266</v>
      </c>
      <c r="Q66" s="43">
        <f>Funktional!AK47</f>
        <v>42477.381697920522</v>
      </c>
      <c r="R66" s="80">
        <f>Funktional!AU47</f>
        <v>278.86442533071084</v>
      </c>
      <c r="S66" s="43">
        <f>Funktional!AT47</f>
        <v>5437.856293948862</v>
      </c>
      <c r="T66" s="80">
        <f>Funktional!AQ47</f>
        <v>28.355550850958299</v>
      </c>
      <c r="U66" s="43">
        <f>Funktional!AP47</f>
        <v>552.93324159368683</v>
      </c>
      <c r="V66" s="80">
        <f t="shared" si="12"/>
        <v>1278.512280955048</v>
      </c>
      <c r="W66" s="183">
        <f t="shared" si="12"/>
        <v>24930.989478623436</v>
      </c>
      <c r="X66" s="172">
        <f>Funktional!S47</f>
        <v>0.64378655788477113</v>
      </c>
      <c r="Y66" s="42">
        <f>Funktional!X47</f>
        <v>2.6940980806611104E-2</v>
      </c>
      <c r="Z66" s="42">
        <f>'Kennzahlen Revision'!L47</f>
        <v>1.3447026316804925E-2</v>
      </c>
      <c r="AA66" s="42">
        <f>Funktional!AE47</f>
        <v>2.6097365045449003E-2</v>
      </c>
      <c r="AB66" s="42">
        <f>Funktional!AJ47</f>
        <v>0.17545274578533165</v>
      </c>
      <c r="AC66" s="42">
        <f>Funktional!AS47</f>
        <v>2.2461055268057702E-2</v>
      </c>
      <c r="AD66" s="42">
        <f>Funktional!AO47</f>
        <v>2.2838897219115981E-3</v>
      </c>
      <c r="AE66" s="202">
        <f>Funktional!AV47</f>
        <v>0.1029774054878678</v>
      </c>
      <c r="AF66" s="172">
        <f>'Kennzahlen Revision'!C47</f>
        <v>2.53E-2</v>
      </c>
      <c r="AG66" s="42">
        <f>'Kennzahlen Revision'!D47</f>
        <v>2.9999999999999997E-4</v>
      </c>
      <c r="AH66" s="42">
        <f>Artengliederung!AN47</f>
        <v>0.61164091528646247</v>
      </c>
      <c r="AI66" s="178" t="str">
        <f t="shared" si="13"/>
        <v>Fischingen</v>
      </c>
    </row>
    <row r="67" spans="1:35" x14ac:dyDescent="0.25">
      <c r="A67" s="41" t="str">
        <f>Funktional!A48</f>
        <v>Frauenfeld</v>
      </c>
      <c r="B67" s="41" t="str">
        <f>Funktional!B48</f>
        <v>PSG</v>
      </c>
      <c r="C67" s="352">
        <f>Funktional!D48</f>
        <v>1599</v>
      </c>
      <c r="D67" s="348">
        <f>Funktional!G48</f>
        <v>10606.735301263969</v>
      </c>
      <c r="E67" s="186">
        <f>Funktional!F48</f>
        <v>210685.3384685849</v>
      </c>
      <c r="F67" s="48">
        <f>Funktional!U48</f>
        <v>6950.3699512020175</v>
      </c>
      <c r="G67" s="48">
        <f>Funktional!T48</f>
        <v>138057.6590307084</v>
      </c>
      <c r="H67" s="48">
        <f>Artengliederung!R48</f>
        <v>241.33019324482052</v>
      </c>
      <c r="I67" s="186">
        <f>Artengliederung!Q48</f>
        <v>4793.6270683039502</v>
      </c>
      <c r="J67" s="48">
        <f>Funktional!Z48</f>
        <v>605.6624038541662</v>
      </c>
      <c r="K67" s="48">
        <f>Funktional!Y48</f>
        <v>12030.486754817539</v>
      </c>
      <c r="L67" s="48">
        <f>'Kennzahlen Revision'!O48</f>
        <v>0</v>
      </c>
      <c r="M67" s="48">
        <f>'Kennzahlen Revision'!N48</f>
        <v>0</v>
      </c>
      <c r="N67" s="80">
        <f>Funktional!AG48</f>
        <v>702.55194183477977</v>
      </c>
      <c r="O67" s="43">
        <f>Funktional!AF48</f>
        <v>13955.037950233702</v>
      </c>
      <c r="P67" s="43">
        <f>Funktional!AL48</f>
        <v>826.59030290579358</v>
      </c>
      <c r="Q67" s="43">
        <f>Funktional!AK48</f>
        <v>16418.855830389613</v>
      </c>
      <c r="R67" s="80">
        <f>Funktional!AU48</f>
        <v>709.98327750925546</v>
      </c>
      <c r="S67" s="43">
        <f>Funktional!AT48</f>
        <v>14102.649201705583</v>
      </c>
      <c r="T67" s="80">
        <f>Funktional!AQ48</f>
        <v>-35.438972538212973</v>
      </c>
      <c r="U67" s="43">
        <f>Funktional!AP48</f>
        <v>-703.93685824350985</v>
      </c>
      <c r="V67" s="80">
        <f t="shared" ref="V67:W75" si="14">D67-F67-J67-N67-P67-R67-T67</f>
        <v>847.01639649616891</v>
      </c>
      <c r="W67" s="183">
        <f t="shared" si="14"/>
        <v>16824.586558973577</v>
      </c>
      <c r="X67" s="172">
        <f>Funktional!S48</f>
        <v>0.65527891040834829</v>
      </c>
      <c r="Y67" s="42">
        <f>Funktional!X48</f>
        <v>5.7101679890323227E-2</v>
      </c>
      <c r="Z67" s="42">
        <f>'Kennzahlen Revision'!L48</f>
        <v>0</v>
      </c>
      <c r="AA67" s="42">
        <f>Funktional!AE48</f>
        <v>6.623639808858614E-2</v>
      </c>
      <c r="AB67" s="42">
        <f>Funktional!AJ48</f>
        <v>7.7930699638303555E-2</v>
      </c>
      <c r="AC67" s="42">
        <f>Funktional!AS48</f>
        <v>6.6937022311158195E-2</v>
      </c>
      <c r="AD67" s="42">
        <f>Funktional!AO48</f>
        <v>-3.3411762933303175E-3</v>
      </c>
      <c r="AE67" s="202">
        <f>Funktional!AV48</f>
        <v>7.9856465956610889E-2</v>
      </c>
      <c r="AF67" s="172">
        <f>'Kennzahlen Revision'!C48</f>
        <v>0.10440000000000001</v>
      </c>
      <c r="AG67" s="42">
        <f>'Kennzahlen Revision'!D48</f>
        <v>4.4699999999999997E-2</v>
      </c>
      <c r="AH67" s="42">
        <f>Artengliederung!AN48</f>
        <v>3.5294488632482635E-2</v>
      </c>
      <c r="AI67" s="178" t="str">
        <f t="shared" si="13"/>
        <v>Frauenfeld</v>
      </c>
    </row>
    <row r="68" spans="1:35" x14ac:dyDescent="0.25">
      <c r="A68" s="41" t="str">
        <f>Funktional!A49</f>
        <v>Friltschen</v>
      </c>
      <c r="B68" s="41" t="str">
        <f>Funktional!B49</f>
        <v>PSG</v>
      </c>
      <c r="C68" s="352">
        <f>Funktional!D49</f>
        <v>37</v>
      </c>
      <c r="D68" s="348">
        <f>Funktional!G49</f>
        <v>12809.636486486486</v>
      </c>
      <c r="E68" s="186">
        <f>Funktional!F49</f>
        <v>236978.27499999999</v>
      </c>
      <c r="F68" s="48">
        <f>Funktional!U49</f>
        <v>7323.0527027027028</v>
      </c>
      <c r="G68" s="48">
        <f>Funktional!T49</f>
        <v>135476.47500000001</v>
      </c>
      <c r="H68" s="48">
        <f>Artengliederung!R49</f>
        <v>406.39729729729731</v>
      </c>
      <c r="I68" s="186">
        <f>Artengliederung!Q49</f>
        <v>7518.35</v>
      </c>
      <c r="J68" s="48">
        <f>Funktional!Z49</f>
        <v>514.55540540540539</v>
      </c>
      <c r="K68" s="48">
        <f>Funktional!Y49</f>
        <v>9519.2749999999996</v>
      </c>
      <c r="L68" s="48">
        <f>'Kennzahlen Revision'!O49</f>
        <v>241.10270270270269</v>
      </c>
      <c r="M68" s="48">
        <f>'Kennzahlen Revision'!N49</f>
        <v>4460.3999999999996</v>
      </c>
      <c r="N68" s="80">
        <f>Funktional!AG49</f>
        <v>1902.7027027027027</v>
      </c>
      <c r="O68" s="43">
        <f>Funktional!AF49</f>
        <v>35200</v>
      </c>
      <c r="P68" s="43">
        <f>Funktional!AL49</f>
        <v>642.76756756756765</v>
      </c>
      <c r="Q68" s="43">
        <f>Funktional!AK49</f>
        <v>11891.2</v>
      </c>
      <c r="R68" s="80">
        <f>Funktional!AU49</f>
        <v>1556.9864864864865</v>
      </c>
      <c r="S68" s="43">
        <f>Funktional!AT49</f>
        <v>28804.25</v>
      </c>
      <c r="T68" s="80">
        <f>Funktional!AQ49</f>
        <v>36.767567567567568</v>
      </c>
      <c r="U68" s="43">
        <f>Funktional!AP49</f>
        <v>680.2</v>
      </c>
      <c r="V68" s="80">
        <f t="shared" si="14"/>
        <v>832.80405405405372</v>
      </c>
      <c r="W68" s="183">
        <f t="shared" si="14"/>
        <v>15406.874999999996</v>
      </c>
      <c r="X68" s="172">
        <f>Funktional!S49</f>
        <v>0.57168310048674298</v>
      </c>
      <c r="Y68" s="42">
        <f>Funktional!X49</f>
        <v>4.0169399494531723E-2</v>
      </c>
      <c r="Z68" s="42">
        <f>'Kennzahlen Revision'!L49</f>
        <v>1.8821978512587281E-2</v>
      </c>
      <c r="AA68" s="42">
        <f>Funktional!AE49</f>
        <v>0.14853682262646228</v>
      </c>
      <c r="AB68" s="42">
        <f>Funktional!AJ49</f>
        <v>5.017843935272126E-2</v>
      </c>
      <c r="AC68" s="42">
        <f>Funktional!AS49</f>
        <v>0.12154806173688285</v>
      </c>
      <c r="AD68" s="42">
        <f>Funktional!AO49</f>
        <v>2.8703053054124901E-3</v>
      </c>
      <c r="AE68" s="202">
        <f>Funktional!AV49</f>
        <v>6.5013870997246398E-2</v>
      </c>
      <c r="AF68" s="172">
        <f>'Kennzahlen Revision'!C49</f>
        <v>0.18759999999999999</v>
      </c>
      <c r="AG68" s="42">
        <f>'Kennzahlen Revision'!D49</f>
        <v>8.09E-2</v>
      </c>
      <c r="AH68" s="42">
        <f>Artengliederung!AN49</f>
        <v>0.61106445306009594</v>
      </c>
      <c r="AI68" s="178" t="str">
        <f t="shared" si="13"/>
        <v>Friltschen</v>
      </c>
    </row>
    <row r="69" spans="1:35" x14ac:dyDescent="0.25">
      <c r="A69" s="41" t="str">
        <f>Funktional!A50</f>
        <v>Gachnang</v>
      </c>
      <c r="B69" s="41" t="str">
        <f>Funktional!B50</f>
        <v>PSG</v>
      </c>
      <c r="C69" s="352">
        <f>Funktional!D50</f>
        <v>254</v>
      </c>
      <c r="D69" s="348">
        <f>Funktional!G50</f>
        <v>10761.029527244498</v>
      </c>
      <c r="E69" s="186">
        <f>Funktional!F50</f>
        <v>227775.12499334189</v>
      </c>
      <c r="F69" s="48">
        <f>Funktional!U50</f>
        <v>7333.6432268738572</v>
      </c>
      <c r="G69" s="48">
        <f>Funktional!T50</f>
        <v>155228.78163549665</v>
      </c>
      <c r="H69" s="48">
        <f>Artengliederung!R50</f>
        <v>258.40592460092125</v>
      </c>
      <c r="I69" s="186">
        <f>Artengliederung!Q50</f>
        <v>5469.5920707195</v>
      </c>
      <c r="J69" s="48">
        <f>Funktional!Z50</f>
        <v>652.70566866525348</v>
      </c>
      <c r="K69" s="48">
        <f>Funktional!Y50</f>
        <v>13815.6033200812</v>
      </c>
      <c r="L69" s="48">
        <f>'Kennzahlen Revision'!O50</f>
        <v>317.69985305146196</v>
      </c>
      <c r="M69" s="48">
        <f>'Kennzahlen Revision'!N50</f>
        <v>6724.6468895892785</v>
      </c>
      <c r="N69" s="80">
        <f>Funktional!AG50</f>
        <v>670.26480853315911</v>
      </c>
      <c r="O69" s="43">
        <f>Funktional!AF50</f>
        <v>14187.271780618534</v>
      </c>
      <c r="P69" s="43">
        <f>Funktional!AL50</f>
        <v>1271.5614005647387</v>
      </c>
      <c r="Q69" s="43">
        <f>Funktional!AK50</f>
        <v>26914.716311953638</v>
      </c>
      <c r="R69" s="80">
        <f>Funktional!AU50</f>
        <v>480.00582993739812</v>
      </c>
      <c r="S69" s="43">
        <f>Funktional!AT50</f>
        <v>10160.123400341594</v>
      </c>
      <c r="T69" s="80">
        <f>Funktional!AQ50</f>
        <v>27.658883701535935</v>
      </c>
      <c r="U69" s="43">
        <f>Funktional!AP50</f>
        <v>585.44637168251063</v>
      </c>
      <c r="V69" s="80">
        <f t="shared" si="14"/>
        <v>325.18970896855575</v>
      </c>
      <c r="W69" s="183">
        <f t="shared" si="14"/>
        <v>6883.1821731677628</v>
      </c>
      <c r="X69" s="172">
        <f>Funktional!S50</f>
        <v>0.68150014906164202</v>
      </c>
      <c r="Y69" s="42">
        <f>Funktional!X50</f>
        <v>6.0654574640163376E-2</v>
      </c>
      <c r="Z69" s="42">
        <f>'Kennzahlen Revision'!L50</f>
        <v>2.9523183841017962E-2</v>
      </c>
      <c r="AA69" s="42">
        <f>Funktional!AE50</f>
        <v>6.2286308836547642E-2</v>
      </c>
      <c r="AB69" s="42">
        <f>Funktional!AJ50</f>
        <v>0.11816354535088229</v>
      </c>
      <c r="AC69" s="42">
        <f>Funktional!AS50</f>
        <v>4.4605939303682014E-2</v>
      </c>
      <c r="AD69" s="42">
        <f>Funktional!AO50</f>
        <v>2.5702822979446231E-3</v>
      </c>
      <c r="AE69" s="202">
        <f>Funktional!AV50</f>
        <v>3.0219200509138004E-2</v>
      </c>
      <c r="AF69" s="172">
        <f>'Kennzahlen Revision'!C50</f>
        <v>8.0100000000000005E-2</v>
      </c>
      <c r="AG69" s="42">
        <f>'Kennzahlen Revision'!D50</f>
        <v>3.5700000000000003E-2</v>
      </c>
      <c r="AH69" s="42">
        <f>Artengliederung!AN50</f>
        <v>8.2066507211037656E-2</v>
      </c>
      <c r="AI69" s="178" t="str">
        <f t="shared" si="13"/>
        <v>Gachnang</v>
      </c>
    </row>
    <row r="70" spans="1:35" x14ac:dyDescent="0.25">
      <c r="A70" s="41" t="str">
        <f>Funktional!A51</f>
        <v>Götighofen</v>
      </c>
      <c r="B70" s="41" t="str">
        <f>Funktional!B51</f>
        <v>PSG</v>
      </c>
      <c r="C70" s="352">
        <f>Funktional!D51</f>
        <v>70</v>
      </c>
      <c r="D70" s="348">
        <f>Funktional!G51</f>
        <v>9691.1842203928118</v>
      </c>
      <c r="E70" s="186">
        <f>Funktional!F51</f>
        <v>226127.63180916561</v>
      </c>
      <c r="F70" s="48">
        <f>Funktional!U51</f>
        <v>5826.6909922736404</v>
      </c>
      <c r="G70" s="48">
        <f>Funktional!T51</f>
        <v>135956.12315305162</v>
      </c>
      <c r="H70" s="48">
        <f>Artengliederung!R51</f>
        <v>219.61879381145235</v>
      </c>
      <c r="I70" s="186">
        <f>Artengliederung!Q51</f>
        <v>5124.4385222672217</v>
      </c>
      <c r="J70" s="48">
        <f>Funktional!Z51</f>
        <v>362.64281917445044</v>
      </c>
      <c r="K70" s="48">
        <f>Funktional!Y51</f>
        <v>8461.6657807371757</v>
      </c>
      <c r="L70" s="48">
        <f>'Kennzahlen Revision'!O51</f>
        <v>156.06825574558826</v>
      </c>
      <c r="M70" s="48">
        <f>'Kennzahlen Revision'!N51</f>
        <v>3641.5926340637257</v>
      </c>
      <c r="N70" s="80">
        <f>Funktional!AG51</f>
        <v>1137.8594771106286</v>
      </c>
      <c r="O70" s="43">
        <f>Funktional!AF51</f>
        <v>26550.054465914669</v>
      </c>
      <c r="P70" s="43">
        <f>Funktional!AL51</f>
        <v>762.73803258262217</v>
      </c>
      <c r="Q70" s="43">
        <f>Funktional!AK51</f>
        <v>17797.220760261185</v>
      </c>
      <c r="R70" s="80">
        <f>Funktional!AU51</f>
        <v>518.61937057998375</v>
      </c>
      <c r="S70" s="43">
        <f>Funktional!AT51</f>
        <v>12101.118646866287</v>
      </c>
      <c r="T70" s="80">
        <f>Funktional!AQ51</f>
        <v>56.024516667446399</v>
      </c>
      <c r="U70" s="43">
        <f>Funktional!AP51</f>
        <v>1307.2387222404161</v>
      </c>
      <c r="V70" s="80">
        <f t="shared" si="14"/>
        <v>1026.6090120040401</v>
      </c>
      <c r="W70" s="183">
        <f t="shared" si="14"/>
        <v>23954.210280094248</v>
      </c>
      <c r="X70" s="172">
        <f>Funktional!S51</f>
        <v>0.60123622250547493</v>
      </c>
      <c r="Y70" s="42">
        <f>Funktional!X51</f>
        <v>3.7419866440197687E-2</v>
      </c>
      <c r="Z70" s="42">
        <f>'Kennzahlen Revision'!L51</f>
        <v>1.6104147047084235E-2</v>
      </c>
      <c r="AA70" s="42">
        <f>Funktional!AE51</f>
        <v>0.1174118096647334</v>
      </c>
      <c r="AB70" s="42">
        <f>Funktional!AJ51</f>
        <v>7.8704316751880513E-2</v>
      </c>
      <c r="AC70" s="42">
        <f>Funktional!AS51</f>
        <v>5.3514550831535279E-2</v>
      </c>
      <c r="AD70" s="42">
        <f>Funktional!AO51</f>
        <v>5.780977370088169E-3</v>
      </c>
      <c r="AE70" s="202">
        <f>Funktional!AV51</f>
        <v>0.10593225643609003</v>
      </c>
      <c r="AF70" s="172">
        <f>'Kennzahlen Revision'!C51</f>
        <v>0.15479999999999999</v>
      </c>
      <c r="AG70" s="42">
        <f>'Kennzahlen Revision'!D51</f>
        <v>3.1699999999999999E-2</v>
      </c>
      <c r="AH70" s="42">
        <f>Artengliederung!AN51</f>
        <v>0.4703103886265696</v>
      </c>
      <c r="AI70" s="178" t="str">
        <f t="shared" si="13"/>
        <v>Götighofen</v>
      </c>
    </row>
    <row r="71" spans="1:35" x14ac:dyDescent="0.25">
      <c r="A71" s="41" t="str">
        <f>Funktional!A52</f>
        <v>Gottlieben</v>
      </c>
      <c r="B71" s="41" t="str">
        <f>Funktional!B52</f>
        <v>PSG</v>
      </c>
      <c r="C71" s="352">
        <f>Funktional!D52</f>
        <v>21</v>
      </c>
      <c r="D71" s="348">
        <f>Funktional!G52</f>
        <v>9589.692857142858</v>
      </c>
      <c r="E71" s="186">
        <f>Funktional!F52</f>
        <v>201383.55000000002</v>
      </c>
      <c r="F71" s="48">
        <f>Funktional!U52</f>
        <v>6981.2857142857147</v>
      </c>
      <c r="G71" s="48">
        <f>Funktional!T52</f>
        <v>146607</v>
      </c>
      <c r="H71" s="48">
        <f>Artengliederung!R52</f>
        <v>388.28809523809525</v>
      </c>
      <c r="I71" s="186">
        <f>Artengliederung!Q52</f>
        <v>8154.05</v>
      </c>
      <c r="J71" s="48">
        <f>Funktional!Z52</f>
        <v>710.58333333333337</v>
      </c>
      <c r="K71" s="48">
        <f>Funktional!Y52</f>
        <v>14922.25</v>
      </c>
      <c r="L71" s="48">
        <f>'Kennzahlen Revision'!O52</f>
        <v>171.42857142857142</v>
      </c>
      <c r="M71" s="48">
        <f>'Kennzahlen Revision'!N52</f>
        <v>3600</v>
      </c>
      <c r="N71" s="80">
        <f>Funktional!AG52</f>
        <v>403.88809523809522</v>
      </c>
      <c r="O71" s="43">
        <f>Funktional!AF52</f>
        <v>8481.65</v>
      </c>
      <c r="P71" s="43">
        <f>Funktional!AL52</f>
        <v>267.99523809523816</v>
      </c>
      <c r="Q71" s="43">
        <f>Funktional!AK52</f>
        <v>5627.9000000000015</v>
      </c>
      <c r="R71" s="80">
        <f>Funktional!AU52</f>
        <v>0</v>
      </c>
      <c r="S71" s="43">
        <f>Funktional!AT52</f>
        <v>0</v>
      </c>
      <c r="T71" s="80">
        <f>Funktional!AQ52</f>
        <v>145.69285714285715</v>
      </c>
      <c r="U71" s="43">
        <f>Funktional!AP52</f>
        <v>3059.55</v>
      </c>
      <c r="V71" s="80">
        <f t="shared" si="14"/>
        <v>1080.2476190476193</v>
      </c>
      <c r="W71" s="183">
        <f t="shared" si="14"/>
        <v>22685.200000000015</v>
      </c>
      <c r="X71" s="172">
        <f>Funktional!S52</f>
        <v>0.72799888570839066</v>
      </c>
      <c r="Y71" s="42">
        <f>Funktional!X52</f>
        <v>7.4098654036042169E-2</v>
      </c>
      <c r="Z71" s="42">
        <f>'Kennzahlen Revision'!L52</f>
        <v>1.7876335976796515E-2</v>
      </c>
      <c r="AA71" s="42">
        <f>Funktional!AE52</f>
        <v>4.211689584377671E-2</v>
      </c>
      <c r="AB71" s="42">
        <f>Funktional!AJ52</f>
        <v>2.7946175345503647E-2</v>
      </c>
      <c r="AC71" s="42">
        <f>Funktional!AS52</f>
        <v>0</v>
      </c>
      <c r="AD71" s="42">
        <f>Funktional!AO52</f>
        <v>1.5192651038279938E-2</v>
      </c>
      <c r="AE71" s="202">
        <f>Funktional!AV52</f>
        <v>0.1126467380280069</v>
      </c>
      <c r="AF71" s="172">
        <f>'Kennzahlen Revision'!C52</f>
        <v>-8.1199999999999994E-2</v>
      </c>
      <c r="AG71" s="42">
        <f>'Kennzahlen Revision'!D52</f>
        <v>-0.11559999999999999</v>
      </c>
      <c r="AH71" s="42">
        <f>Artengliederung!AN52</f>
        <v>0</v>
      </c>
      <c r="AI71" s="178" t="str">
        <f t="shared" si="13"/>
        <v>Gottlieben</v>
      </c>
    </row>
    <row r="72" spans="1:35" x14ac:dyDescent="0.25">
      <c r="A72" s="41" t="str">
        <f>Funktional!A53</f>
        <v>Gottshaus</v>
      </c>
      <c r="B72" s="41" t="str">
        <f>Funktional!B53</f>
        <v>PSG</v>
      </c>
      <c r="C72" s="352">
        <f>Funktional!D53</f>
        <v>78</v>
      </c>
      <c r="D72" s="348">
        <f>Funktional!G53</f>
        <v>10571.181102516104</v>
      </c>
      <c r="E72" s="186">
        <f>Funktional!F53</f>
        <v>183233.80577694581</v>
      </c>
      <c r="F72" s="48">
        <f>Funktional!U53</f>
        <v>7258.4736661088637</v>
      </c>
      <c r="G72" s="48">
        <f>Funktional!T53</f>
        <v>125813.54354588698</v>
      </c>
      <c r="H72" s="48">
        <f>Artengliederung!R53</f>
        <v>258.3906974478914</v>
      </c>
      <c r="I72" s="186">
        <f>Artengliederung!Q53</f>
        <v>4478.7720890967839</v>
      </c>
      <c r="J72" s="48">
        <f>Funktional!Z53</f>
        <v>512.94845897966979</v>
      </c>
      <c r="K72" s="48">
        <f>Funktional!Y53</f>
        <v>8891.106622314277</v>
      </c>
      <c r="L72" s="48">
        <f>'Kennzahlen Revision'!O53</f>
        <v>257.97537932643263</v>
      </c>
      <c r="M72" s="48">
        <f>'Kennzahlen Revision'!N53</f>
        <v>4471.5732416581659</v>
      </c>
      <c r="N72" s="80">
        <f>Funktional!AG53</f>
        <v>188.81129055874251</v>
      </c>
      <c r="O72" s="43">
        <f>Funktional!AF53</f>
        <v>3272.7290363515367</v>
      </c>
      <c r="P72" s="43">
        <f>Funktional!AL53</f>
        <v>1935.5803753834887</v>
      </c>
      <c r="Q72" s="43">
        <f>Funktional!AK53</f>
        <v>33550.059839980473</v>
      </c>
      <c r="R72" s="80">
        <f>Funktional!AU53</f>
        <v>32.786224394137356</v>
      </c>
      <c r="S72" s="43">
        <f>Funktional!AT53</f>
        <v>568.29455616504754</v>
      </c>
      <c r="T72" s="80">
        <f>Funktional!AQ53</f>
        <v>40.3175487224905</v>
      </c>
      <c r="U72" s="43">
        <f>Funktional!AP53</f>
        <v>698.83751118983537</v>
      </c>
      <c r="V72" s="80">
        <f t="shared" si="14"/>
        <v>602.26353836871147</v>
      </c>
      <c r="W72" s="183">
        <f t="shared" si="14"/>
        <v>10439.234665057667</v>
      </c>
      <c r="X72" s="172">
        <f>Funktional!S53</f>
        <v>0.68662844725848426</v>
      </c>
      <c r="Y72" s="42">
        <f>Funktional!X53</f>
        <v>4.8523287417484517E-2</v>
      </c>
      <c r="Z72" s="42">
        <f>'Kennzahlen Revision'!L53</f>
        <v>2.4403647693163683E-2</v>
      </c>
      <c r="AA72" s="42">
        <f>Funktional!AE53</f>
        <v>1.7860945596117214E-2</v>
      </c>
      <c r="AB72" s="42">
        <f>Funktional!AJ53</f>
        <v>0.18309972713671424</v>
      </c>
      <c r="AC72" s="42">
        <f>Funktional!AS53</f>
        <v>3.1014722079005658E-3</v>
      </c>
      <c r="AD72" s="42">
        <f>Funktional!AO53</f>
        <v>3.8139114571496937E-3</v>
      </c>
      <c r="AE72" s="202">
        <f>Funktional!AV53</f>
        <v>5.6972208926149501E-2</v>
      </c>
      <c r="AF72" s="172">
        <f>'Kennzahlen Revision'!C53</f>
        <v>2.2000000000000001E-3</v>
      </c>
      <c r="AG72" s="42">
        <f>'Kennzahlen Revision'!D53</f>
        <v>-1.0699999999999999E-2</v>
      </c>
      <c r="AH72" s="42">
        <f>Artengliederung!AN53</f>
        <v>0.39803506457052662</v>
      </c>
      <c r="AI72" s="178" t="str">
        <f t="shared" si="13"/>
        <v>Gottshaus</v>
      </c>
    </row>
    <row r="73" spans="1:35" x14ac:dyDescent="0.25">
      <c r="A73" s="41" t="str">
        <f>Funktional!A54</f>
        <v>Gündelhart-Hörhausen</v>
      </c>
      <c r="B73" s="41" t="str">
        <f>Funktional!B54</f>
        <v>PSG</v>
      </c>
      <c r="C73" s="352">
        <f>Funktional!D54</f>
        <v>66</v>
      </c>
      <c r="D73" s="348">
        <f>Funktional!G54</f>
        <v>11450.172393372075</v>
      </c>
      <c r="E73" s="186">
        <f>Funktional!F54</f>
        <v>251903.79265418564</v>
      </c>
      <c r="F73" s="48">
        <f>Funktional!U54</f>
        <v>7729.9755535704853</v>
      </c>
      <c r="G73" s="48">
        <f>Funktional!T54</f>
        <v>170059.46217855069</v>
      </c>
      <c r="H73" s="48">
        <f>Artengliederung!R54</f>
        <v>339.08665976736506</v>
      </c>
      <c r="I73" s="186">
        <f>Artengliederung!Q54</f>
        <v>7459.9065148820309</v>
      </c>
      <c r="J73" s="48">
        <f>Funktional!Z54</f>
        <v>506.24502113699782</v>
      </c>
      <c r="K73" s="48">
        <f>Funktional!Y54</f>
        <v>11137.390465013952</v>
      </c>
      <c r="L73" s="48">
        <f>'Kennzahlen Revision'!O54</f>
        <v>214.75012410313551</v>
      </c>
      <c r="M73" s="48">
        <f>'Kennzahlen Revision'!N54</f>
        <v>4724.5027302689814</v>
      </c>
      <c r="N73" s="80">
        <f>Funktional!AG54</f>
        <v>553.5810498841729</v>
      </c>
      <c r="O73" s="43">
        <f>Funktional!AF54</f>
        <v>12178.783097451806</v>
      </c>
      <c r="P73" s="43">
        <f>Funktional!AL54</f>
        <v>1541.5644695826625</v>
      </c>
      <c r="Q73" s="43">
        <f>Funktional!AK54</f>
        <v>33914.418330818575</v>
      </c>
      <c r="R73" s="80">
        <f>Funktional!AU54</f>
        <v>458.35700552582722</v>
      </c>
      <c r="S73" s="43">
        <f>Funktional!AT54</f>
        <v>10083.8541215682</v>
      </c>
      <c r="T73" s="80">
        <f>Funktional!AQ54</f>
        <v>93.775992176023394</v>
      </c>
      <c r="U73" s="43">
        <f>Funktional!AP54</f>
        <v>2063.0718278725149</v>
      </c>
      <c r="V73" s="80">
        <f t="shared" si="14"/>
        <v>566.673301495906</v>
      </c>
      <c r="W73" s="183">
        <f t="shared" si="14"/>
        <v>12466.812632909912</v>
      </c>
      <c r="X73" s="172">
        <f>Funktional!S54</f>
        <v>0.67509687085977654</v>
      </c>
      <c r="Y73" s="42">
        <f>Funktional!X54</f>
        <v>4.4212873286522521E-2</v>
      </c>
      <c r="Z73" s="42">
        <f>'Kennzahlen Revision'!L54</f>
        <v>1.8755186972332704E-2</v>
      </c>
      <c r="AA73" s="42">
        <f>Funktional!AE54</f>
        <v>4.8346962025184272E-2</v>
      </c>
      <c r="AB73" s="42">
        <f>Funktional!AJ54</f>
        <v>0.13463242444061332</v>
      </c>
      <c r="AC73" s="42">
        <f>Funktional!AS54</f>
        <v>4.0030576813947963E-2</v>
      </c>
      <c r="AD73" s="42">
        <f>Funktional!AO54</f>
        <v>8.1899196758212639E-3</v>
      </c>
      <c r="AE73" s="202">
        <f>Funktional!AV54</f>
        <v>4.9490372898134127E-2</v>
      </c>
      <c r="AF73" s="172">
        <f>'Kennzahlen Revision'!C54</f>
        <v>7.6899999999999996E-2</v>
      </c>
      <c r="AG73" s="42">
        <f>'Kennzahlen Revision'!D54</f>
        <v>0.03</v>
      </c>
      <c r="AH73" s="42">
        <f>Artengliederung!AN54</f>
        <v>0.54867826692094357</v>
      </c>
      <c r="AI73" s="178" t="str">
        <f t="shared" si="13"/>
        <v>Gündelhart-Hörhausen</v>
      </c>
    </row>
    <row r="74" spans="1:35" x14ac:dyDescent="0.25">
      <c r="A74" s="41" t="str">
        <f>Funktional!A55</f>
        <v>Guntershausen</v>
      </c>
      <c r="B74" s="41" t="str">
        <f>Funktional!B55</f>
        <v>PSG</v>
      </c>
      <c r="C74" s="352">
        <f>Funktional!D55</f>
        <v>133</v>
      </c>
      <c r="D74" s="348">
        <f>Funktional!G55</f>
        <v>11318.23429942632</v>
      </c>
      <c r="E74" s="186">
        <f>Funktional!F55</f>
        <v>250887.52697061677</v>
      </c>
      <c r="F74" s="48">
        <f>Funktional!U55</f>
        <v>5585.7491523313056</v>
      </c>
      <c r="G74" s="48">
        <f>Funktional!T55</f>
        <v>123817.43954334395</v>
      </c>
      <c r="H74" s="48">
        <f>Artengliederung!R55</f>
        <v>337.65108517179124</v>
      </c>
      <c r="I74" s="186">
        <f>Artengliederung!Q55</f>
        <v>7484.5990546413732</v>
      </c>
      <c r="J74" s="48">
        <f>Funktional!Z55</f>
        <v>318.00102823495325</v>
      </c>
      <c r="K74" s="48">
        <f>Funktional!Y55</f>
        <v>7049.0227925414629</v>
      </c>
      <c r="L74" s="48">
        <f>'Kennzahlen Revision'!O55</f>
        <v>122.00286279090024</v>
      </c>
      <c r="M74" s="48">
        <f>'Kennzahlen Revision'!N55</f>
        <v>2704.3967918649555</v>
      </c>
      <c r="N74" s="80">
        <f>Funktional!AG55</f>
        <v>1619.0519505556711</v>
      </c>
      <c r="O74" s="43">
        <f>Funktional!AF55</f>
        <v>35888.984903984041</v>
      </c>
      <c r="P74" s="43">
        <f>Funktional!AL55</f>
        <v>842.77098912242343</v>
      </c>
      <c r="Q74" s="43">
        <f>Funktional!AK55</f>
        <v>18681.42359221372</v>
      </c>
      <c r="R74" s="80">
        <f>Funktional!AU55</f>
        <v>1198.7907346967372</v>
      </c>
      <c r="S74" s="43">
        <f>Funktional!AT55</f>
        <v>26573.194619111007</v>
      </c>
      <c r="T74" s="80">
        <f>Funktional!AQ55</f>
        <v>26.187971135113909</v>
      </c>
      <c r="U74" s="43">
        <f>Funktional!AP55</f>
        <v>580.50002682835827</v>
      </c>
      <c r="V74" s="80">
        <f t="shared" si="14"/>
        <v>1727.6824733501153</v>
      </c>
      <c r="W74" s="183">
        <f t="shared" si="14"/>
        <v>38296.961492594251</v>
      </c>
      <c r="X74" s="172">
        <f>Funktional!S55</f>
        <v>0.49351771703598912</v>
      </c>
      <c r="Y74" s="42">
        <f>Funktional!X55</f>
        <v>2.8096346110370901E-2</v>
      </c>
      <c r="Z74" s="42">
        <f>'Kennzahlen Revision'!L55</f>
        <v>1.0779319420617058E-2</v>
      </c>
      <c r="AA74" s="42">
        <f>Funktional!AE55</f>
        <v>0.14304810341642554</v>
      </c>
      <c r="AB74" s="42">
        <f>Funktional!AJ55</f>
        <v>7.4461348548433948E-2</v>
      </c>
      <c r="AC74" s="42">
        <f>Funktional!AS55</f>
        <v>0.10591676254285524</v>
      </c>
      <c r="AD74" s="42">
        <f>Funktional!AO55</f>
        <v>2.313785917688705E-3</v>
      </c>
      <c r="AE74" s="202">
        <f>Funktional!AV55</f>
        <v>0.15264593642823648</v>
      </c>
      <c r="AF74" s="172">
        <f>'Kennzahlen Revision'!C55</f>
        <v>0.25119999999999998</v>
      </c>
      <c r="AG74" s="42">
        <f>'Kennzahlen Revision'!D55</f>
        <v>0.1022</v>
      </c>
      <c r="AH74" s="42">
        <f>Artengliederung!AN55</f>
        <v>0.45726744276235859</v>
      </c>
      <c r="AI74" s="178" t="str">
        <f t="shared" si="13"/>
        <v>Guntershausen</v>
      </c>
    </row>
    <row r="75" spans="1:35" x14ac:dyDescent="0.25">
      <c r="A75" s="41" t="str">
        <f>Funktional!A56</f>
        <v>Güttingen</v>
      </c>
      <c r="B75" s="41" t="str">
        <f>Funktional!B56</f>
        <v>PSG</v>
      </c>
      <c r="C75" s="352">
        <f>Funktional!D56</f>
        <v>119</v>
      </c>
      <c r="D75" s="348">
        <f>Funktional!G56</f>
        <v>9769.6600659742744</v>
      </c>
      <c r="E75" s="186">
        <f>Funktional!F56</f>
        <v>211379.91779107976</v>
      </c>
      <c r="F75" s="48">
        <f>Funktional!U56</f>
        <v>7141.9383806568358</v>
      </c>
      <c r="G75" s="48">
        <f>Funktional!T56</f>
        <v>154525.57587239335</v>
      </c>
      <c r="H75" s="48">
        <f>Artengliederung!R56</f>
        <v>375.30537539535635</v>
      </c>
      <c r="I75" s="186">
        <f>Artengliederung!Q56</f>
        <v>8120.243576735892</v>
      </c>
      <c r="J75" s="48">
        <f>Funktional!Z56</f>
        <v>586.6435726053337</v>
      </c>
      <c r="K75" s="48">
        <f>Funktional!Y56</f>
        <v>12692.833661824494</v>
      </c>
      <c r="L75" s="48">
        <f>'Kennzahlen Revision'!O56</f>
        <v>216.88076196700936</v>
      </c>
      <c r="M75" s="48">
        <f>'Kennzahlen Revision'!N56</f>
        <v>4692.5110316498385</v>
      </c>
      <c r="N75" s="80">
        <f>Funktional!AG56</f>
        <v>0</v>
      </c>
      <c r="O75" s="43">
        <f>Funktional!AF56</f>
        <v>0</v>
      </c>
      <c r="P75" s="43">
        <f>Funktional!AL56</f>
        <v>1194.2109797467313</v>
      </c>
      <c r="Q75" s="43">
        <f>Funktional!AK56</f>
        <v>25838.383016338365</v>
      </c>
      <c r="R75" s="80">
        <f>Funktional!AU56</f>
        <v>78.459122629745579</v>
      </c>
      <c r="S75" s="43">
        <f>Funktional!AT56</f>
        <v>1697.5701078072225</v>
      </c>
      <c r="T75" s="80">
        <f>Funktional!AQ56</f>
        <v>40.994241714850084</v>
      </c>
      <c r="U75" s="43">
        <f>Funktional!AP56</f>
        <v>886.96632073948354</v>
      </c>
      <c r="V75" s="80">
        <f t="shared" si="14"/>
        <v>727.413768620778</v>
      </c>
      <c r="W75" s="183">
        <f t="shared" si="14"/>
        <v>15738.588811976839</v>
      </c>
      <c r="X75" s="172">
        <f>Funktional!S56</f>
        <v>0.73103243433522769</v>
      </c>
      <c r="Y75" s="42">
        <f>Funktional!X56</f>
        <v>6.0047490766694446E-2</v>
      </c>
      <c r="Z75" s="42">
        <f>'Kennzahlen Revision'!L56</f>
        <v>2.2199417431355735E-2</v>
      </c>
      <c r="AA75" s="42">
        <f>Funktional!AE56</f>
        <v>0</v>
      </c>
      <c r="AB75" s="42">
        <f>Funktional!AJ56</f>
        <v>0.12223669725274509</v>
      </c>
      <c r="AC75" s="42">
        <f>Funktional!AS56</f>
        <v>8.0308958653538647E-3</v>
      </c>
      <c r="AD75" s="42">
        <f>Funktional!AO56</f>
        <v>4.196076571550798E-3</v>
      </c>
      <c r="AE75" s="202">
        <f>Funktional!AV56</f>
        <v>7.4456405208428111E-2</v>
      </c>
      <c r="AF75" s="172">
        <f>'Kennzahlen Revision'!C56</f>
        <v>2.63E-2</v>
      </c>
      <c r="AG75" s="42">
        <f>'Kennzahlen Revision'!D56</f>
        <v>2.63E-2</v>
      </c>
      <c r="AH75" s="42">
        <f>Artengliederung!AN56</f>
        <v>6.436205675661695E-2</v>
      </c>
      <c r="AI75" s="178" t="str">
        <f t="shared" si="13"/>
        <v>Güttingen</v>
      </c>
    </row>
    <row r="76" spans="1:35" x14ac:dyDescent="0.25">
      <c r="A76" s="41" t="str">
        <f>Funktional!A57</f>
        <v>Halden-Kenzenau</v>
      </c>
      <c r="B76" s="41" t="str">
        <f>Funktional!B57</f>
        <v>PSG</v>
      </c>
      <c r="C76" s="352">
        <f>Funktional!D57</f>
        <v>59</v>
      </c>
      <c r="D76" s="348">
        <f>Funktional!G57</f>
        <v>10636.592798418673</v>
      </c>
      <c r="E76" s="186">
        <f>Funktional!F57</f>
        <v>209186.32503556725</v>
      </c>
      <c r="F76" s="48">
        <f>Funktional!U57</f>
        <v>8092.2797805328773</v>
      </c>
      <c r="G76" s="48">
        <f>Funktional!T57</f>
        <v>159148.1690171466</v>
      </c>
      <c r="H76" s="48">
        <f>Artengliederung!R57</f>
        <v>383.84633630336594</v>
      </c>
      <c r="I76" s="186">
        <f>Artengliederung!Q57</f>
        <v>7548.9779472995297</v>
      </c>
      <c r="J76" s="48">
        <f>Funktional!Z57</f>
        <v>463.78877754403197</v>
      </c>
      <c r="K76" s="48">
        <f>Funktional!Y57</f>
        <v>9121.1792916992945</v>
      </c>
      <c r="L76" s="48">
        <f>'Kennzahlen Revision'!O57</f>
        <v>191.37905845388133</v>
      </c>
      <c r="M76" s="48">
        <f>'Kennzahlen Revision'!N57</f>
        <v>3763.7881495929996</v>
      </c>
      <c r="N76" s="80">
        <f>Funktional!AG57</f>
        <v>559.20459192638361</v>
      </c>
      <c r="O76" s="43">
        <f>Funktional!AF57</f>
        <v>10997.690307885545</v>
      </c>
      <c r="P76" s="43">
        <f>Funktional!AL57</f>
        <v>582.97720573324943</v>
      </c>
      <c r="Q76" s="43">
        <f>Funktional!AK57</f>
        <v>11465.218379420572</v>
      </c>
      <c r="R76" s="80">
        <f>Funktional!AU57</f>
        <v>277.59997227528186</v>
      </c>
      <c r="S76" s="43">
        <f>Funktional!AT57</f>
        <v>5459.4661214138769</v>
      </c>
      <c r="T76" s="80">
        <f>Funktional!AQ57</f>
        <v>86.996316251759168</v>
      </c>
      <c r="U76" s="43">
        <f>Funktional!AP57</f>
        <v>1710.9275529512636</v>
      </c>
      <c r="V76" s="80">
        <f t="shared" ref="V76:W76" si="15">D76-F76-J76-N76-P76-R76-T76</f>
        <v>573.74615415508913</v>
      </c>
      <c r="W76" s="183">
        <f t="shared" si="15"/>
        <v>11283.674365050098</v>
      </c>
      <c r="X76" s="172">
        <f>Funktional!S57</f>
        <v>0.76079623746957248</v>
      </c>
      <c r="Y76" s="42">
        <f>Funktional!X57</f>
        <v>4.3603133666354398E-2</v>
      </c>
      <c r="Z76" s="42">
        <f>'Kennzahlen Revision'!L57</f>
        <v>1.7992515280112385E-2</v>
      </c>
      <c r="AA76" s="42">
        <f>Funktional!AE57</f>
        <v>5.2573657986561238E-2</v>
      </c>
      <c r="AB76" s="42">
        <f>Funktional!AJ57</f>
        <v>5.4808641900808669E-2</v>
      </c>
      <c r="AC76" s="42">
        <f>Funktional!AS57</f>
        <v>2.6098580394706118E-2</v>
      </c>
      <c r="AD76" s="42">
        <f>Funktional!AO57</f>
        <v>8.1789646271588756E-3</v>
      </c>
      <c r="AE76" s="202">
        <f>Funktional!AV57</f>
        <v>5.3940783954838208E-2</v>
      </c>
      <c r="AF76" s="172">
        <f>'Kennzahlen Revision'!C57</f>
        <v>4.1399999999999999E-2</v>
      </c>
      <c r="AG76" s="42">
        <f>'Kennzahlen Revision'!D57</f>
        <v>-8.3999999999999995E-3</v>
      </c>
      <c r="AH76" s="42">
        <f>Artengliederung!AN57</f>
        <v>0.4413021586995336</v>
      </c>
      <c r="AI76" s="178" t="str">
        <f>A76</f>
        <v>Halden-Kenzenau</v>
      </c>
    </row>
    <row r="77" spans="1:35" s="9" customFormat="1" ht="18" customHeight="1" x14ac:dyDescent="0.2">
      <c r="A77" s="312" t="s">
        <v>41</v>
      </c>
      <c r="B77" s="312"/>
      <c r="C77" s="353">
        <f t="shared" ref="C77:AE77" si="16">C6</f>
        <v>19861</v>
      </c>
      <c r="D77" s="349">
        <f t="shared" si="16"/>
        <v>11316.562847523795</v>
      </c>
      <c r="E77" s="314">
        <f t="shared" si="16"/>
        <v>226259.10678970849</v>
      </c>
      <c r="F77" s="313">
        <f t="shared" si="16"/>
        <v>7111.1591126842804</v>
      </c>
      <c r="G77" s="314">
        <f t="shared" si="16"/>
        <v>142177.84417001694</v>
      </c>
      <c r="H77" s="313">
        <f t="shared" si="16"/>
        <v>303.8525548832377</v>
      </c>
      <c r="I77" s="314">
        <f t="shared" si="16"/>
        <v>6075.1138477258992</v>
      </c>
      <c r="J77" s="313">
        <f t="shared" si="16"/>
        <v>547.56315926106413</v>
      </c>
      <c r="K77" s="313">
        <f t="shared" si="16"/>
        <v>10947.772127865503</v>
      </c>
      <c r="L77" s="313">
        <f t="shared" si="16"/>
        <v>198.97242004155714</v>
      </c>
      <c r="M77" s="314">
        <f t="shared" si="16"/>
        <v>3978.1798272997885</v>
      </c>
      <c r="N77" s="349">
        <f t="shared" si="16"/>
        <v>769.57663412908369</v>
      </c>
      <c r="O77" s="313">
        <f t="shared" si="16"/>
        <v>15386.626150569844</v>
      </c>
      <c r="P77" s="313">
        <f t="shared" si="16"/>
        <v>1050.9872100285863</v>
      </c>
      <c r="Q77" s="314">
        <f t="shared" si="16"/>
        <v>21013.043500262829</v>
      </c>
      <c r="R77" s="313">
        <f t="shared" si="16"/>
        <v>603.69366984534804</v>
      </c>
      <c r="S77" s="314">
        <f t="shared" si="16"/>
        <v>12070.024472465815</v>
      </c>
      <c r="T77" s="313">
        <f t="shared" si="16"/>
        <v>40.05490542386967</v>
      </c>
      <c r="U77" s="314">
        <f t="shared" si="16"/>
        <v>800.84273342184042</v>
      </c>
      <c r="V77" s="313">
        <f t="shared" si="16"/>
        <v>1193.5281561515628</v>
      </c>
      <c r="W77" s="313">
        <f t="shared" si="16"/>
        <v>23862.953635105718</v>
      </c>
      <c r="X77" s="316">
        <f t="shared" si="16"/>
        <v>0.62838506784242276</v>
      </c>
      <c r="Y77" s="317">
        <f t="shared" si="16"/>
        <v>4.8385995521677133E-2</v>
      </c>
      <c r="Z77" s="317">
        <f t="shared" si="16"/>
        <v>1.7582407549222846E-2</v>
      </c>
      <c r="AA77" s="317">
        <f t="shared" si="16"/>
        <v>6.8004450158422144E-2</v>
      </c>
      <c r="AB77" s="317">
        <f t="shared" si="16"/>
        <v>9.28715922130504E-2</v>
      </c>
      <c r="AC77" s="317">
        <f t="shared" si="16"/>
        <v>5.3346027232769162E-2</v>
      </c>
      <c r="AD77" s="317">
        <f t="shared" si="16"/>
        <v>3.5394939226298899E-3</v>
      </c>
      <c r="AE77" s="318">
        <f t="shared" si="16"/>
        <v>0.10546737310902851</v>
      </c>
      <c r="AF77" s="316"/>
      <c r="AG77" s="317"/>
      <c r="AH77" s="317">
        <f>AH6</f>
        <v>0.1907272585092572</v>
      </c>
      <c r="AI77" s="319" t="s">
        <v>41</v>
      </c>
    </row>
    <row r="78" spans="1:35" x14ac:dyDescent="0.25">
      <c r="A78" s="41" t="str">
        <f>Funktional!A58</f>
        <v>Hauptwil</v>
      </c>
      <c r="B78" s="41" t="str">
        <f>Funktional!B58</f>
        <v>PSG</v>
      </c>
      <c r="C78" s="352">
        <f>Funktional!D58</f>
        <v>120</v>
      </c>
      <c r="D78" s="348">
        <f>Funktional!G58</f>
        <v>13968.643414188502</v>
      </c>
      <c r="E78" s="186">
        <f>Funktional!F58</f>
        <v>304770.40176411276</v>
      </c>
      <c r="F78" s="48">
        <f>Funktional!U58</f>
        <v>6799.2620740309903</v>
      </c>
      <c r="G78" s="48">
        <f>Funktional!T58</f>
        <v>148347.53616067616</v>
      </c>
      <c r="H78" s="48">
        <f>Artengliederung!R58</f>
        <v>329.4603327999132</v>
      </c>
      <c r="I78" s="186">
        <f>Artengliederung!Q58</f>
        <v>7188.2254429071972</v>
      </c>
      <c r="J78" s="48">
        <f>Funktional!Z58</f>
        <v>460.63492912448311</v>
      </c>
      <c r="K78" s="48">
        <f>Funktional!Y58</f>
        <v>10050.216635443268</v>
      </c>
      <c r="L78" s="48">
        <f>'Kennzahlen Revision'!O58</f>
        <v>161.08084498930856</v>
      </c>
      <c r="M78" s="48">
        <f>'Kennzahlen Revision'!N58</f>
        <v>3514.4911634030959</v>
      </c>
      <c r="N78" s="80">
        <f>Funktional!AG58</f>
        <v>1264.1712305823037</v>
      </c>
      <c r="O78" s="43">
        <f>Funktional!AF58</f>
        <v>27581.917758159354</v>
      </c>
      <c r="P78" s="43">
        <f>Funktional!AL58</f>
        <v>1342.8227870943613</v>
      </c>
      <c r="Q78" s="43">
        <f>Funktional!AK58</f>
        <v>29297.951718422424</v>
      </c>
      <c r="R78" s="80">
        <f>Funktional!AU58</f>
        <v>1484.0530871881761</v>
      </c>
      <c r="S78" s="43">
        <f>Funktional!AT58</f>
        <v>32379.340084105661</v>
      </c>
      <c r="T78" s="80">
        <f>Funktional!AQ58</f>
        <v>13.648994823474805</v>
      </c>
      <c r="U78" s="43">
        <f>Funktional!AP58</f>
        <v>297.79625069399577</v>
      </c>
      <c r="V78" s="80">
        <f t="shared" ref="V78:W79" si="17">D78-F78-J78-N78-P78-R78-T78</f>
        <v>2604.0503113447126</v>
      </c>
      <c r="W78" s="183">
        <f t="shared" si="17"/>
        <v>56815.643156611899</v>
      </c>
      <c r="X78" s="172">
        <f>Funktional!S58</f>
        <v>0.48675178200373498</v>
      </c>
      <c r="Y78" s="42">
        <f>Funktional!X58</f>
        <v>3.2976353928299007E-2</v>
      </c>
      <c r="Z78" s="42">
        <f>'Kennzahlen Revision'!L58</f>
        <v>1.1531602619742759E-2</v>
      </c>
      <c r="AA78" s="42">
        <f>Funktional!AE58</f>
        <v>9.050064441463479E-2</v>
      </c>
      <c r="AB78" s="42">
        <f>Funktional!AJ58</f>
        <v>9.6131223861753323E-2</v>
      </c>
      <c r="AC78" s="42">
        <f>Funktional!AS58</f>
        <v>0.10624174754727898</v>
      </c>
      <c r="AD78" s="42">
        <f>Funktional!AO58</f>
        <v>9.7711670480549184E-4</v>
      </c>
      <c r="AE78" s="202">
        <f>Funktional!AV58</f>
        <v>0.18642113153949336</v>
      </c>
      <c r="AF78" s="172">
        <f>'Kennzahlen Revision'!C58</f>
        <v>0.1181</v>
      </c>
      <c r="AG78" s="42">
        <f>'Kennzahlen Revision'!D58</f>
        <v>0.1181</v>
      </c>
      <c r="AH78" s="42">
        <f>Artengliederung!AN58</f>
        <v>0.48029879796943625</v>
      </c>
      <c r="AI78" s="178" t="str">
        <f>A78</f>
        <v>Hauptwil</v>
      </c>
    </row>
    <row r="79" spans="1:35" x14ac:dyDescent="0.25">
      <c r="A79" s="41" t="str">
        <f>Funktional!A59</f>
        <v>Häuslenen-Aawangen</v>
      </c>
      <c r="B79" s="41" t="str">
        <f>Funktional!B59</f>
        <v>PSG</v>
      </c>
      <c r="C79" s="352">
        <f>Funktional!D59</f>
        <v>54</v>
      </c>
      <c r="D79" s="348">
        <f>Funktional!G59</f>
        <v>11653.209121609538</v>
      </c>
      <c r="E79" s="186">
        <f>Funktional!F59</f>
        <v>209757.76418897169</v>
      </c>
      <c r="F79" s="48">
        <f>Funktional!U59</f>
        <v>7939.4376864099395</v>
      </c>
      <c r="G79" s="48">
        <f>Funktional!T59</f>
        <v>142909.8783553789</v>
      </c>
      <c r="H79" s="48">
        <f>Artengliederung!R59</f>
        <v>393.42324604326797</v>
      </c>
      <c r="I79" s="186">
        <f>Artengliederung!Q59</f>
        <v>7081.6184287788237</v>
      </c>
      <c r="J79" s="48">
        <f>Funktional!Z59</f>
        <v>416.55718525470729</v>
      </c>
      <c r="K79" s="48">
        <f>Funktional!Y59</f>
        <v>7498.0293345847313</v>
      </c>
      <c r="L79" s="48">
        <f>'Kennzahlen Revision'!O59</f>
        <v>137.72054488176866</v>
      </c>
      <c r="M79" s="48">
        <f>'Kennzahlen Revision'!N59</f>
        <v>2478.9698078718357</v>
      </c>
      <c r="N79" s="80">
        <f>Funktional!AG59</f>
        <v>1141.2598102304123</v>
      </c>
      <c r="O79" s="43">
        <f>Funktional!AF59</f>
        <v>20542.676584147423</v>
      </c>
      <c r="P79" s="43">
        <f>Funktional!AL59</f>
        <v>812.80409150913886</v>
      </c>
      <c r="Q79" s="43">
        <f>Funktional!AK59</f>
        <v>14630.473647164499</v>
      </c>
      <c r="R79" s="80">
        <f>Funktional!AU59</f>
        <v>693.87656538742306</v>
      </c>
      <c r="S79" s="43">
        <f>Funktional!AT59</f>
        <v>12489.778176973616</v>
      </c>
      <c r="T79" s="80">
        <f>Funktional!AQ59</f>
        <v>18.353402331475476</v>
      </c>
      <c r="U79" s="43">
        <f>Funktional!AP59</f>
        <v>330.36124196655857</v>
      </c>
      <c r="V79" s="80">
        <f t="shared" si="17"/>
        <v>630.92038048644145</v>
      </c>
      <c r="W79" s="183">
        <f t="shared" si="17"/>
        <v>11356.566848755961</v>
      </c>
      <c r="X79" s="172">
        <f>Funktional!S59</f>
        <v>0.68130912296829582</v>
      </c>
      <c r="Y79" s="42">
        <f>Funktional!X59</f>
        <v>3.5746134897918364E-2</v>
      </c>
      <c r="Z79" s="42">
        <f>'Kennzahlen Revision'!L59</f>
        <v>1.1818250530352341E-2</v>
      </c>
      <c r="AA79" s="42">
        <f>Funktional!AE59</f>
        <v>9.7935238123726537E-2</v>
      </c>
      <c r="AB79" s="42">
        <f>Funktional!AJ59</f>
        <v>6.9749378306606283E-2</v>
      </c>
      <c r="AC79" s="42">
        <f>Funktional!AS59</f>
        <v>5.9543818200319489E-2</v>
      </c>
      <c r="AD79" s="42">
        <f>Funktional!AO59</f>
        <v>1.5749655000562204E-3</v>
      </c>
      <c r="AE79" s="202">
        <f>Funktional!AV59</f>
        <v>5.4141342003077332E-2</v>
      </c>
      <c r="AF79" s="172">
        <f>'Kennzahlen Revision'!C59</f>
        <v>0.1004</v>
      </c>
      <c r="AG79" s="42">
        <f>'Kennzahlen Revision'!D59</f>
        <v>3.3799999999999997E-2</v>
      </c>
      <c r="AH79" s="42">
        <f>Artengliederung!AN59</f>
        <v>0.48776123341405359</v>
      </c>
      <c r="AI79" s="178" t="str">
        <f>A79</f>
        <v>Häuslenen-Aawangen</v>
      </c>
    </row>
    <row r="80" spans="1:35" x14ac:dyDescent="0.25">
      <c r="A80" s="41" t="str">
        <f>Funktional!A60</f>
        <v>Hefenhofen</v>
      </c>
      <c r="B80" s="41" t="str">
        <f>Funktional!B60</f>
        <v>PSG</v>
      </c>
      <c r="C80" s="352">
        <f>Funktional!D60</f>
        <v>126</v>
      </c>
      <c r="D80" s="348">
        <f>Funktional!G60</f>
        <v>9888.1959151402443</v>
      </c>
      <c r="E80" s="186">
        <f>Funktional!F60</f>
        <v>207652.11421794514</v>
      </c>
      <c r="F80" s="48">
        <f>Funktional!U60</f>
        <v>6481.0796141498959</v>
      </c>
      <c r="G80" s="48">
        <f>Funktional!T60</f>
        <v>136102.67189714781</v>
      </c>
      <c r="H80" s="48">
        <f>Artengliederung!R60</f>
        <v>438.0001709739235</v>
      </c>
      <c r="I80" s="186">
        <f>Artengliederung!Q60</f>
        <v>9198.0035904523938</v>
      </c>
      <c r="J80" s="48">
        <f>Funktional!Z60</f>
        <v>351.13835756341069</v>
      </c>
      <c r="K80" s="48">
        <f>Funktional!Y60</f>
        <v>7373.9055088316245</v>
      </c>
      <c r="L80" s="48">
        <f>'Kennzahlen Revision'!O60</f>
        <v>171.19610109738599</v>
      </c>
      <c r="M80" s="48">
        <f>'Kennzahlen Revision'!N60</f>
        <v>3595.1181230451057</v>
      </c>
      <c r="N80" s="80">
        <f>Funktional!AG60</f>
        <v>806.48996527594568</v>
      </c>
      <c r="O80" s="43">
        <f>Funktional!AF60</f>
        <v>16936.289270794859</v>
      </c>
      <c r="P80" s="43">
        <f>Funktional!AL60</f>
        <v>882.04151138578868</v>
      </c>
      <c r="Q80" s="43">
        <f>Funktional!AK60</f>
        <v>18522.871739101563</v>
      </c>
      <c r="R80" s="80">
        <f>Funktional!AU60</f>
        <v>491.60580481099049</v>
      </c>
      <c r="S80" s="43">
        <f>Funktional!AT60</f>
        <v>10323.7219010308</v>
      </c>
      <c r="T80" s="80">
        <f>Funktional!AQ60</f>
        <v>52.920411765885454</v>
      </c>
      <c r="U80" s="43">
        <f>Funktional!AP60</f>
        <v>1111.3286470835944</v>
      </c>
      <c r="V80" s="80">
        <f t="shared" ref="V80:W84" si="18">D80-F80-J80-N80-P80-R80-T80</f>
        <v>822.92025018832703</v>
      </c>
      <c r="W80" s="183">
        <f t="shared" si="18"/>
        <v>17281.325253954885</v>
      </c>
      <c r="X80" s="172">
        <f>Funktional!S60</f>
        <v>0.65543600367246313</v>
      </c>
      <c r="Y80" s="42">
        <f>Funktional!X60</f>
        <v>3.5510861695788973E-2</v>
      </c>
      <c r="Z80" s="42">
        <f>'Kennzahlen Revision'!L60</f>
        <v>1.7313178517757745E-2</v>
      </c>
      <c r="AA80" s="42">
        <f>Funktional!AE60</f>
        <v>8.1560880487925397E-2</v>
      </c>
      <c r="AB80" s="42">
        <f>Funktional!AJ60</f>
        <v>8.9201459897781429E-2</v>
      </c>
      <c r="AC80" s="42">
        <f>Funktional!AS60</f>
        <v>4.9716430482356397E-2</v>
      </c>
      <c r="AD80" s="42">
        <f>Funktional!AO60</f>
        <v>5.3518773515456664E-3</v>
      </c>
      <c r="AE80" s="202">
        <f>Funktional!AV60</f>
        <v>8.3222486412138988E-2</v>
      </c>
      <c r="AF80" s="172">
        <f>'Kennzahlen Revision'!C60</f>
        <v>0.1103</v>
      </c>
      <c r="AG80" s="42">
        <f>'Kennzahlen Revision'!D60</f>
        <v>3.2199999999999999E-2</v>
      </c>
      <c r="AH80" s="42">
        <f>Artengliederung!AN60</f>
        <v>0.51413376480959183</v>
      </c>
      <c r="AI80" s="178" t="str">
        <f t="shared" ref="AI80:AI111" si="19">A80</f>
        <v>Hefenhofen</v>
      </c>
    </row>
    <row r="81" spans="1:35" x14ac:dyDescent="0.25">
      <c r="A81" s="41" t="str">
        <f>Funktional!A61</f>
        <v>Hegi-Winden</v>
      </c>
      <c r="B81" s="41" t="str">
        <f>Funktional!B61</f>
        <v>PSG</v>
      </c>
      <c r="C81" s="352">
        <f>Funktional!D61</f>
        <v>47</v>
      </c>
      <c r="D81" s="348">
        <f>Funktional!G61</f>
        <v>9054.1792505822577</v>
      </c>
      <c r="E81" s="186">
        <f>Funktional!F61</f>
        <v>212773.21238868305</v>
      </c>
      <c r="F81" s="48">
        <f>Funktional!U61</f>
        <v>6350.7959272022426</v>
      </c>
      <c r="G81" s="48">
        <f>Funktional!T61</f>
        <v>149243.7042892527</v>
      </c>
      <c r="H81" s="48">
        <f>Artengliederung!R61</f>
        <v>340.88580615695844</v>
      </c>
      <c r="I81" s="186">
        <f>Artengliederung!Q61</f>
        <v>8010.8164446885239</v>
      </c>
      <c r="J81" s="48">
        <f>Funktional!Z61</f>
        <v>439.85249155558097</v>
      </c>
      <c r="K81" s="48">
        <f>Funktional!Y61</f>
        <v>10336.533551556153</v>
      </c>
      <c r="L81" s="48">
        <f>'Kennzahlen Revision'!O61</f>
        <v>133.54814212635338</v>
      </c>
      <c r="M81" s="48">
        <f>'Kennzahlen Revision'!N61</f>
        <v>3138.3813399693045</v>
      </c>
      <c r="N81" s="80">
        <f>Funktional!AG61</f>
        <v>509.65309738969609</v>
      </c>
      <c r="O81" s="43">
        <f>Funktional!AF61</f>
        <v>11976.847788657858</v>
      </c>
      <c r="P81" s="43">
        <f>Funktional!AL61</f>
        <v>678.2759896937597</v>
      </c>
      <c r="Q81" s="43">
        <f>Funktional!AK61</f>
        <v>15939.485757803353</v>
      </c>
      <c r="R81" s="80">
        <f>Funktional!AU61</f>
        <v>407.40029301887711</v>
      </c>
      <c r="S81" s="43">
        <f>Funktional!AT61</f>
        <v>9573.906885943612</v>
      </c>
      <c r="T81" s="80">
        <f>Funktional!AQ61</f>
        <v>31.700155561354848</v>
      </c>
      <c r="U81" s="43">
        <f>Funktional!AP61</f>
        <v>744.95365569183889</v>
      </c>
      <c r="V81" s="80">
        <f t="shared" si="18"/>
        <v>636.50129616074651</v>
      </c>
      <c r="W81" s="183">
        <f t="shared" si="18"/>
        <v>14957.780459777543</v>
      </c>
      <c r="X81" s="172">
        <f>Funktional!S61</f>
        <v>0.70142149293033207</v>
      </c>
      <c r="Y81" s="42">
        <f>Funktional!X61</f>
        <v>4.8580051198709687E-2</v>
      </c>
      <c r="Z81" s="42">
        <f>'Kennzahlen Revision'!L61</f>
        <v>1.4749889352783152E-2</v>
      </c>
      <c r="AA81" s="42">
        <f>Funktional!AE61</f>
        <v>5.6289265242558707E-2</v>
      </c>
      <c r="AB81" s="42">
        <f>Funktional!AJ61</f>
        <v>7.4913028660233458E-2</v>
      </c>
      <c r="AC81" s="42">
        <f>Funktional!AS61</f>
        <v>4.4995828085983382E-2</v>
      </c>
      <c r="AD81" s="42">
        <f>Funktional!AO61</f>
        <v>3.5011627983084462E-3</v>
      </c>
      <c r="AE81" s="202">
        <f>Funktional!AV61</f>
        <v>7.0299171083874262E-2</v>
      </c>
      <c r="AF81" s="172">
        <f>'Kennzahlen Revision'!C61</f>
        <v>5.5500000000000001E-2</v>
      </c>
      <c r="AG81" s="42">
        <f>'Kennzahlen Revision'!D61</f>
        <v>-2E-3</v>
      </c>
      <c r="AH81" s="42">
        <f>Artengliederung!AN61</f>
        <v>0.38299747067053641</v>
      </c>
      <c r="AI81" s="178" t="str">
        <f t="shared" si="19"/>
        <v>Hegi-Winden</v>
      </c>
    </row>
    <row r="82" spans="1:35" x14ac:dyDescent="0.25">
      <c r="A82" s="41" t="str">
        <f>Funktional!A62</f>
        <v>Herdern</v>
      </c>
      <c r="B82" s="41" t="str">
        <f>Funktional!B62</f>
        <v>PSG</v>
      </c>
      <c r="C82" s="352">
        <f>Funktional!D62</f>
        <v>50</v>
      </c>
      <c r="D82" s="348">
        <f>Funktional!G62</f>
        <v>11148.549817534327</v>
      </c>
      <c r="E82" s="186">
        <f>Funktional!F62</f>
        <v>278713.74543835816</v>
      </c>
      <c r="F82" s="48">
        <f>Funktional!U62</f>
        <v>8157.5416052511</v>
      </c>
      <c r="G82" s="48">
        <f>Funktional!T62</f>
        <v>203938.54013127749</v>
      </c>
      <c r="H82" s="48">
        <f>Artengliederung!R62</f>
        <v>288.67286444341119</v>
      </c>
      <c r="I82" s="186">
        <f>Artengliederung!Q62</f>
        <v>7216.82161108528</v>
      </c>
      <c r="J82" s="48">
        <f>Funktional!Z62</f>
        <v>595.7310719421032</v>
      </c>
      <c r="K82" s="48">
        <f>Funktional!Y62</f>
        <v>14893.276798552581</v>
      </c>
      <c r="L82" s="48">
        <f>'Kennzahlen Revision'!O62</f>
        <v>254.35207676162526</v>
      </c>
      <c r="M82" s="48">
        <f>'Kennzahlen Revision'!N62</f>
        <v>6358.8019190406312</v>
      </c>
      <c r="N82" s="80">
        <f>Funktional!AG62</f>
        <v>301.19741491855541</v>
      </c>
      <c r="O82" s="43">
        <f>Funktional!AF62</f>
        <v>7529.9353729638851</v>
      </c>
      <c r="P82" s="43">
        <f>Funktional!AL62</f>
        <v>1074.8391198650045</v>
      </c>
      <c r="Q82" s="43">
        <f>Funktional!AK62</f>
        <v>26870.977996625112</v>
      </c>
      <c r="R82" s="80">
        <f>Funktional!AU62</f>
        <v>350.87021604593485</v>
      </c>
      <c r="S82" s="43">
        <f>Funktional!AT62</f>
        <v>8771.7554011483717</v>
      </c>
      <c r="T82" s="80">
        <f>Funktional!AQ62</f>
        <v>38.783224708259361</v>
      </c>
      <c r="U82" s="43">
        <f>Funktional!AP62</f>
        <v>969.58061770648408</v>
      </c>
      <c r="V82" s="80">
        <f t="shared" si="18"/>
        <v>629.58716480337034</v>
      </c>
      <c r="W82" s="183">
        <f t="shared" si="18"/>
        <v>15739.679120084245</v>
      </c>
      <c r="X82" s="172">
        <f>Funktional!S62</f>
        <v>0.73171324869724319</v>
      </c>
      <c r="Y82" s="42">
        <f>Funktional!X62</f>
        <v>5.3435745607481919E-2</v>
      </c>
      <c r="Z82" s="42">
        <f>'Kennzahlen Revision'!L62</f>
        <v>2.2814812771575266E-2</v>
      </c>
      <c r="AA82" s="42">
        <f>Funktional!AE62</f>
        <v>2.7016734898097253E-2</v>
      </c>
      <c r="AB82" s="42">
        <f>Funktional!AJ62</f>
        <v>9.6410666629888342E-2</v>
      </c>
      <c r="AC82" s="42">
        <f>Funktional!AS62</f>
        <v>3.1472274133276933E-2</v>
      </c>
      <c r="AD82" s="42">
        <f>Funktional!AO62</f>
        <v>3.4787685701741671E-3</v>
      </c>
      <c r="AE82" s="202">
        <f>Funktional!AV62</f>
        <v>5.6472561463838188E-2</v>
      </c>
      <c r="AF82" s="172">
        <f>'Kennzahlen Revision'!C62</f>
        <v>5.1999999999999998E-3</v>
      </c>
      <c r="AG82" s="42">
        <f>'Kennzahlen Revision'!D62</f>
        <v>-1.9800000000000002E-2</v>
      </c>
      <c r="AH82" s="42">
        <f>Artengliederung!AN62</f>
        <v>0.14130970633284218</v>
      </c>
      <c r="AI82" s="178" t="str">
        <f t="shared" si="19"/>
        <v>Herdern</v>
      </c>
    </row>
    <row r="83" spans="1:35" x14ac:dyDescent="0.25">
      <c r="A83" s="41" t="str">
        <f>Funktional!A63</f>
        <v>Herrenhof-Langrickenbach</v>
      </c>
      <c r="B83" s="41" t="str">
        <f>Funktional!B63</f>
        <v>PSG</v>
      </c>
      <c r="C83" s="352">
        <f>Funktional!D63</f>
        <v>17</v>
      </c>
      <c r="D83" s="348">
        <f>Funktional!G63</f>
        <v>24493.753199755189</v>
      </c>
      <c r="E83" s="186">
        <f>Funktional!F63</f>
        <v>416393.80439583823</v>
      </c>
      <c r="F83" s="48">
        <f>Funktional!U63</f>
        <v>18626.245789244014</v>
      </c>
      <c r="G83" s="48">
        <f>Funktional!T63</f>
        <v>316646.17841714824</v>
      </c>
      <c r="H83" s="48">
        <f>Artengliederung!R63</f>
        <v>245.54786452784896</v>
      </c>
      <c r="I83" s="186">
        <f>Artengliederung!Q63</f>
        <v>4174.3136969734323</v>
      </c>
      <c r="J83" s="48">
        <f>Funktional!Z63</f>
        <v>1736.2047688912508</v>
      </c>
      <c r="K83" s="48">
        <f>Funktional!Y63</f>
        <v>29515.481071151262</v>
      </c>
      <c r="L83" s="48">
        <f>'Kennzahlen Revision'!O63</f>
        <v>504.53911634668509</v>
      </c>
      <c r="M83" s="48">
        <f>'Kennzahlen Revision'!N63</f>
        <v>8577.1649778936462</v>
      </c>
      <c r="N83" s="80">
        <f>Funktional!AG63</f>
        <v>232.39523169632298</v>
      </c>
      <c r="O83" s="43">
        <f>Funktional!AF63</f>
        <v>3950.7189388374904</v>
      </c>
      <c r="P83" s="43">
        <f>Funktional!AL63</f>
        <v>722.70111596057154</v>
      </c>
      <c r="Q83" s="43">
        <f>Funktional!AK63</f>
        <v>12285.918971329716</v>
      </c>
      <c r="R83" s="80">
        <f>Funktional!AU63</f>
        <v>147.03018027959348</v>
      </c>
      <c r="S83" s="43">
        <f>Funktional!AT63</f>
        <v>2499.5130647530891</v>
      </c>
      <c r="T83" s="80">
        <f>Funktional!AQ63</f>
        <v>75.834257599907417</v>
      </c>
      <c r="U83" s="43">
        <f>Funktional!AP63</f>
        <v>1289.1823791984261</v>
      </c>
      <c r="V83" s="80">
        <f t="shared" si="18"/>
        <v>2953.341856083528</v>
      </c>
      <c r="W83" s="183">
        <f t="shared" si="18"/>
        <v>50206.81155341999</v>
      </c>
      <c r="X83" s="172">
        <f>Funktional!S63</f>
        <v>0.76044882290355487</v>
      </c>
      <c r="Y83" s="42">
        <f>Funktional!X63</f>
        <v>7.0883574057919535E-2</v>
      </c>
      <c r="Z83" s="42">
        <f>'Kennzahlen Revision'!L63</f>
        <v>2.0598685396720981E-2</v>
      </c>
      <c r="AA83" s="42">
        <f>Funktional!AE63</f>
        <v>9.487938814482939E-3</v>
      </c>
      <c r="AB83" s="42">
        <f>Funktional!AJ63</f>
        <v>2.9505527799953288E-2</v>
      </c>
      <c r="AC83" s="42">
        <f>Funktional!AS63</f>
        <v>6.0027623811063392E-3</v>
      </c>
      <c r="AD83" s="42">
        <f>Funktional!AO63</f>
        <v>3.0960652286096098E-3</v>
      </c>
      <c r="AE83" s="202">
        <f>Funktional!AV63</f>
        <v>0.12057530881437345</v>
      </c>
      <c r="AF83" s="172">
        <f>'Kennzahlen Revision'!C63</f>
        <v>7.9699999999999993E-2</v>
      </c>
      <c r="AG83" s="42">
        <f>'Kennzahlen Revision'!D63</f>
        <v>1.17E-2</v>
      </c>
      <c r="AH83" s="42">
        <f>Artengliederung!AN63</f>
        <v>0.39920024234627244</v>
      </c>
      <c r="AI83" s="178" t="str">
        <f t="shared" si="19"/>
        <v>Herrenhof-Langrickenbach</v>
      </c>
    </row>
    <row r="84" spans="1:35" x14ac:dyDescent="0.25">
      <c r="A84" s="41" t="str">
        <f>Funktional!A64</f>
        <v>Hohentannen</v>
      </c>
      <c r="B84" s="41" t="str">
        <f>Funktional!B64</f>
        <v>PSG</v>
      </c>
      <c r="C84" s="352">
        <f>Funktional!D64</f>
        <v>43</v>
      </c>
      <c r="D84" s="348">
        <f>Funktional!G64</f>
        <v>9590.8228275909114</v>
      </c>
      <c r="E84" s="186">
        <f>Funktional!F64</f>
        <v>206202.69079320459</v>
      </c>
      <c r="F84" s="48">
        <f>Funktional!U64</f>
        <v>6432.4338454810932</v>
      </c>
      <c r="G84" s="48">
        <f>Funktional!T64</f>
        <v>138297.32767784351</v>
      </c>
      <c r="H84" s="48">
        <f>Artengliederung!R64</f>
        <v>500.2593423615898</v>
      </c>
      <c r="I84" s="186">
        <f>Artengliederung!Q64</f>
        <v>10755.575860774181</v>
      </c>
      <c r="J84" s="48">
        <f>Funktional!Z64</f>
        <v>586.1739199937241</v>
      </c>
      <c r="K84" s="48">
        <f>Funktional!Y64</f>
        <v>12602.739279865069</v>
      </c>
      <c r="L84" s="48">
        <f>'Kennzahlen Revision'!O64</f>
        <v>236.75169358701655</v>
      </c>
      <c r="M84" s="48">
        <f>'Kennzahlen Revision'!N64</f>
        <v>5090.1614121208559</v>
      </c>
      <c r="N84" s="80">
        <f>Funktional!AG64</f>
        <v>413.09403265654538</v>
      </c>
      <c r="O84" s="43">
        <f>Funktional!AF64</f>
        <v>8881.5217021157259</v>
      </c>
      <c r="P84" s="43">
        <f>Funktional!AL64</f>
        <v>865.06624300114265</v>
      </c>
      <c r="Q84" s="43">
        <f>Funktional!AK64</f>
        <v>18598.924224524566</v>
      </c>
      <c r="R84" s="80">
        <f>Funktional!AU64</f>
        <v>434.91235881731211</v>
      </c>
      <c r="S84" s="43">
        <f>Funktional!AT64</f>
        <v>9350.61571457221</v>
      </c>
      <c r="T84" s="80">
        <f>Funktional!AQ64</f>
        <v>58.807011018458198</v>
      </c>
      <c r="U84" s="43">
        <f>Funktional!AP64</f>
        <v>1264.3507368968512</v>
      </c>
      <c r="V84" s="80">
        <f t="shared" si="18"/>
        <v>800.33541662263565</v>
      </c>
      <c r="W84" s="183">
        <f t="shared" si="18"/>
        <v>17207.211457386649</v>
      </c>
      <c r="X84" s="172">
        <f>Funktional!S64</f>
        <v>0.67068633850437176</v>
      </c>
      <c r="Y84" s="42">
        <f>Funktional!X64</f>
        <v>6.1118209618826143E-2</v>
      </c>
      <c r="Z84" s="42">
        <f>'Kennzahlen Revision'!L64</f>
        <v>2.4685232731640968E-2</v>
      </c>
      <c r="AA84" s="42">
        <f>Funktional!AE64</f>
        <v>4.307180312706383E-2</v>
      </c>
      <c r="AB84" s="42">
        <f>Funktional!AJ64</f>
        <v>9.0197291572576777E-2</v>
      </c>
      <c r="AC84" s="42">
        <f>Funktional!AS64</f>
        <v>4.5346720154829129E-2</v>
      </c>
      <c r="AD84" s="42">
        <f>Funktional!AO64</f>
        <v>6.1315918431192364E-3</v>
      </c>
      <c r="AE84" s="202">
        <f>Funktional!AV64</f>
        <v>8.3448045179213143E-2</v>
      </c>
      <c r="AF84" s="172">
        <f>'Kennzahlen Revision'!C64</f>
        <v>0.1079</v>
      </c>
      <c r="AG84" s="42">
        <f>'Kennzahlen Revision'!D64</f>
        <v>5.8799999999999998E-2</v>
      </c>
      <c r="AH84" s="42">
        <f>Artengliederung!AN64</f>
        <v>0.51680472531917532</v>
      </c>
      <c r="AI84" s="178" t="str">
        <f t="shared" si="19"/>
        <v>Hohentannen</v>
      </c>
    </row>
    <row r="85" spans="1:35" x14ac:dyDescent="0.25">
      <c r="A85" s="41" t="str">
        <f>Funktional!A65</f>
        <v>Homburg-Hörstetten</v>
      </c>
      <c r="B85" s="41" t="str">
        <f>Funktional!B65</f>
        <v>PSG</v>
      </c>
      <c r="C85" s="352">
        <f>Funktional!D65</f>
        <v>70</v>
      </c>
      <c r="D85" s="348">
        <f>Funktional!G65</f>
        <v>14085.278893407141</v>
      </c>
      <c r="E85" s="186">
        <f>Funktional!F65</f>
        <v>328656.50751283328</v>
      </c>
      <c r="F85" s="48">
        <f>Funktional!U65</f>
        <v>7618.4788999809252</v>
      </c>
      <c r="G85" s="48">
        <f>Funktional!T65</f>
        <v>177764.50766622159</v>
      </c>
      <c r="H85" s="48">
        <f>Artengliederung!R65</f>
        <v>308.65193442625497</v>
      </c>
      <c r="I85" s="186">
        <f>Artengliederung!Q65</f>
        <v>7201.8784699459493</v>
      </c>
      <c r="J85" s="48">
        <f>Funktional!Z65</f>
        <v>594.07054633313601</v>
      </c>
      <c r="K85" s="48">
        <f>Funktional!Y65</f>
        <v>13861.646081106506</v>
      </c>
      <c r="L85" s="48">
        <f>'Kennzahlen Revision'!O65</f>
        <v>212.50162804655378</v>
      </c>
      <c r="M85" s="48">
        <f>'Kennzahlen Revision'!N65</f>
        <v>4958.3713210862543</v>
      </c>
      <c r="N85" s="80">
        <f>Funktional!AG65</f>
        <v>1677.3184366405071</v>
      </c>
      <c r="O85" s="43">
        <f>Funktional!AF65</f>
        <v>39137.4301882785</v>
      </c>
      <c r="P85" s="43">
        <f>Funktional!AL65</f>
        <v>1322.8783551592421</v>
      </c>
      <c r="Q85" s="43">
        <f>Funktional!AK65</f>
        <v>30867.161620382318</v>
      </c>
      <c r="R85" s="80">
        <f>Funktional!AU65</f>
        <v>1162.4357470936243</v>
      </c>
      <c r="S85" s="43">
        <f>Funktional!AT65</f>
        <v>27123.500765517903</v>
      </c>
      <c r="T85" s="80">
        <f>Funktional!AQ65</f>
        <v>70.254710464970927</v>
      </c>
      <c r="U85" s="43">
        <f>Funktional!AP65</f>
        <v>1639.2765775159885</v>
      </c>
      <c r="V85" s="80">
        <f t="shared" ref="V85:W86" si="20">D85-F85-J85-N85-P85-R85-T85</f>
        <v>1639.8421977347359</v>
      </c>
      <c r="W85" s="183">
        <f t="shared" si="20"/>
        <v>38262.984613810484</v>
      </c>
      <c r="X85" s="172">
        <f>Funktional!S65</f>
        <v>0.54088236077078222</v>
      </c>
      <c r="Y85" s="42">
        <f>Funktional!X65</f>
        <v>4.2176697446239489E-2</v>
      </c>
      <c r="Z85" s="42">
        <f>'Kennzahlen Revision'!L65</f>
        <v>1.5086788813675448E-2</v>
      </c>
      <c r="AA85" s="42">
        <f>Funktional!AE65</f>
        <v>0.11908308307800743</v>
      </c>
      <c r="AB85" s="42">
        <f>Funktional!AJ65</f>
        <v>9.3919216308768885E-2</v>
      </c>
      <c r="AC85" s="42">
        <f>Funktional!AS65</f>
        <v>8.2528415368312125E-2</v>
      </c>
      <c r="AD85" s="42">
        <f>Funktional!AO65</f>
        <v>4.9878111038223647E-3</v>
      </c>
      <c r="AE85" s="202">
        <f>Funktional!AV65</f>
        <v>0.11642241592406752</v>
      </c>
      <c r="AF85" s="172">
        <f>'Kennzahlen Revision'!C65</f>
        <v>0.1716</v>
      </c>
      <c r="AG85" s="42">
        <f>'Kennzahlen Revision'!D65</f>
        <v>5.7099999999999998E-2</v>
      </c>
      <c r="AH85" s="42">
        <f>Artengliederung!AN65</f>
        <v>0.50043342717297912</v>
      </c>
      <c r="AI85" s="178" t="str">
        <f t="shared" si="19"/>
        <v>Homburg-Hörstetten</v>
      </c>
    </row>
    <row r="86" spans="1:35" x14ac:dyDescent="0.25">
      <c r="A86" s="41" t="str">
        <f>Funktional!A66</f>
        <v>Hugelshofen-Lippoldswilen</v>
      </c>
      <c r="B86" s="41" t="str">
        <f>Funktional!B66</f>
        <v>PSG</v>
      </c>
      <c r="C86" s="352">
        <f>Funktional!D66</f>
        <v>63</v>
      </c>
      <c r="D86" s="348">
        <f>Funktional!G66</f>
        <v>10399.896106198319</v>
      </c>
      <c r="E86" s="186">
        <f>Funktional!F66</f>
        <v>218397.8182301647</v>
      </c>
      <c r="F86" s="48">
        <f>Funktional!U66</f>
        <v>6922.1133377349934</v>
      </c>
      <c r="G86" s="48">
        <f>Funktional!T66</f>
        <v>145364.38009243485</v>
      </c>
      <c r="H86" s="48">
        <f>Artengliederung!R66</f>
        <v>310.87760505524545</v>
      </c>
      <c r="I86" s="186">
        <f>Artengliederung!Q66</f>
        <v>6528.4297061601546</v>
      </c>
      <c r="J86" s="48">
        <f>Funktional!Z66</f>
        <v>366.07665484235122</v>
      </c>
      <c r="K86" s="48">
        <f>Funktional!Y66</f>
        <v>7687.6097516893751</v>
      </c>
      <c r="L86" s="48">
        <f>'Kennzahlen Revision'!O66</f>
        <v>177.56837957067302</v>
      </c>
      <c r="M86" s="48">
        <f>'Kennzahlen Revision'!N66</f>
        <v>3728.9359709841333</v>
      </c>
      <c r="N86" s="80">
        <f>Funktional!AG66</f>
        <v>563.29940863603338</v>
      </c>
      <c r="O86" s="43">
        <f>Funktional!AF66</f>
        <v>11829.287581356701</v>
      </c>
      <c r="P86" s="43">
        <f>Funktional!AL66</f>
        <v>1487.473492391952</v>
      </c>
      <c r="Q86" s="43">
        <f>Funktional!AK66</f>
        <v>31236.943340230995</v>
      </c>
      <c r="R86" s="80">
        <f>Funktional!AU66</f>
        <v>559.93117743824155</v>
      </c>
      <c r="S86" s="43">
        <f>Funktional!AT66</f>
        <v>11758.554726203072</v>
      </c>
      <c r="T86" s="80">
        <f>Funktional!AQ66</f>
        <v>44.111309601666477</v>
      </c>
      <c r="U86" s="43">
        <f>Funktional!AP66</f>
        <v>926.33750163499599</v>
      </c>
      <c r="V86" s="80">
        <f t="shared" si="20"/>
        <v>456.89072555308087</v>
      </c>
      <c r="W86" s="183">
        <f t="shared" si="20"/>
        <v>9594.7052366147127</v>
      </c>
      <c r="X86" s="172">
        <f>Funktional!S66</f>
        <v>0.66559447008412187</v>
      </c>
      <c r="Y86" s="42">
        <f>Funktional!X66</f>
        <v>3.5200029991085215E-2</v>
      </c>
      <c r="Z86" s="42">
        <f>'Kennzahlen Revision'!L66</f>
        <v>1.707405321720883E-2</v>
      </c>
      <c r="AA86" s="42">
        <f>Funktional!AE66</f>
        <v>5.4163945762910837E-2</v>
      </c>
      <c r="AB86" s="42">
        <f>Funktional!AJ66</f>
        <v>0.14302772616213164</v>
      </c>
      <c r="AC86" s="42">
        <f>Funktional!AS66</f>
        <v>5.384007414309875E-2</v>
      </c>
      <c r="AD86" s="42">
        <f>Funktional!AO66</f>
        <v>4.2415144489161014E-3</v>
      </c>
      <c r="AE86" s="202">
        <f>Funktional!AV66</f>
        <v>4.3932239407735572E-2</v>
      </c>
      <c r="AF86" s="172">
        <f>'Kennzahlen Revision'!C66</f>
        <v>6.9800000000000001E-2</v>
      </c>
      <c r="AG86" s="42">
        <f>'Kennzahlen Revision'!D66</f>
        <v>3.7499999999999999E-2</v>
      </c>
      <c r="AH86" s="42">
        <f>Artengliederung!AN66</f>
        <v>0.63787805276229825</v>
      </c>
      <c r="AI86" s="178" t="str">
        <f t="shared" si="19"/>
        <v>Hugelshofen-Lippoldswilen</v>
      </c>
    </row>
    <row r="87" spans="1:35" x14ac:dyDescent="0.25">
      <c r="A87" s="41" t="str">
        <f>Funktional!A67</f>
        <v>Hüttlingen</v>
      </c>
      <c r="B87" s="41" t="str">
        <f>Funktional!B67</f>
        <v>PSG</v>
      </c>
      <c r="C87" s="352">
        <f>Funktional!D67</f>
        <v>79</v>
      </c>
      <c r="D87" s="348">
        <f>Funktional!G67</f>
        <v>10984.294011406106</v>
      </c>
      <c r="E87" s="186">
        <f>Funktional!F67</f>
        <v>216939.80672527058</v>
      </c>
      <c r="F87" s="48">
        <f>Funktional!U67</f>
        <v>7574.7416641579921</v>
      </c>
      <c r="G87" s="48">
        <f>Funktional!T67</f>
        <v>149601.14786712034</v>
      </c>
      <c r="H87" s="48">
        <f>Artengliederung!R67</f>
        <v>270.55500460849032</v>
      </c>
      <c r="I87" s="186">
        <f>Artengliederung!Q67</f>
        <v>5343.4613410176844</v>
      </c>
      <c r="J87" s="48">
        <f>Funktional!Z67</f>
        <v>610.80946565145496</v>
      </c>
      <c r="K87" s="48">
        <f>Funktional!Y67</f>
        <v>12063.486946616236</v>
      </c>
      <c r="L87" s="48">
        <f>'Kennzahlen Revision'!O67</f>
        <v>195.82699783990719</v>
      </c>
      <c r="M87" s="48">
        <f>'Kennzahlen Revision'!N67</f>
        <v>3867.5832073381671</v>
      </c>
      <c r="N87" s="80">
        <f>Funktional!AG67</f>
        <v>900.93554976284656</v>
      </c>
      <c r="O87" s="43">
        <f>Funktional!AF67</f>
        <v>17793.477107816219</v>
      </c>
      <c r="P87" s="43">
        <f>Funktional!AL67</f>
        <v>1300.1255503440541</v>
      </c>
      <c r="Q87" s="43">
        <f>Funktional!AK67</f>
        <v>25677.479619295067</v>
      </c>
      <c r="R87" s="80">
        <f>Funktional!AU67</f>
        <v>118.6870249008191</v>
      </c>
      <c r="S87" s="43">
        <f>Funktional!AT67</f>
        <v>2344.0687417911772</v>
      </c>
      <c r="T87" s="80">
        <f>Funktional!AQ67</f>
        <v>32.480201334189765</v>
      </c>
      <c r="U87" s="43">
        <f>Funktional!AP67</f>
        <v>641.48397635024787</v>
      </c>
      <c r="V87" s="80">
        <f t="shared" ref="V87:W106" si="21">D87-F87-J87-N87-P87-R87-T87</f>
        <v>446.51455525474904</v>
      </c>
      <c r="W87" s="183">
        <f t="shared" si="21"/>
        <v>8818.662466281301</v>
      </c>
      <c r="X87" s="172">
        <f>Funktional!S67</f>
        <v>0.68959749769009915</v>
      </c>
      <c r="Y87" s="42">
        <f>Funktional!X67</f>
        <v>5.5607530626655625E-2</v>
      </c>
      <c r="Z87" s="42">
        <f>'Kennzahlen Revision'!L67</f>
        <v>1.7827909343701123E-2</v>
      </c>
      <c r="AA87" s="42">
        <f>Funktional!AE67</f>
        <v>8.2020341846941999E-2</v>
      </c>
      <c r="AB87" s="42">
        <f>Funktional!AJ67</f>
        <v>0.11836223147286498</v>
      </c>
      <c r="AC87" s="42">
        <f>Funktional!AS67</f>
        <v>1.0805157325320528E-2</v>
      </c>
      <c r="AD87" s="42">
        <f>Funktional!AO67</f>
        <v>2.956967584849994E-3</v>
      </c>
      <c r="AE87" s="202">
        <f>Funktional!AV67</f>
        <v>4.0650273453267716E-2</v>
      </c>
      <c r="AF87" s="172">
        <f>'Kennzahlen Revision'!C67</f>
        <v>6.1600000000000002E-2</v>
      </c>
      <c r="AG87" s="42">
        <f>'Kennzahlen Revision'!D67</f>
        <v>-1.46E-2</v>
      </c>
      <c r="AH87" s="42">
        <f>Artengliederung!AN67</f>
        <v>0</v>
      </c>
      <c r="AI87" s="178" t="str">
        <f t="shared" si="19"/>
        <v>Hüttlingen</v>
      </c>
    </row>
    <row r="88" spans="1:35" x14ac:dyDescent="0.25">
      <c r="A88" s="41" t="str">
        <f>Funktional!A68</f>
        <v>Hüttwilen</v>
      </c>
      <c r="B88" s="41" t="str">
        <f>Funktional!B68</f>
        <v>PSG</v>
      </c>
      <c r="C88" s="352">
        <f>Funktional!D68</f>
        <v>83</v>
      </c>
      <c r="D88" s="348">
        <f>Funktional!G68</f>
        <v>12754.012121223337</v>
      </c>
      <c r="E88" s="186">
        <f>Funktional!F68</f>
        <v>264645.75151538424</v>
      </c>
      <c r="F88" s="48">
        <f>Funktional!U68</f>
        <v>7683.3194315719084</v>
      </c>
      <c r="G88" s="48">
        <f>Funktional!T68</f>
        <v>159428.8782051171</v>
      </c>
      <c r="H88" s="48">
        <f>Artengliederung!R68</f>
        <v>288.20340137829936</v>
      </c>
      <c r="I88" s="186">
        <f>Artengliederung!Q68</f>
        <v>5980.2205785997121</v>
      </c>
      <c r="J88" s="48">
        <f>Funktional!Z68</f>
        <v>484.09516514319466</v>
      </c>
      <c r="K88" s="48">
        <f>Funktional!Y68</f>
        <v>10044.974676721289</v>
      </c>
      <c r="L88" s="48">
        <f>'Kennzahlen Revision'!O68</f>
        <v>156.00221188703944</v>
      </c>
      <c r="M88" s="48">
        <f>'Kennzahlen Revision'!N68</f>
        <v>3237.0458966560682</v>
      </c>
      <c r="N88" s="80">
        <f>Funktional!AG68</f>
        <v>1314.2652097332773</v>
      </c>
      <c r="O88" s="43">
        <f>Funktional!AF68</f>
        <v>27271.003101965503</v>
      </c>
      <c r="P88" s="43">
        <f>Funktional!AL68</f>
        <v>882.92550491541658</v>
      </c>
      <c r="Q88" s="43">
        <f>Funktional!AK68</f>
        <v>18320.704226994894</v>
      </c>
      <c r="R88" s="80">
        <f>Funktional!AU68</f>
        <v>743.08127554999271</v>
      </c>
      <c r="S88" s="43">
        <f>Funktional!AT68</f>
        <v>15418.936467662348</v>
      </c>
      <c r="T88" s="80">
        <f>Funktional!AQ68</f>
        <v>41.563370130739749</v>
      </c>
      <c r="U88" s="43">
        <f>Funktional!AP68</f>
        <v>862.43993021284973</v>
      </c>
      <c r="V88" s="80">
        <f t="shared" si="21"/>
        <v>1604.7621641788069</v>
      </c>
      <c r="W88" s="183">
        <f t="shared" si="21"/>
        <v>33298.814906710257</v>
      </c>
      <c r="X88" s="172">
        <f>Funktional!S68</f>
        <v>0.60242372035906</v>
      </c>
      <c r="Y88" s="42">
        <f>Funktional!X68</f>
        <v>3.795630430189377E-2</v>
      </c>
      <c r="Z88" s="42">
        <f>'Kennzahlen Revision'!L68</f>
        <v>1.2231618600035958E-2</v>
      </c>
      <c r="AA88" s="42">
        <f>Funktional!AE68</f>
        <v>0.10304719779482348</v>
      </c>
      <c r="AB88" s="42">
        <f>Funktional!AJ68</f>
        <v>6.9227275034981564E-2</v>
      </c>
      <c r="AC88" s="42">
        <f>Funktional!AS68</f>
        <v>5.8262550520354839E-2</v>
      </c>
      <c r="AD88" s="42">
        <f>Funktional!AO68</f>
        <v>3.2588466857088952E-3</v>
      </c>
      <c r="AE88" s="202">
        <f>Funktional!AV68</f>
        <v>0.12582410530317747</v>
      </c>
      <c r="AF88" s="172">
        <f>'Kennzahlen Revision'!C68</f>
        <v>0.13059999999999999</v>
      </c>
      <c r="AG88" s="42">
        <f>'Kennzahlen Revision'!D68</f>
        <v>3.8199999999999998E-2</v>
      </c>
      <c r="AH88" s="42">
        <f>Artengliederung!AN68</f>
        <v>7.3049572069283239E-2</v>
      </c>
      <c r="AI88" s="178" t="str">
        <f t="shared" si="19"/>
        <v>Hüttwilen</v>
      </c>
    </row>
    <row r="89" spans="1:35" x14ac:dyDescent="0.25">
      <c r="A89" s="41" t="str">
        <f>Funktional!A69</f>
        <v>Illighausen</v>
      </c>
      <c r="B89" s="41" t="str">
        <f>Funktional!B69</f>
        <v>PSG</v>
      </c>
      <c r="C89" s="352">
        <f>Funktional!D69</f>
        <v>25</v>
      </c>
      <c r="D89" s="348">
        <f>Funktional!G69</f>
        <v>17055.369599999998</v>
      </c>
      <c r="E89" s="186">
        <f>Funktional!F69</f>
        <v>426384.24</v>
      </c>
      <c r="F89" s="48">
        <f>Funktional!U69</f>
        <v>7460.0096000000012</v>
      </c>
      <c r="G89" s="48">
        <f>Funktional!T69</f>
        <v>186500.24000000002</v>
      </c>
      <c r="H89" s="48">
        <f>Artengliederung!R69</f>
        <v>584.57760000000007</v>
      </c>
      <c r="I89" s="186">
        <f>Artengliederung!Q69</f>
        <v>14614.44</v>
      </c>
      <c r="J89" s="48">
        <f>Funktional!Z69</f>
        <v>835.178</v>
      </c>
      <c r="K89" s="48">
        <f>Funktional!Y69</f>
        <v>20879.45</v>
      </c>
      <c r="L89" s="48">
        <f>'Kennzahlen Revision'!O69</f>
        <v>193.32</v>
      </c>
      <c r="M89" s="48">
        <f>'Kennzahlen Revision'!N69</f>
        <v>4833</v>
      </c>
      <c r="N89" s="80">
        <f>Funktional!AG69</f>
        <v>3910.8</v>
      </c>
      <c r="O89" s="43">
        <f>Funktional!AF69</f>
        <v>97770</v>
      </c>
      <c r="P89" s="43">
        <f>Funktional!AL69</f>
        <v>782.75399999999991</v>
      </c>
      <c r="Q89" s="43">
        <f>Funktional!AK69</f>
        <v>19568.849999999999</v>
      </c>
      <c r="R89" s="80">
        <f>Funktional!AU69</f>
        <v>465.33199999999999</v>
      </c>
      <c r="S89" s="43">
        <f>Funktional!AT69</f>
        <v>11633.3</v>
      </c>
      <c r="T89" s="80">
        <f>Funktional!AQ69</f>
        <v>67.266000000000005</v>
      </c>
      <c r="U89" s="43">
        <f>Funktional!AP69</f>
        <v>1681.65</v>
      </c>
      <c r="V89" s="80">
        <f t="shared" si="21"/>
        <v>3534.029999999997</v>
      </c>
      <c r="W89" s="183">
        <f t="shared" si="21"/>
        <v>88350.749999999956</v>
      </c>
      <c r="X89" s="172">
        <f>Funktional!S69</f>
        <v>0.43739946861075357</v>
      </c>
      <c r="Y89" s="42">
        <f>Funktional!X69</f>
        <v>4.896862510678162E-2</v>
      </c>
      <c r="Z89" s="42">
        <f>'Kennzahlen Revision'!L69</f>
        <v>1.1334846710094163E-2</v>
      </c>
      <c r="AA89" s="42">
        <f>Funktional!AE69</f>
        <v>0.22930021991431954</v>
      </c>
      <c r="AB89" s="42">
        <f>Funktional!AJ69</f>
        <v>4.5894871724151902E-2</v>
      </c>
      <c r="AC89" s="42">
        <f>Funktional!AS69</f>
        <v>2.7283606917553986E-2</v>
      </c>
      <c r="AD89" s="42">
        <f>Funktional!AO69</f>
        <v>3.9439778543409578E-3</v>
      </c>
      <c r="AE89" s="202">
        <f>Funktional!AV69</f>
        <v>0.20720922987209842</v>
      </c>
      <c r="AF89" s="172">
        <f>'Kennzahlen Revision'!C69</f>
        <v>0.52049999999999996</v>
      </c>
      <c r="AG89" s="42">
        <f>'Kennzahlen Revision'!D69</f>
        <v>0.1888</v>
      </c>
      <c r="AH89" s="42">
        <f>Artengliederung!AN69</f>
        <v>0</v>
      </c>
      <c r="AI89" s="178" t="str">
        <f t="shared" si="19"/>
        <v>Illighausen</v>
      </c>
    </row>
    <row r="90" spans="1:35" x14ac:dyDescent="0.25">
      <c r="A90" s="41" t="str">
        <f>Funktional!A70</f>
        <v>Istighofen</v>
      </c>
      <c r="B90" s="41" t="str">
        <f>Funktional!B70</f>
        <v>PSG</v>
      </c>
      <c r="C90" s="352">
        <f>Funktional!D70</f>
        <v>53</v>
      </c>
      <c r="D90" s="348">
        <f>Funktional!G70</f>
        <v>13004.598367214612</v>
      </c>
      <c r="E90" s="186">
        <f>Funktional!F70</f>
        <v>229747.90448745815</v>
      </c>
      <c r="F90" s="48">
        <f>Funktional!U70</f>
        <v>8152.9296775621842</v>
      </c>
      <c r="G90" s="48">
        <f>Funktional!T70</f>
        <v>144035.09097026524</v>
      </c>
      <c r="H90" s="48">
        <f>Artengliederung!R70</f>
        <v>285.35529660292173</v>
      </c>
      <c r="I90" s="186">
        <f>Artengliederung!Q70</f>
        <v>5041.2769066516166</v>
      </c>
      <c r="J90" s="48">
        <f>Funktional!Z70</f>
        <v>576.66234271490362</v>
      </c>
      <c r="K90" s="48">
        <f>Funktional!Y70</f>
        <v>10187.701387963298</v>
      </c>
      <c r="L90" s="48">
        <f>'Kennzahlen Revision'!O70</f>
        <v>221.38664544301918</v>
      </c>
      <c r="M90" s="48">
        <f>'Kennzahlen Revision'!N70</f>
        <v>3911.164069493339</v>
      </c>
      <c r="N90" s="80">
        <f>Funktional!AG70</f>
        <v>800.92096986211709</v>
      </c>
      <c r="O90" s="43">
        <f>Funktional!AF70</f>
        <v>14149.603800897401</v>
      </c>
      <c r="P90" s="43">
        <f>Funktional!AL70</f>
        <v>1534.0935460552391</v>
      </c>
      <c r="Q90" s="43">
        <f>Funktional!AK70</f>
        <v>27102.319313642558</v>
      </c>
      <c r="R90" s="80">
        <f>Funktional!AU70</f>
        <v>1142.5961223627583</v>
      </c>
      <c r="S90" s="43">
        <f>Funktional!AT70</f>
        <v>20185.864828408728</v>
      </c>
      <c r="T90" s="80">
        <f>Funktional!AQ70</f>
        <v>56.082601950043191</v>
      </c>
      <c r="U90" s="43">
        <f>Funktional!AP70</f>
        <v>990.7926344507631</v>
      </c>
      <c r="V90" s="80">
        <f t="shared" si="21"/>
        <v>741.31310670736684</v>
      </c>
      <c r="W90" s="183">
        <f t="shared" si="21"/>
        <v>13096.531551830156</v>
      </c>
      <c r="X90" s="172">
        <f>Funktional!S70</f>
        <v>0.62692667988241901</v>
      </c>
      <c r="Y90" s="42">
        <f>Funktional!X70</f>
        <v>4.4342956732036011E-2</v>
      </c>
      <c r="Z90" s="42">
        <f>'Kennzahlen Revision'!L70</f>
        <v>1.7023720317357011E-2</v>
      </c>
      <c r="AA90" s="42">
        <f>Funktional!AE70</f>
        <v>6.1587520602042416E-2</v>
      </c>
      <c r="AB90" s="42">
        <f>Funktional!AJ70</f>
        <v>0.11796546903922715</v>
      </c>
      <c r="AC90" s="42">
        <f>Funktional!AS70</f>
        <v>8.7860931195177308E-2</v>
      </c>
      <c r="AD90" s="42">
        <f>Funktional!AO70</f>
        <v>4.3125208765716948E-3</v>
      </c>
      <c r="AE90" s="202">
        <f>Funktional!AV70</f>
        <v>5.7003921672526367E-2</v>
      </c>
      <c r="AF90" s="172">
        <f>'Kennzahlen Revision'!C70</f>
        <v>0.1847</v>
      </c>
      <c r="AG90" s="42">
        <f>'Kennzahlen Revision'!D70</f>
        <v>9.2899999999999996E-2</v>
      </c>
      <c r="AH90" s="42">
        <f>Artengliederung!AN70</f>
        <v>0.18780591494682064</v>
      </c>
      <c r="AI90" s="178" t="str">
        <f t="shared" si="19"/>
        <v>Istighofen</v>
      </c>
    </row>
    <row r="91" spans="1:35" x14ac:dyDescent="0.25">
      <c r="A91" s="41" t="str">
        <f>Funktional!A71</f>
        <v>Kaltenbach</v>
      </c>
      <c r="B91" s="41" t="str">
        <f>Funktional!B71</f>
        <v>PSG</v>
      </c>
      <c r="C91" s="352">
        <f>Funktional!D71</f>
        <v>75</v>
      </c>
      <c r="D91" s="348">
        <f>Funktional!G71</f>
        <v>8134.4760061817988</v>
      </c>
      <c r="E91" s="186">
        <f>Funktional!F71</f>
        <v>152521.42511590873</v>
      </c>
      <c r="F91" s="48">
        <f>Funktional!U71</f>
        <v>5958.2290658762404</v>
      </c>
      <c r="G91" s="48">
        <f>Funktional!T71</f>
        <v>111716.79498517951</v>
      </c>
      <c r="H91" s="48">
        <f>Artengliederung!R71</f>
        <v>297.50339296619512</v>
      </c>
      <c r="I91" s="186">
        <f>Artengliederung!Q71</f>
        <v>5578.188618116159</v>
      </c>
      <c r="J91" s="48">
        <f>Funktional!Z71</f>
        <v>23.820137853938096</v>
      </c>
      <c r="K91" s="48">
        <f>Funktional!Y71</f>
        <v>446.62758476133934</v>
      </c>
      <c r="L91" s="48">
        <f>'Kennzahlen Revision'!O71</f>
        <v>202.1418761215661</v>
      </c>
      <c r="M91" s="48">
        <f>'Kennzahlen Revision'!N71</f>
        <v>3790.1601772793642</v>
      </c>
      <c r="N91" s="80">
        <f>Funktional!AG71</f>
        <v>131.30038620733907</v>
      </c>
      <c r="O91" s="43">
        <f>Funktional!AF71</f>
        <v>2461.8822413876078</v>
      </c>
      <c r="P91" s="43">
        <f>Funktional!AL71</f>
        <v>1408.3333187817532</v>
      </c>
      <c r="Q91" s="43">
        <f>Funktional!AK71</f>
        <v>26406.249727157872</v>
      </c>
      <c r="R91" s="80">
        <f>Funktional!AU71</f>
        <v>89.031541804467409</v>
      </c>
      <c r="S91" s="43">
        <f>Funktional!AT71</f>
        <v>1669.341408833764</v>
      </c>
      <c r="T91" s="80">
        <f>Funktional!AQ71</f>
        <v>77.39316894755423</v>
      </c>
      <c r="U91" s="43">
        <f>Funktional!AP71</f>
        <v>1451.1219177666419</v>
      </c>
      <c r="V91" s="80">
        <f t="shared" si="21"/>
        <v>446.36838671050663</v>
      </c>
      <c r="W91" s="183">
        <f t="shared" si="21"/>
        <v>8369.4072508219906</v>
      </c>
      <c r="X91" s="172">
        <f>Funktional!S71</f>
        <v>0.73246624138399097</v>
      </c>
      <c r="Y91" s="42">
        <f>Funktional!X71</f>
        <v>2.9282940703047097E-3</v>
      </c>
      <c r="Z91" s="42">
        <f>'Kennzahlen Revision'!L71</f>
        <v>2.4850018116464818E-2</v>
      </c>
      <c r="AA91" s="42">
        <f>Funktional!AE71</f>
        <v>1.6141222385751375E-2</v>
      </c>
      <c r="AB91" s="42">
        <f>Funktional!AJ71</f>
        <v>0.17313141223988979</v>
      </c>
      <c r="AC91" s="42">
        <f>Funktional!AS71</f>
        <v>1.0944963355575436E-2</v>
      </c>
      <c r="AD91" s="42">
        <f>Funktional!AO71</f>
        <v>9.5142168824075765E-3</v>
      </c>
      <c r="AE91" s="202">
        <f>Funktional!AV71</f>
        <v>5.4873649682080167E-2</v>
      </c>
      <c r="AF91" s="172">
        <f>'Kennzahlen Revision'!C71</f>
        <v>1.11E-2</v>
      </c>
      <c r="AG91" s="42">
        <f>'Kennzahlen Revision'!D71</f>
        <v>-2.8E-3</v>
      </c>
      <c r="AH91" s="42">
        <f>Artengliederung!AN71</f>
        <v>0.17941933523796696</v>
      </c>
      <c r="AI91" s="178" t="str">
        <f t="shared" si="19"/>
        <v>Kaltenbach</v>
      </c>
    </row>
    <row r="92" spans="1:35" x14ac:dyDescent="0.25">
      <c r="A92" s="41" t="str">
        <f>Funktional!A72</f>
        <v>Kesswil</v>
      </c>
      <c r="B92" s="41" t="str">
        <f>Funktional!B72</f>
        <v>PSG</v>
      </c>
      <c r="C92" s="352">
        <f>Funktional!D72</f>
        <v>73</v>
      </c>
      <c r="D92" s="348">
        <f>Funktional!G72</f>
        <v>14700.059818172891</v>
      </c>
      <c r="E92" s="186">
        <f>Funktional!F72</f>
        <v>268276.09168165526</v>
      </c>
      <c r="F92" s="48">
        <f>Funktional!U72</f>
        <v>8765.3562202217872</v>
      </c>
      <c r="G92" s="48">
        <f>Funktional!T72</f>
        <v>159967.75101904763</v>
      </c>
      <c r="H92" s="48">
        <f>Artengliederung!R72</f>
        <v>420.57702710185481</v>
      </c>
      <c r="I92" s="186">
        <f>Artengliederung!Q72</f>
        <v>7675.53074460885</v>
      </c>
      <c r="J92" s="48">
        <f>Funktional!Z72</f>
        <v>520.21649262558685</v>
      </c>
      <c r="K92" s="48">
        <f>Funktional!Y72</f>
        <v>9493.950990416959</v>
      </c>
      <c r="L92" s="48">
        <f>'Kennzahlen Revision'!O72</f>
        <v>179.16712466905079</v>
      </c>
      <c r="M92" s="48">
        <f>'Kennzahlen Revision'!N72</f>
        <v>3269.800025210177</v>
      </c>
      <c r="N92" s="80">
        <f>Funktional!AG72</f>
        <v>881.09883070691217</v>
      </c>
      <c r="O92" s="43">
        <f>Funktional!AF72</f>
        <v>16080.053660401147</v>
      </c>
      <c r="P92" s="43">
        <f>Funktional!AL72</f>
        <v>1024.2142075882514</v>
      </c>
      <c r="Q92" s="43">
        <f>Funktional!AK72</f>
        <v>18691.909288485589</v>
      </c>
      <c r="R92" s="80">
        <f>Funktional!AU72</f>
        <v>886.44240120987297</v>
      </c>
      <c r="S92" s="43">
        <f>Funktional!AT72</f>
        <v>16177.573822080181</v>
      </c>
      <c r="T92" s="80">
        <f>Funktional!AQ72</f>
        <v>38.336425261554282</v>
      </c>
      <c r="U92" s="43">
        <f>Funktional!AP72</f>
        <v>699.63976102336562</v>
      </c>
      <c r="V92" s="80">
        <f t="shared" si="21"/>
        <v>2584.3952405589271</v>
      </c>
      <c r="W92" s="183">
        <f t="shared" si="21"/>
        <v>47165.213140200394</v>
      </c>
      <c r="X92" s="172">
        <f>Funktional!S72</f>
        <v>0.59628030964783219</v>
      </c>
      <c r="Y92" s="42">
        <f>Funktional!X72</f>
        <v>3.5388733043281308E-2</v>
      </c>
      <c r="Z92" s="42">
        <f>'Kennzahlen Revision'!L72</f>
        <v>1.2188190176447863E-2</v>
      </c>
      <c r="AA92" s="42">
        <f>Funktional!AE72</f>
        <v>5.9938452061103667E-2</v>
      </c>
      <c r="AB92" s="42">
        <f>Funktional!AJ72</f>
        <v>6.9674152367874762E-2</v>
      </c>
      <c r="AC92" s="42">
        <f>Funktional!AS72</f>
        <v>6.030195877937939E-2</v>
      </c>
      <c r="AD92" s="42">
        <f>Funktional!AO72</f>
        <v>2.6079094735492864E-3</v>
      </c>
      <c r="AE92" s="202">
        <f>Funktional!AV72</f>
        <v>0.1758084846269794</v>
      </c>
      <c r="AF92" s="172">
        <f>'Kennzahlen Revision'!C72</f>
        <v>0.1113</v>
      </c>
      <c r="AG92" s="42">
        <f>'Kennzahlen Revision'!D72</f>
        <v>0.05</v>
      </c>
      <c r="AH92" s="42">
        <f>Artengliederung!AN72</f>
        <v>0.28326887583398297</v>
      </c>
      <c r="AI92" s="178" t="str">
        <f t="shared" si="19"/>
        <v>Kesswil</v>
      </c>
    </row>
    <row r="93" spans="1:35" x14ac:dyDescent="0.25">
      <c r="A93" s="41" t="str">
        <f>Funktional!A73</f>
        <v>Kreuzlingen</v>
      </c>
      <c r="B93" s="41" t="str">
        <f>Funktional!B73</f>
        <v>PSG</v>
      </c>
      <c r="C93" s="352">
        <f>Funktional!D73</f>
        <v>1050</v>
      </c>
      <c r="D93" s="348">
        <f>Funktional!G73</f>
        <v>11489.085091726818</v>
      </c>
      <c r="E93" s="186">
        <f>Funktional!F73</f>
        <v>196155.1113221652</v>
      </c>
      <c r="F93" s="48">
        <f>Funktional!U73</f>
        <v>7791.2886105399302</v>
      </c>
      <c r="G93" s="48">
        <f>Funktional!T73</f>
        <v>133022.00066775491</v>
      </c>
      <c r="H93" s="48">
        <f>Artengliederung!R73</f>
        <v>286.84624431354848</v>
      </c>
      <c r="I93" s="186">
        <f>Artengliederung!Q73</f>
        <v>4897.3749029142418</v>
      </c>
      <c r="J93" s="48">
        <f>Funktional!Z73</f>
        <v>686.49291790727318</v>
      </c>
      <c r="K93" s="48">
        <f>Funktional!Y73</f>
        <v>11720.61079353881</v>
      </c>
      <c r="L93" s="48">
        <f>'Kennzahlen Revision'!O73</f>
        <v>264.74891266872106</v>
      </c>
      <c r="M93" s="48">
        <f>'Kennzahlen Revision'!N73</f>
        <v>4520.1033870269457</v>
      </c>
      <c r="N93" s="80">
        <f>Funktional!AG73</f>
        <v>221.02252974942857</v>
      </c>
      <c r="O93" s="43">
        <f>Funktional!AF73</f>
        <v>3773.5553859658535</v>
      </c>
      <c r="P93" s="43">
        <f>Funktional!AL73</f>
        <v>1327.4218995772587</v>
      </c>
      <c r="Q93" s="43">
        <f>Funktional!AK73</f>
        <v>22663.300724489785</v>
      </c>
      <c r="R93" s="80">
        <f>Funktional!AU73</f>
        <v>189.48628963380756</v>
      </c>
      <c r="S93" s="43">
        <f>Funktional!AT73</f>
        <v>3235.1317742357387</v>
      </c>
      <c r="T93" s="80">
        <f>Funktional!AQ73</f>
        <v>-29.607394907839776</v>
      </c>
      <c r="U93" s="43">
        <f>Funktional!AP73</f>
        <v>-505.49210818263032</v>
      </c>
      <c r="V93" s="80">
        <f t="shared" si="21"/>
        <v>1302.9802392269596</v>
      </c>
      <c r="W93" s="183">
        <f t="shared" si="21"/>
        <v>22246.004084362732</v>
      </c>
      <c r="X93" s="172">
        <f>Funktional!S73</f>
        <v>0.67814700198803157</v>
      </c>
      <c r="Y93" s="42">
        <f>Funktional!X73</f>
        <v>5.9751748065789E-2</v>
      </c>
      <c r="Z93" s="42">
        <f>'Kennzahlen Revision'!L73</f>
        <v>2.3043515698161578E-2</v>
      </c>
      <c r="AA93" s="42">
        <f>Funktional!AE73</f>
        <v>1.9237609259991014E-2</v>
      </c>
      <c r="AB93" s="42">
        <f>Funktional!AJ73</f>
        <v>0.11553765064662309</v>
      </c>
      <c r="AC93" s="42">
        <f>Funktional!AS73</f>
        <v>1.6492722276924804E-2</v>
      </c>
      <c r="AD93" s="42">
        <f>Funktional!AO73</f>
        <v>-2.5770019693874299E-3</v>
      </c>
      <c r="AE93" s="202">
        <f>Funktional!AV73</f>
        <v>0.11341026973202797</v>
      </c>
      <c r="AF93" s="172">
        <f>'Kennzahlen Revision'!C73</f>
        <v>2.4400000000000002E-2</v>
      </c>
      <c r="AG93" s="42">
        <f>'Kennzahlen Revision'!D73</f>
        <v>2.5000000000000001E-3</v>
      </c>
      <c r="AH93" s="42">
        <f>Artengliederung!AN73</f>
        <v>3.6285903521506735E-2</v>
      </c>
      <c r="AI93" s="178" t="str">
        <f t="shared" si="19"/>
        <v>Kreuzlingen</v>
      </c>
    </row>
    <row r="94" spans="1:35" x14ac:dyDescent="0.25">
      <c r="A94" s="41" t="str">
        <f>Funktional!A74</f>
        <v>Landschlacht</v>
      </c>
      <c r="B94" s="41" t="str">
        <f>Funktional!B74</f>
        <v>PSG</v>
      </c>
      <c r="C94" s="352">
        <f>Funktional!D74</f>
        <v>81</v>
      </c>
      <c r="D94" s="348">
        <f>Funktional!G74</f>
        <v>13525.523347043065</v>
      </c>
      <c r="E94" s="186">
        <f>Funktional!F74</f>
        <v>273891.84777762205</v>
      </c>
      <c r="F94" s="48">
        <f>Funktional!U74</f>
        <v>7137.3769660994258</v>
      </c>
      <c r="G94" s="48">
        <f>Funktional!T74</f>
        <v>144531.88356351337</v>
      </c>
      <c r="H94" s="48">
        <f>Artengliederung!R74</f>
        <v>293.35864536219555</v>
      </c>
      <c r="I94" s="186">
        <f>Artengliederung!Q74</f>
        <v>5940.5125685844596</v>
      </c>
      <c r="J94" s="48">
        <f>Funktional!Z74</f>
        <v>576.26743029308057</v>
      </c>
      <c r="K94" s="48">
        <f>Funktional!Y74</f>
        <v>11669.415463434882</v>
      </c>
      <c r="L94" s="48">
        <f>'Kennzahlen Revision'!O74</f>
        <v>197.08136603371156</v>
      </c>
      <c r="M94" s="48">
        <f>'Kennzahlen Revision'!N74</f>
        <v>3990.8976621826591</v>
      </c>
      <c r="N94" s="80">
        <f>Funktional!AG74</f>
        <v>1615.4607972732542</v>
      </c>
      <c r="O94" s="43">
        <f>Funktional!AF74</f>
        <v>32713.081144783398</v>
      </c>
      <c r="P94" s="43">
        <f>Funktional!AL74</f>
        <v>1861.9337856560298</v>
      </c>
      <c r="Q94" s="43">
        <f>Funktional!AK74</f>
        <v>37704.159159534604</v>
      </c>
      <c r="R94" s="80">
        <f>Funktional!AU74</f>
        <v>1301.6137752329284</v>
      </c>
      <c r="S94" s="43">
        <f>Funktional!AT74</f>
        <v>26357.678948466801</v>
      </c>
      <c r="T94" s="80">
        <f>Funktional!AQ74</f>
        <v>74.849986809095697</v>
      </c>
      <c r="U94" s="43">
        <f>Funktional!AP74</f>
        <v>1515.7122328841879</v>
      </c>
      <c r="V94" s="80">
        <f t="shared" si="21"/>
        <v>958.02060567925059</v>
      </c>
      <c r="W94" s="183">
        <f t="shared" si="21"/>
        <v>19399.917265004809</v>
      </c>
      <c r="X94" s="172">
        <f>Funktional!S74</f>
        <v>0.52769691663426777</v>
      </c>
      <c r="Y94" s="42">
        <f>Funktional!X74</f>
        <v>4.2605924776956121E-2</v>
      </c>
      <c r="Z94" s="42">
        <f>'Kennzahlen Revision'!L74</f>
        <v>1.4571071372021792E-2</v>
      </c>
      <c r="AA94" s="42">
        <f>Funktional!AE74</f>
        <v>0.11943795118481863</v>
      </c>
      <c r="AB94" s="42">
        <f>Funktional!AJ74</f>
        <v>0.13766075721299789</v>
      </c>
      <c r="AC94" s="42">
        <f>Funktional!AS74</f>
        <v>9.6233893642088592E-2</v>
      </c>
      <c r="AD94" s="42">
        <f>Funktional!AO74</f>
        <v>5.5339808219294758E-3</v>
      </c>
      <c r="AE94" s="202">
        <f>Funktional!AV74</f>
        <v>7.0830575726941541E-2</v>
      </c>
      <c r="AF94" s="172">
        <f>'Kennzahlen Revision'!C74</f>
        <v>0.20569999999999999</v>
      </c>
      <c r="AG94" s="42">
        <f>'Kennzahlen Revision'!D74</f>
        <v>8.4500000000000006E-2</v>
      </c>
      <c r="AH94" s="42">
        <f>Artengliederung!AN74</f>
        <v>3.9786497189912833E-2</v>
      </c>
      <c r="AI94" s="178" t="str">
        <f t="shared" si="19"/>
        <v>Landschlacht</v>
      </c>
    </row>
    <row r="95" spans="1:35" x14ac:dyDescent="0.25">
      <c r="A95" s="41" t="str">
        <f>Funktional!A75</f>
        <v>Lanterswil</v>
      </c>
      <c r="B95" s="41" t="str">
        <f>Funktional!B75</f>
        <v>PSG</v>
      </c>
      <c r="C95" s="352">
        <f>Funktional!D75</f>
        <v>24</v>
      </c>
      <c r="D95" s="348">
        <f>Funktional!G75</f>
        <v>10887.089583333332</v>
      </c>
      <c r="E95" s="186">
        <f>Funktional!F75</f>
        <v>261290.15</v>
      </c>
      <c r="F95" s="48">
        <f>Funktional!U75</f>
        <v>7656.3625000000002</v>
      </c>
      <c r="G95" s="48">
        <f>Funktional!T75</f>
        <v>183752.7</v>
      </c>
      <c r="H95" s="48">
        <f>Artengliederung!R75</f>
        <v>250.38958333333335</v>
      </c>
      <c r="I95" s="186">
        <f>Artengliederung!Q75</f>
        <v>6009.35</v>
      </c>
      <c r="J95" s="48">
        <f>Funktional!Z75</f>
        <v>452.7479166666667</v>
      </c>
      <c r="K95" s="48">
        <f>Funktional!Y75</f>
        <v>10865.95</v>
      </c>
      <c r="L95" s="48">
        <f>'Kennzahlen Revision'!O75</f>
        <v>812.5</v>
      </c>
      <c r="M95" s="48">
        <f>'Kennzahlen Revision'!N75</f>
        <v>19500</v>
      </c>
      <c r="N95" s="80">
        <f>Funktional!AG75</f>
        <v>576.04166666666663</v>
      </c>
      <c r="O95" s="43">
        <f>Funktional!AF75</f>
        <v>13825</v>
      </c>
      <c r="P95" s="43">
        <f>Funktional!AL75</f>
        <v>874.10833333333323</v>
      </c>
      <c r="Q95" s="43">
        <f>Funktional!AK75</f>
        <v>20978.6</v>
      </c>
      <c r="R95" s="80">
        <f>Funktional!AU75</f>
        <v>565.44166666666672</v>
      </c>
      <c r="S95" s="43">
        <f>Funktional!AT75</f>
        <v>13570.6</v>
      </c>
      <c r="T95" s="80">
        <f>Funktional!AQ75</f>
        <v>20.412499999999998</v>
      </c>
      <c r="U95" s="43">
        <f>Funktional!AP75</f>
        <v>489.9</v>
      </c>
      <c r="V95" s="80">
        <f t="shared" si="21"/>
        <v>741.97499999999923</v>
      </c>
      <c r="W95" s="183">
        <f t="shared" si="21"/>
        <v>17807.399999999987</v>
      </c>
      <c r="X95" s="172">
        <f>Funktional!S75</f>
        <v>0.70325153856737432</v>
      </c>
      <c r="Y95" s="42">
        <f>Funktional!X75</f>
        <v>4.1585762035040358E-2</v>
      </c>
      <c r="Z95" s="42">
        <f>'Kennzahlen Revision'!L75</f>
        <v>7.4629678922071882E-2</v>
      </c>
      <c r="AA95" s="42">
        <f>Funktional!AE75</f>
        <v>5.2910528774238144E-2</v>
      </c>
      <c r="AB95" s="42">
        <f>Funktional!AJ75</f>
        <v>8.0288522165875745E-2</v>
      </c>
      <c r="AC95" s="42">
        <f>Funktional!AS75</f>
        <v>5.1936898501531728E-2</v>
      </c>
      <c r="AD95" s="42">
        <f>Funktional!AO75</f>
        <v>1.8749271643037442E-3</v>
      </c>
      <c r="AE95" s="202">
        <f>Funktional!AV75</f>
        <v>6.8151822791635938E-2</v>
      </c>
      <c r="AF95" s="172">
        <f>'Kennzahlen Revision'!C75</f>
        <v>5.0599999999999999E-2</v>
      </c>
      <c r="AG95" s="42">
        <f>'Kennzahlen Revision'!D75</f>
        <v>1.38E-2</v>
      </c>
      <c r="AH95" s="42">
        <f>Artengliederung!AN75</f>
        <v>0.59710249314794306</v>
      </c>
      <c r="AI95" s="178" t="str">
        <f t="shared" si="19"/>
        <v>Lanterswil</v>
      </c>
    </row>
    <row r="96" spans="1:35" x14ac:dyDescent="0.25">
      <c r="A96" s="41" t="str">
        <f>Funktional!A76</f>
        <v>Leimbach</v>
      </c>
      <c r="B96" s="41" t="str">
        <f>Funktional!B76</f>
        <v>PSG</v>
      </c>
      <c r="C96" s="352">
        <f>Funktional!D76</f>
        <v>43</v>
      </c>
      <c r="D96" s="348">
        <f>Funktional!G76</f>
        <v>13819.636131603958</v>
      </c>
      <c r="E96" s="186">
        <f>Funktional!F76</f>
        <v>297122.17682948511</v>
      </c>
      <c r="F96" s="48">
        <f>Funktional!U76</f>
        <v>8893.0086427118113</v>
      </c>
      <c r="G96" s="48">
        <f>Funktional!T76</f>
        <v>191199.68581830393</v>
      </c>
      <c r="H96" s="48">
        <f>Artengliederung!R76</f>
        <v>440.79362783595661</v>
      </c>
      <c r="I96" s="186">
        <f>Artengliederung!Q76</f>
        <v>9477.0629984730676</v>
      </c>
      <c r="J96" s="48">
        <f>Funktional!Z76</f>
        <v>700.9985644820664</v>
      </c>
      <c r="K96" s="48">
        <f>Funktional!Y76</f>
        <v>15071.469136364427</v>
      </c>
      <c r="L96" s="48">
        <f>'Kennzahlen Revision'!O76</f>
        <v>290.07477093405106</v>
      </c>
      <c r="M96" s="48">
        <f>'Kennzahlen Revision'!N76</f>
        <v>6236.6075750820974</v>
      </c>
      <c r="N96" s="80">
        <f>Funktional!AG76</f>
        <v>1361.3745577744949</v>
      </c>
      <c r="O96" s="43">
        <f>Funktional!AF76</f>
        <v>29269.552992151639</v>
      </c>
      <c r="P96" s="43">
        <f>Funktional!AL76</f>
        <v>1139.927281847032</v>
      </c>
      <c r="Q96" s="43">
        <f>Funktional!AK76</f>
        <v>24508.436559711186</v>
      </c>
      <c r="R96" s="80">
        <f>Funktional!AU76</f>
        <v>819.40777182868203</v>
      </c>
      <c r="S96" s="43">
        <f>Funktional!AT76</f>
        <v>17617.267094316663</v>
      </c>
      <c r="T96" s="80">
        <f>Funktional!AQ76</f>
        <v>62.166371979454695</v>
      </c>
      <c r="U96" s="43">
        <f>Funktional!AP76</f>
        <v>1336.5769975582759</v>
      </c>
      <c r="V96" s="80">
        <f t="shared" si="21"/>
        <v>842.75294098041729</v>
      </c>
      <c r="W96" s="183">
        <f t="shared" si="21"/>
        <v>18119.188231078981</v>
      </c>
      <c r="X96" s="172">
        <f>Funktional!S76</f>
        <v>0.64350526728952706</v>
      </c>
      <c r="Y96" s="42">
        <f>Funktional!X76</f>
        <v>5.0724820668683251E-2</v>
      </c>
      <c r="Z96" s="42">
        <f>'Kennzahlen Revision'!L76</f>
        <v>2.0990044033842727E-2</v>
      </c>
      <c r="AA96" s="42">
        <f>Funktional!AE76</f>
        <v>9.8510159371069397E-2</v>
      </c>
      <c r="AB96" s="42">
        <f>Funktional!AJ76</f>
        <v>8.2486056144426695E-2</v>
      </c>
      <c r="AC96" s="42">
        <f>Funktional!AS76</f>
        <v>5.9293006272052876E-2</v>
      </c>
      <c r="AD96" s="42">
        <f>Funktional!AO76</f>
        <v>4.498408741550523E-3</v>
      </c>
      <c r="AE96" s="202">
        <f>Funktional!AV76</f>
        <v>6.0982281512690223E-2</v>
      </c>
      <c r="AF96" s="172">
        <f>'Kennzahlen Revision'!C76</f>
        <v>0.10630000000000001</v>
      </c>
      <c r="AG96" s="42">
        <f>'Kennzahlen Revision'!D76</f>
        <v>2.0899999999999998E-2</v>
      </c>
      <c r="AH96" s="42">
        <f>Artengliederung!AN76</f>
        <v>0.50079354919603614</v>
      </c>
      <c r="AI96" s="178" t="str">
        <f t="shared" si="19"/>
        <v>Leimbach</v>
      </c>
    </row>
    <row r="97" spans="1:35" x14ac:dyDescent="0.25">
      <c r="A97" s="41" t="str">
        <f>Funktional!A77</f>
        <v>Lommis</v>
      </c>
      <c r="B97" s="41" t="str">
        <f>Funktional!B77</f>
        <v>PSG</v>
      </c>
      <c r="C97" s="352">
        <f>Funktional!D77</f>
        <v>113</v>
      </c>
      <c r="D97" s="348">
        <f>Funktional!G77</f>
        <v>10242.742005455057</v>
      </c>
      <c r="E97" s="186">
        <f>Funktional!F77</f>
        <v>231485.96932328428</v>
      </c>
      <c r="F97" s="48">
        <f>Funktional!U77</f>
        <v>5938.2762582635096</v>
      </c>
      <c r="G97" s="48">
        <f>Funktional!T77</f>
        <v>134205.04343675531</v>
      </c>
      <c r="H97" s="48">
        <f>Artengliederung!R77</f>
        <v>337.14887488110963</v>
      </c>
      <c r="I97" s="186">
        <f>Artengliederung!Q77</f>
        <v>7619.5645723130774</v>
      </c>
      <c r="J97" s="48">
        <f>Funktional!Z77</f>
        <v>569.47658433119773</v>
      </c>
      <c r="K97" s="48">
        <f>Funktional!Y77</f>
        <v>12870.170805885069</v>
      </c>
      <c r="L97" s="48">
        <f>'Kennzahlen Revision'!O77</f>
        <v>202.53840407239736</v>
      </c>
      <c r="M97" s="48">
        <f>'Kennzahlen Revision'!N77</f>
        <v>4577.3679320361798</v>
      </c>
      <c r="N97" s="80">
        <f>Funktional!AG77</f>
        <v>1643.1897629116136</v>
      </c>
      <c r="O97" s="43">
        <f>Funktional!AF77</f>
        <v>37136.088641802467</v>
      </c>
      <c r="P97" s="43">
        <f>Funktional!AL77</f>
        <v>917.13626869598636</v>
      </c>
      <c r="Q97" s="43">
        <f>Funktional!AK77</f>
        <v>20727.279672529294</v>
      </c>
      <c r="R97" s="80">
        <f>Funktional!AU77</f>
        <v>925.34302427801913</v>
      </c>
      <c r="S97" s="43">
        <f>Funktional!AT77</f>
        <v>20912.752348683232</v>
      </c>
      <c r="T97" s="80">
        <f>Funktional!AQ77</f>
        <v>24.06220880296274</v>
      </c>
      <c r="U97" s="43">
        <f>Funktional!AP77</f>
        <v>543.80591894695795</v>
      </c>
      <c r="V97" s="80">
        <f t="shared" si="21"/>
        <v>225.25789817176695</v>
      </c>
      <c r="W97" s="183">
        <f t="shared" si="21"/>
        <v>5090.828498681959</v>
      </c>
      <c r="X97" s="172">
        <f>Funktional!S77</f>
        <v>0.5797545476690632</v>
      </c>
      <c r="Y97" s="42">
        <f>Funktional!X77</f>
        <v>5.5598059975337386E-2</v>
      </c>
      <c r="Z97" s="42">
        <f>'Kennzahlen Revision'!L77</f>
        <v>1.9773846101417952E-2</v>
      </c>
      <c r="AA97" s="42">
        <f>Funktional!AE77</f>
        <v>0.16042479270067403</v>
      </c>
      <c r="AB97" s="42">
        <f>Funktional!AJ77</f>
        <v>8.9540112228497018E-2</v>
      </c>
      <c r="AC97" s="42">
        <f>Funktional!AS77</f>
        <v>9.0341338655723441E-2</v>
      </c>
      <c r="AD97" s="42">
        <f>Funktional!AO77</f>
        <v>2.3491960248679254E-3</v>
      </c>
      <c r="AE97" s="202">
        <f>Funktional!AV77</f>
        <v>2.1991952745836998E-2</v>
      </c>
      <c r="AF97" s="172">
        <f>'Kennzahlen Revision'!C77</f>
        <v>0.18179999999999999</v>
      </c>
      <c r="AG97" s="42">
        <f>'Kennzahlen Revision'!D77</f>
        <v>6.1899999999999997E-2</v>
      </c>
      <c r="AH97" s="42">
        <f>Artengliederung!AN77</f>
        <v>0.68715727962925011</v>
      </c>
      <c r="AI97" s="178" t="str">
        <f t="shared" si="19"/>
        <v>Lommis</v>
      </c>
    </row>
    <row r="98" spans="1:35" x14ac:dyDescent="0.25">
      <c r="A98" s="41" t="str">
        <f>Funktional!A78</f>
        <v>Mammern</v>
      </c>
      <c r="B98" s="41" t="str">
        <f>Funktional!B78</f>
        <v>PSG</v>
      </c>
      <c r="C98" s="352">
        <f>Funktional!D78</f>
        <v>53</v>
      </c>
      <c r="D98" s="348">
        <f>Funktional!G78</f>
        <v>8699.9775688018253</v>
      </c>
      <c r="E98" s="186">
        <f>Funktional!F78</f>
        <v>184439.52445859869</v>
      </c>
      <c r="F98" s="48">
        <f>Funktional!U78</f>
        <v>6838.3583652897196</v>
      </c>
      <c r="G98" s="48">
        <f>Funktional!T78</f>
        <v>144973.19734414207</v>
      </c>
      <c r="H98" s="48">
        <f>Artengliederung!R78</f>
        <v>326.73969037812321</v>
      </c>
      <c r="I98" s="186">
        <f>Artengliederung!Q78</f>
        <v>6926.8814360162123</v>
      </c>
      <c r="J98" s="48">
        <f>Funktional!Z78</f>
        <v>509.98817873179581</v>
      </c>
      <c r="K98" s="48">
        <f>Funktional!Y78</f>
        <v>10811.749389114071</v>
      </c>
      <c r="L98" s="48">
        <f>'Kennzahlen Revision'!O78</f>
        <v>139.12499590302738</v>
      </c>
      <c r="M98" s="48">
        <f>'Kennzahlen Revision'!N78</f>
        <v>2949.4499131441803</v>
      </c>
      <c r="N98" s="80">
        <f>Funktional!AG78</f>
        <v>92.749997268684936</v>
      </c>
      <c r="O98" s="43">
        <f>Funktional!AF78</f>
        <v>1966.2999420961205</v>
      </c>
      <c r="P98" s="43">
        <f>Funktional!AL78</f>
        <v>745.74321345591466</v>
      </c>
      <c r="Q98" s="43">
        <f>Funktional!AK78</f>
        <v>15809.756125265392</v>
      </c>
      <c r="R98" s="80">
        <f>Funktional!AU78</f>
        <v>109.96980717826018</v>
      </c>
      <c r="S98" s="43">
        <f>Funktional!AT78</f>
        <v>2331.3599121791158</v>
      </c>
      <c r="T98" s="80">
        <f>Funktional!AQ78</f>
        <v>23.458020142538228</v>
      </c>
      <c r="U98" s="43">
        <f>Funktional!AP78</f>
        <v>497.31002702181041</v>
      </c>
      <c r="V98" s="80">
        <f t="shared" si="21"/>
        <v>379.70998673491198</v>
      </c>
      <c r="W98" s="183">
        <f t="shared" si="21"/>
        <v>8049.8517187801162</v>
      </c>
      <c r="X98" s="172">
        <f>Funktional!S78</f>
        <v>0.78602022950175365</v>
      </c>
      <c r="Y98" s="42">
        <f>Funktional!X78</f>
        <v>5.8619482027242993E-2</v>
      </c>
      <c r="Z98" s="42">
        <f>'Kennzahlen Revision'!L78</f>
        <v>1.5991420070085065E-2</v>
      </c>
      <c r="AA98" s="42">
        <f>Funktional!AE78</f>
        <v>1.0660946713390044E-2</v>
      </c>
      <c r="AB98" s="42">
        <f>Funktional!AJ78</f>
        <v>8.5717831748228251E-2</v>
      </c>
      <c r="AC98" s="42">
        <f>Funktional!AS78</f>
        <v>1.2640240311953516E-2</v>
      </c>
      <c r="AD98" s="42">
        <f>Funktional!AO78</f>
        <v>2.6963311062615652E-3</v>
      </c>
      <c r="AE98" s="202">
        <f>Funktional!AV78</f>
        <v>4.3644938591169982E-2</v>
      </c>
      <c r="AF98" s="172">
        <f>'Kennzahlen Revision'!C78</f>
        <v>1.26E-2</v>
      </c>
      <c r="AG98" s="42">
        <f>'Kennzahlen Revision'!D78</f>
        <v>9.4999999999999998E-3</v>
      </c>
      <c r="AH98" s="42">
        <f>Artengliederung!AN78</f>
        <v>2.8715259972516081E-2</v>
      </c>
      <c r="AI98" s="178" t="str">
        <f t="shared" si="19"/>
        <v>Mammern</v>
      </c>
    </row>
    <row r="99" spans="1:35" x14ac:dyDescent="0.25">
      <c r="A99" s="41" t="str">
        <f>Funktional!A79</f>
        <v>Märstetten</v>
      </c>
      <c r="B99" s="41" t="str">
        <f>Funktional!B79</f>
        <v>PSG</v>
      </c>
      <c r="C99" s="352">
        <f>Funktional!D79</f>
        <v>160</v>
      </c>
      <c r="D99" s="348">
        <f>Funktional!G79</f>
        <v>11446.23867161654</v>
      </c>
      <c r="E99" s="186">
        <f>Funktional!F79</f>
        <v>261628.31249409236</v>
      </c>
      <c r="F99" s="48">
        <f>Funktional!U79</f>
        <v>8000.3950601429724</v>
      </c>
      <c r="G99" s="48">
        <f>Funktional!T79</f>
        <v>182866.17280326792</v>
      </c>
      <c r="H99" s="48">
        <f>Artengliederung!R79</f>
        <v>430.95451179152406</v>
      </c>
      <c r="I99" s="186">
        <f>Artengliederung!Q79</f>
        <v>9850.388840949121</v>
      </c>
      <c r="J99" s="48">
        <f>Funktional!Z79</f>
        <v>549.31181264658062</v>
      </c>
      <c r="K99" s="48">
        <f>Funktional!Y79</f>
        <v>12555.698574778986</v>
      </c>
      <c r="L99" s="48">
        <f>'Kennzahlen Revision'!O79</f>
        <v>263.33162244141465</v>
      </c>
      <c r="M99" s="48">
        <f>'Kennzahlen Revision'!N79</f>
        <v>6019.0085129466197</v>
      </c>
      <c r="N99" s="80">
        <f>Funktional!AG79</f>
        <v>595.5462377669802</v>
      </c>
      <c r="O99" s="43">
        <f>Funktional!AF79</f>
        <v>13612.485434673832</v>
      </c>
      <c r="P99" s="43">
        <f>Funktional!AL79</f>
        <v>1208.8155419602176</v>
      </c>
      <c r="Q99" s="43">
        <f>Funktional!AK79</f>
        <v>27630.069530519257</v>
      </c>
      <c r="R99" s="80">
        <f>Funktional!AU79</f>
        <v>352.30344743745684</v>
      </c>
      <c r="S99" s="43">
        <f>Funktional!AT79</f>
        <v>8052.6502271418703</v>
      </c>
      <c r="T99" s="80">
        <f>Funktional!AQ79</f>
        <v>44.156692311442406</v>
      </c>
      <c r="U99" s="43">
        <f>Funktional!AP79</f>
        <v>1009.2958242615407</v>
      </c>
      <c r="V99" s="80">
        <f t="shared" si="21"/>
        <v>695.70987935089022</v>
      </c>
      <c r="W99" s="183">
        <f t="shared" si="21"/>
        <v>15901.94009944895</v>
      </c>
      <c r="X99" s="172">
        <f>Funktional!S79</f>
        <v>0.69895406601835997</v>
      </c>
      <c r="Y99" s="42">
        <f>Funktional!X79</f>
        <v>4.7990595723704392E-2</v>
      </c>
      <c r="Z99" s="42">
        <f>'Kennzahlen Revision'!L79</f>
        <v>2.300595243522251E-2</v>
      </c>
      <c r="AA99" s="42">
        <f>Funktional!AE79</f>
        <v>5.2029863682972792E-2</v>
      </c>
      <c r="AB99" s="42">
        <f>Funktional!AJ79</f>
        <v>0.10560810207092229</v>
      </c>
      <c r="AC99" s="42">
        <f>Funktional!AS79</f>
        <v>3.0778970939254524E-2</v>
      </c>
      <c r="AD99" s="42">
        <f>Funktional!AO79</f>
        <v>3.857746948867894E-3</v>
      </c>
      <c r="AE99" s="202">
        <f>Funktional!AV79</f>
        <v>6.0780654615918112E-2</v>
      </c>
      <c r="AF99" s="172">
        <f>'Kennzahlen Revision'!C79</f>
        <v>6.2300000000000001E-2</v>
      </c>
      <c r="AG99" s="42">
        <f>'Kennzahlen Revision'!D79</f>
        <v>2.12E-2</v>
      </c>
      <c r="AH99" s="42">
        <f>Artengliederung!AN79</f>
        <v>5.2291958043020663E-2</v>
      </c>
      <c r="AI99" s="178" t="str">
        <f t="shared" si="19"/>
        <v>Märstetten</v>
      </c>
    </row>
    <row r="100" spans="1:35" x14ac:dyDescent="0.25">
      <c r="A100" s="41" t="str">
        <f>Funktional!A80</f>
        <v>Märwil</v>
      </c>
      <c r="B100" s="41" t="str">
        <f>Funktional!B80</f>
        <v>PSG</v>
      </c>
      <c r="C100" s="352">
        <f>Funktional!D80</f>
        <v>106</v>
      </c>
      <c r="D100" s="348">
        <f>Funktional!G80</f>
        <v>8684.8923599867358</v>
      </c>
      <c r="E100" s="186">
        <f>Funktional!F80</f>
        <v>230149.64753964852</v>
      </c>
      <c r="F100" s="48">
        <f>Funktional!U80</f>
        <v>4994.595077079256</v>
      </c>
      <c r="G100" s="48">
        <f>Funktional!T80</f>
        <v>132356.76954260029</v>
      </c>
      <c r="H100" s="48">
        <f>Artengliederung!R80</f>
        <v>305.70458621112209</v>
      </c>
      <c r="I100" s="186">
        <f>Artengliederung!Q80</f>
        <v>8101.171534594735</v>
      </c>
      <c r="J100" s="48">
        <f>Funktional!Z80</f>
        <v>312.83053137795406</v>
      </c>
      <c r="K100" s="48">
        <f>Funktional!Y80</f>
        <v>8290.0090815157819</v>
      </c>
      <c r="L100" s="48">
        <f>'Kennzahlen Revision'!O80</f>
        <v>134.97931080158071</v>
      </c>
      <c r="M100" s="48">
        <f>'Kennzahlen Revision'!N80</f>
        <v>3576.9517362418887</v>
      </c>
      <c r="N100" s="80">
        <f>Funktional!AG80</f>
        <v>753.84281139885843</v>
      </c>
      <c r="O100" s="43">
        <f>Funktional!AF80</f>
        <v>19976.834502069749</v>
      </c>
      <c r="P100" s="43">
        <f>Funktional!AL80</f>
        <v>736.82498047041599</v>
      </c>
      <c r="Q100" s="43">
        <f>Funktional!AK80</f>
        <v>19525.861982466024</v>
      </c>
      <c r="R100" s="80">
        <f>Funktional!AU80</f>
        <v>339.90996345552765</v>
      </c>
      <c r="S100" s="43">
        <f>Funktional!AT80</f>
        <v>9007.614031571482</v>
      </c>
      <c r="T100" s="80">
        <f>Funktional!AQ80</f>
        <v>28.960060215565857</v>
      </c>
      <c r="U100" s="43">
        <f>Funktional!AP80</f>
        <v>767.4415957124952</v>
      </c>
      <c r="V100" s="80">
        <f t="shared" si="21"/>
        <v>1517.9289359891575</v>
      </c>
      <c r="W100" s="183">
        <f t="shared" si="21"/>
        <v>40225.116803712706</v>
      </c>
      <c r="X100" s="172">
        <f>Funktional!S80</f>
        <v>0.57509003797105018</v>
      </c>
      <c r="Y100" s="42">
        <f>Funktional!X80</f>
        <v>3.6020081586645221E-2</v>
      </c>
      <c r="Z100" s="42">
        <f>'Kennzahlen Revision'!L80</f>
        <v>1.5541851897147387E-2</v>
      </c>
      <c r="AA100" s="42">
        <f>Funktional!AE80</f>
        <v>8.6799326940651886E-2</v>
      </c>
      <c r="AB100" s="42">
        <f>Funktional!AJ80</f>
        <v>8.4839851771236138E-2</v>
      </c>
      <c r="AC100" s="42">
        <f>Funktional!AS80</f>
        <v>3.9138074413169438E-2</v>
      </c>
      <c r="AD100" s="42">
        <f>Funktional!AO80</f>
        <v>3.3345330045760155E-3</v>
      </c>
      <c r="AE100" s="202">
        <f>Funktional!AV80</f>
        <v>0.17477809431267111</v>
      </c>
      <c r="AF100" s="172">
        <f>'Kennzahlen Revision'!C80</f>
        <v>0.12640000000000001</v>
      </c>
      <c r="AG100" s="42">
        <f>'Kennzahlen Revision'!D80</f>
        <v>3.78E-2</v>
      </c>
      <c r="AH100" s="42">
        <f>Artengliederung!AN80</f>
        <v>0.25783007512306094</v>
      </c>
      <c r="AI100" s="178" t="str">
        <f t="shared" si="19"/>
        <v>Märwil</v>
      </c>
    </row>
    <row r="101" spans="1:35" x14ac:dyDescent="0.25">
      <c r="A101" s="41" t="str">
        <f>Funktional!A81</f>
        <v>Mattwil-Birwinken-Happerswil</v>
      </c>
      <c r="B101" s="41" t="str">
        <f>Funktional!B81</f>
        <v>PSG</v>
      </c>
      <c r="C101" s="352">
        <f>Funktional!D81</f>
        <v>82</v>
      </c>
      <c r="D101" s="348">
        <f>Funktional!G81</f>
        <v>8706.7255581940717</v>
      </c>
      <c r="E101" s="186">
        <f>Funktional!F81</f>
        <v>178487.87394297848</v>
      </c>
      <c r="F101" s="48">
        <f>Funktional!U81</f>
        <v>6758.4833191641474</v>
      </c>
      <c r="G101" s="48">
        <f>Funktional!T81</f>
        <v>138548.90804286502</v>
      </c>
      <c r="H101" s="48">
        <f>Artengliederung!R81</f>
        <v>284.35440111512344</v>
      </c>
      <c r="I101" s="186">
        <f>Artengliederung!Q81</f>
        <v>5829.26522286003</v>
      </c>
      <c r="J101" s="48">
        <f>Funktional!Z81</f>
        <v>372.77594150183717</v>
      </c>
      <c r="K101" s="48">
        <f>Funktional!Y81</f>
        <v>7641.9068007876622</v>
      </c>
      <c r="L101" s="48">
        <f>'Kennzahlen Revision'!O81</f>
        <v>173.33211686205772</v>
      </c>
      <c r="M101" s="48">
        <f>'Kennzahlen Revision'!N81</f>
        <v>3553.3083956721835</v>
      </c>
      <c r="N101" s="80">
        <f>Funktional!AG81</f>
        <v>193.36373026727421</v>
      </c>
      <c r="O101" s="43">
        <f>Funktional!AF81</f>
        <v>3963.9564704791214</v>
      </c>
      <c r="P101" s="43">
        <f>Funktional!AL81</f>
        <v>921.90720919906812</v>
      </c>
      <c r="Q101" s="43">
        <f>Funktional!AK81</f>
        <v>18899.097788580897</v>
      </c>
      <c r="R101" s="80">
        <f>Funktional!AU81</f>
        <v>120.53295536817797</v>
      </c>
      <c r="S101" s="43">
        <f>Funktional!AT81</f>
        <v>2470.9255850476484</v>
      </c>
      <c r="T101" s="80">
        <f>Funktional!AQ81</f>
        <v>55.777288833923194</v>
      </c>
      <c r="U101" s="43">
        <f>Funktional!AP81</f>
        <v>1143.4344210954255</v>
      </c>
      <c r="V101" s="80">
        <f t="shared" si="21"/>
        <v>283.8851138596437</v>
      </c>
      <c r="W101" s="183">
        <f t="shared" si="21"/>
        <v>5819.6448341227006</v>
      </c>
      <c r="X101" s="172">
        <f>Funktional!S81</f>
        <v>0.77623709096970495</v>
      </c>
      <c r="Y101" s="42">
        <f>Funktional!X81</f>
        <v>4.2814711341281494E-2</v>
      </c>
      <c r="Z101" s="42">
        <f>'Kennzahlen Revision'!L81</f>
        <v>1.9907842012882954E-2</v>
      </c>
      <c r="AA101" s="42">
        <f>Funktional!AE81</f>
        <v>2.2208547745632773E-2</v>
      </c>
      <c r="AB101" s="42">
        <f>Funktional!AJ81</f>
        <v>0.10588449159643525</v>
      </c>
      <c r="AC101" s="42">
        <f>Funktional!AS81</f>
        <v>1.3843660807103541E-2</v>
      </c>
      <c r="AD101" s="42">
        <f>Funktional!AO81</f>
        <v>6.4062302711988071E-3</v>
      </c>
      <c r="AE101" s="202">
        <f>Funktional!AV81</f>
        <v>3.2605267268643184E-2</v>
      </c>
      <c r="AF101" s="172">
        <f>'Kennzahlen Revision'!C81</f>
        <v>1.6400000000000001E-2</v>
      </c>
      <c r="AG101" s="42">
        <f>'Kennzahlen Revision'!D81</f>
        <v>-5.1999999999999998E-3</v>
      </c>
      <c r="AH101" s="42">
        <f>Artengliederung!AN81</f>
        <v>0.39133469878471822</v>
      </c>
      <c r="AI101" s="178" t="str">
        <f t="shared" si="19"/>
        <v>Mattwil-Birwinken-Happerswil</v>
      </c>
    </row>
    <row r="102" spans="1:35" x14ac:dyDescent="0.25">
      <c r="A102" s="41" t="str">
        <f>Funktional!A82</f>
        <v>Matzingen</v>
      </c>
      <c r="B102" s="41" t="str">
        <f>Funktional!B82</f>
        <v>PSG</v>
      </c>
      <c r="C102" s="352">
        <f>Funktional!D82</f>
        <v>217</v>
      </c>
      <c r="D102" s="348">
        <f>Funktional!G82</f>
        <v>9883.8375543126913</v>
      </c>
      <c r="E102" s="186">
        <f>Funktional!F82</f>
        <v>194981.15902598671</v>
      </c>
      <c r="F102" s="48">
        <f>Funktional!U82</f>
        <v>6703.5647079060582</v>
      </c>
      <c r="G102" s="48">
        <f>Funktional!T82</f>
        <v>132243.04923778315</v>
      </c>
      <c r="H102" s="48">
        <f>Artengliederung!R82</f>
        <v>357.85161452537773</v>
      </c>
      <c r="I102" s="186">
        <f>Artengliederung!Q82</f>
        <v>7059.4363956369962</v>
      </c>
      <c r="J102" s="48">
        <f>Funktional!Z82</f>
        <v>489.63916458891163</v>
      </c>
      <c r="K102" s="48">
        <f>Funktional!Y82</f>
        <v>9659.2453377994389</v>
      </c>
      <c r="L102" s="48">
        <f>'Kennzahlen Revision'!O82</f>
        <v>217.84441821989085</v>
      </c>
      <c r="M102" s="48">
        <f>'Kennzahlen Revision'!N82</f>
        <v>4297.476250337847</v>
      </c>
      <c r="N102" s="80">
        <f>Funktional!AG82</f>
        <v>150.39225948868213</v>
      </c>
      <c r="O102" s="43">
        <f>Funktional!AF82</f>
        <v>2966.8291190040018</v>
      </c>
      <c r="P102" s="43">
        <f>Funktional!AL82</f>
        <v>1112.6168446508098</v>
      </c>
      <c r="Q102" s="43">
        <f>Funktional!AK82</f>
        <v>21948.895935384153</v>
      </c>
      <c r="R102" s="80">
        <f>Funktional!AU82</f>
        <v>904.13195625658057</v>
      </c>
      <c r="S102" s="43">
        <f>Funktional!AT82</f>
        <v>17836.057682516181</v>
      </c>
      <c r="T102" s="80">
        <f>Funktional!AQ82</f>
        <v>48.410855800109815</v>
      </c>
      <c r="U102" s="43">
        <f>Funktional!AP82</f>
        <v>955.01415532943906</v>
      </c>
      <c r="V102" s="80">
        <f t="shared" si="21"/>
        <v>475.0817656215392</v>
      </c>
      <c r="W102" s="183">
        <f t="shared" si="21"/>
        <v>9372.0675581703381</v>
      </c>
      <c r="X102" s="172">
        <f>Funktional!S82</f>
        <v>0.67823501459522073</v>
      </c>
      <c r="Y102" s="42">
        <f>Funktional!X82</f>
        <v>4.9539377989398829E-2</v>
      </c>
      <c r="Z102" s="42">
        <f>'Kennzahlen Revision'!L82</f>
        <v>2.2040469303832005E-2</v>
      </c>
      <c r="AA102" s="42">
        <f>Funktional!AE82</f>
        <v>1.5215978476200301E-2</v>
      </c>
      <c r="AB102" s="42">
        <f>Funktional!AJ82</f>
        <v>0.11256931718443035</v>
      </c>
      <c r="AC102" s="42">
        <f>Funktional!AS82</f>
        <v>9.1475800901045137E-2</v>
      </c>
      <c r="AD102" s="42">
        <f>Funktional!AO82</f>
        <v>4.8979817337230858E-3</v>
      </c>
      <c r="AE102" s="202">
        <f>Funktional!AV82</f>
        <v>4.8066529119981563E-2</v>
      </c>
      <c r="AF102" s="172">
        <f>'Kennzahlen Revision'!C82</f>
        <v>9.1600000000000001E-2</v>
      </c>
      <c r="AG102" s="42">
        <f>'Kennzahlen Revision'!D82</f>
        <v>9.7199999999999995E-2</v>
      </c>
      <c r="AH102" s="42">
        <f>Artengliederung!AN82</f>
        <v>0.323098635164075</v>
      </c>
      <c r="AI102" s="178" t="str">
        <f t="shared" si="19"/>
        <v>Matzingen</v>
      </c>
    </row>
    <row r="103" spans="1:35" x14ac:dyDescent="0.25">
      <c r="A103" s="41" t="str">
        <f>Funktional!A83</f>
        <v>Mauren</v>
      </c>
      <c r="B103" s="41" t="str">
        <f>Funktional!B83</f>
        <v>PSG</v>
      </c>
      <c r="C103" s="352">
        <f>Funktional!D83</f>
        <v>57</v>
      </c>
      <c r="D103" s="348">
        <f>Funktional!G83</f>
        <v>13893.904796308321</v>
      </c>
      <c r="E103" s="186">
        <f>Funktional!F83</f>
        <v>263984.19112985808</v>
      </c>
      <c r="F103" s="48">
        <f>Funktional!U83</f>
        <v>7616.9391871764747</v>
      </c>
      <c r="G103" s="48">
        <f>Funktional!T83</f>
        <v>144721.84455635303</v>
      </c>
      <c r="H103" s="48">
        <f>Artengliederung!R83</f>
        <v>361.04398256379</v>
      </c>
      <c r="I103" s="186">
        <f>Artengliederung!Q83</f>
        <v>6859.8356687120104</v>
      </c>
      <c r="J103" s="48">
        <f>Funktional!Z83</f>
        <v>406.7355758294247</v>
      </c>
      <c r="K103" s="48">
        <f>Funktional!Y83</f>
        <v>7727.9759407590691</v>
      </c>
      <c r="L103" s="48">
        <f>'Kennzahlen Revision'!O83</f>
        <v>205.55735440084879</v>
      </c>
      <c r="M103" s="48">
        <f>'Kennzahlen Revision'!N83</f>
        <v>3905.589733616127</v>
      </c>
      <c r="N103" s="80">
        <f>Funktional!AG83</f>
        <v>1695.9395326311806</v>
      </c>
      <c r="O103" s="43">
        <f>Funktional!AF83</f>
        <v>32222.851119992429</v>
      </c>
      <c r="P103" s="43">
        <f>Funktional!AL83</f>
        <v>729.25506488435644</v>
      </c>
      <c r="Q103" s="43">
        <f>Funktional!AK83</f>
        <v>13855.846232802773</v>
      </c>
      <c r="R103" s="80">
        <f>Funktional!AU83</f>
        <v>913.5882417815501</v>
      </c>
      <c r="S103" s="43">
        <f>Funktional!AT83</f>
        <v>17358.176593849454</v>
      </c>
      <c r="T103" s="80">
        <f>Funktional!AQ83</f>
        <v>48.503161079717309</v>
      </c>
      <c r="U103" s="43">
        <f>Funktional!AP83</f>
        <v>921.56006051462884</v>
      </c>
      <c r="V103" s="80">
        <f t="shared" si="21"/>
        <v>2482.9440329256181</v>
      </c>
      <c r="W103" s="183">
        <f t="shared" si="21"/>
        <v>47175.936625586692</v>
      </c>
      <c r="X103" s="172">
        <f>Funktional!S83</f>
        <v>0.54822163379155531</v>
      </c>
      <c r="Y103" s="42">
        <f>Funktional!X83</f>
        <v>2.9274389150665287E-2</v>
      </c>
      <c r="Z103" s="42">
        <f>'Kennzahlen Revision'!L83</f>
        <v>1.4794786448764669E-2</v>
      </c>
      <c r="AA103" s="42">
        <f>Funktional!AE83</f>
        <v>0.1220635636629524</v>
      </c>
      <c r="AB103" s="42">
        <f>Funktional!AJ83</f>
        <v>5.2487409088777047E-2</v>
      </c>
      <c r="AC103" s="42">
        <f>Funktional!AS83</f>
        <v>6.5754606438954075E-2</v>
      </c>
      <c r="AD103" s="42">
        <f>Funktional!AO83</f>
        <v>3.4909668513494379E-3</v>
      </c>
      <c r="AE103" s="202">
        <f>Funktional!AV83</f>
        <v>0.17870743101574649</v>
      </c>
      <c r="AF103" s="172">
        <f>'Kennzahlen Revision'!C83</f>
        <v>0.17580000000000001</v>
      </c>
      <c r="AG103" s="42">
        <f>'Kennzahlen Revision'!D83</f>
        <v>5.5E-2</v>
      </c>
      <c r="AH103" s="42">
        <f>Artengliederung!AN83</f>
        <v>0.38054053793405168</v>
      </c>
      <c r="AI103" s="178" t="str">
        <f t="shared" si="19"/>
        <v>Mauren</v>
      </c>
    </row>
    <row r="104" spans="1:35" x14ac:dyDescent="0.25">
      <c r="A104" s="41" t="str">
        <f>Funktional!A84</f>
        <v>Mettlen</v>
      </c>
      <c r="B104" s="41" t="str">
        <f>Funktional!B84</f>
        <v>PSG</v>
      </c>
      <c r="C104" s="352">
        <f>Funktional!D84</f>
        <v>46</v>
      </c>
      <c r="D104" s="348">
        <f>Funktional!G84</f>
        <v>14132.483149925718</v>
      </c>
      <c r="E104" s="186">
        <f>Funktional!F84</f>
        <v>325047.1124482915</v>
      </c>
      <c r="F104" s="48">
        <f>Funktional!U84</f>
        <v>8627.7087425563932</v>
      </c>
      <c r="G104" s="48">
        <f>Funktional!T84</f>
        <v>198437.30107879706</v>
      </c>
      <c r="H104" s="48">
        <f>Artengliederung!R84</f>
        <v>381.85935772286064</v>
      </c>
      <c r="I104" s="186">
        <f>Artengliederung!Q84</f>
        <v>8782.7652276257941</v>
      </c>
      <c r="J104" s="48">
        <f>Funktional!Z84</f>
        <v>565.91091251959256</v>
      </c>
      <c r="K104" s="48">
        <f>Funktional!Y84</f>
        <v>13015.950987950628</v>
      </c>
      <c r="L104" s="48">
        <f>'Kennzahlen Revision'!O84</f>
        <v>291.43054709189221</v>
      </c>
      <c r="M104" s="48">
        <f>'Kennzahlen Revision'!N84</f>
        <v>6702.9025831135214</v>
      </c>
      <c r="N104" s="80">
        <f>Funktional!AG84</f>
        <v>1543.9109738103905</v>
      </c>
      <c r="O104" s="43">
        <f>Funktional!AF84</f>
        <v>35509.952397638983</v>
      </c>
      <c r="P104" s="43">
        <f>Funktional!AL84</f>
        <v>1481.6492433150172</v>
      </c>
      <c r="Q104" s="43">
        <f>Funktional!AK84</f>
        <v>34077.932596245395</v>
      </c>
      <c r="R104" s="80">
        <f>Funktional!AU84</f>
        <v>857.27881566210988</v>
      </c>
      <c r="S104" s="43">
        <f>Funktional!AT84</f>
        <v>19717.412760228526</v>
      </c>
      <c r="T104" s="80">
        <f>Funktional!AQ84</f>
        <v>20.835922292083886</v>
      </c>
      <c r="U104" s="43">
        <f>Funktional!AP84</f>
        <v>479.22621271792934</v>
      </c>
      <c r="V104" s="80">
        <f t="shared" si="21"/>
        <v>1035.1885397701303</v>
      </c>
      <c r="W104" s="183">
        <f t="shared" si="21"/>
        <v>23809.336414712998</v>
      </c>
      <c r="X104" s="172">
        <f>Funktional!S84</f>
        <v>0.61048781385610518</v>
      </c>
      <c r="Y104" s="42">
        <f>Funktional!X84</f>
        <v>4.0043275234512982E-2</v>
      </c>
      <c r="Z104" s="42">
        <f>'Kennzahlen Revision'!L84</f>
        <v>2.0621326344438206E-2</v>
      </c>
      <c r="AA104" s="42">
        <f>Funktional!AE84</f>
        <v>0.10924555560630586</v>
      </c>
      <c r="AB104" s="42">
        <f>Funktional!AJ84</f>
        <v>0.10483997947118054</v>
      </c>
      <c r="AC104" s="42">
        <f>Funktional!AS84</f>
        <v>6.0660168957400513E-2</v>
      </c>
      <c r="AD104" s="42">
        <f>Funktional!AO84</f>
        <v>1.4743284722892737E-3</v>
      </c>
      <c r="AE104" s="202">
        <f>Funktional!AV84</f>
        <v>7.3248878402205647E-2</v>
      </c>
      <c r="AF104" s="172">
        <f>'Kennzahlen Revision'!C84</f>
        <v>0.13600000000000001</v>
      </c>
      <c r="AG104" s="42">
        <f>'Kennzahlen Revision'!D84</f>
        <v>0.06</v>
      </c>
      <c r="AH104" s="42">
        <f>Artengliederung!AN84</f>
        <v>0.52270372698032019</v>
      </c>
      <c r="AI104" s="178" t="str">
        <f t="shared" si="19"/>
        <v>Mettlen</v>
      </c>
    </row>
    <row r="105" spans="1:35" x14ac:dyDescent="0.25">
      <c r="A105" s="41" t="str">
        <f>Funktional!A85</f>
        <v>Müllheim</v>
      </c>
      <c r="B105" s="41" t="str">
        <f>Funktional!B85</f>
        <v>PSG</v>
      </c>
      <c r="C105" s="352">
        <f>Funktional!D85</f>
        <v>241</v>
      </c>
      <c r="D105" s="348">
        <f>Funktional!G85</f>
        <v>8638.5052620754195</v>
      </c>
      <c r="E105" s="186">
        <f>Funktional!F85</f>
        <v>173489.98068001468</v>
      </c>
      <c r="F105" s="48">
        <f>Funktional!U85</f>
        <v>5851.1525298752003</v>
      </c>
      <c r="G105" s="48">
        <f>Funktional!T85</f>
        <v>117510.64664166026</v>
      </c>
      <c r="H105" s="48">
        <f>Artengliederung!R85</f>
        <v>267.36779287870667</v>
      </c>
      <c r="I105" s="186">
        <f>Artengliederung!Q85</f>
        <v>5369.6365069806925</v>
      </c>
      <c r="J105" s="48">
        <f>Funktional!Z85</f>
        <v>401.9883731639502</v>
      </c>
      <c r="K105" s="48">
        <f>Funktional!Y85</f>
        <v>8073.2664943760001</v>
      </c>
      <c r="L105" s="48">
        <f>'Kennzahlen Revision'!O85</f>
        <v>222.93931276851777</v>
      </c>
      <c r="M105" s="48">
        <f>'Kennzahlen Revision'!N85</f>
        <v>4477.3645314343985</v>
      </c>
      <c r="N105" s="80">
        <f>Funktional!AG85</f>
        <v>416.14862969754887</v>
      </c>
      <c r="O105" s="43">
        <f>Funktional!AF85</f>
        <v>8357.6516464257729</v>
      </c>
      <c r="P105" s="43">
        <f>Funktional!AL85</f>
        <v>1133.7156672615877</v>
      </c>
      <c r="Q105" s="43">
        <f>Funktional!AK85</f>
        <v>22768.789650836887</v>
      </c>
      <c r="R105" s="80">
        <f>Funktional!AU85</f>
        <v>496.35080233083312</v>
      </c>
      <c r="S105" s="43">
        <f>Funktional!AT85</f>
        <v>9968.3786134775655</v>
      </c>
      <c r="T105" s="80">
        <f>Funktional!AQ85</f>
        <v>18.729398194489725</v>
      </c>
      <c r="U105" s="43">
        <f>Funktional!AP85</f>
        <v>376.14874707266864</v>
      </c>
      <c r="V105" s="80">
        <f t="shared" si="21"/>
        <v>320.41986155180967</v>
      </c>
      <c r="W105" s="183">
        <f t="shared" si="21"/>
        <v>6435.098886165516</v>
      </c>
      <c r="X105" s="172">
        <f>Funktional!S85</f>
        <v>0.67733390816612737</v>
      </c>
      <c r="Y105" s="42">
        <f>Funktional!X85</f>
        <v>4.6534482641198471E-2</v>
      </c>
      <c r="Z105" s="42">
        <f>'Kennzahlen Revision'!L85</f>
        <v>2.5807625972893846E-2</v>
      </c>
      <c r="AA105" s="42">
        <f>Funktional!AE85</f>
        <v>4.8173684806851441E-2</v>
      </c>
      <c r="AB105" s="42">
        <f>Funktional!AJ85</f>
        <v>0.13123979587519638</v>
      </c>
      <c r="AC105" s="42">
        <f>Funktional!AS85</f>
        <v>5.7457949873562245E-2</v>
      </c>
      <c r="AD105" s="42">
        <f>Funktional!AO85</f>
        <v>2.168129511562044E-3</v>
      </c>
      <c r="AE105" s="202">
        <f>Funktional!AV85</f>
        <v>3.7092049125502041E-2</v>
      </c>
      <c r="AF105" s="172">
        <f>'Kennzahlen Revision'!C85</f>
        <v>6.1600000000000002E-2</v>
      </c>
      <c r="AG105" s="42">
        <f>'Kennzahlen Revision'!D85</f>
        <v>5.4300000000000001E-2</v>
      </c>
      <c r="AH105" s="42">
        <f>Artengliederung!AN85</f>
        <v>0.59773489325177553</v>
      </c>
      <c r="AI105" s="178" t="str">
        <f t="shared" si="19"/>
        <v>Müllheim</v>
      </c>
    </row>
    <row r="106" spans="1:35" x14ac:dyDescent="0.25">
      <c r="A106" s="41" t="str">
        <f>Funktional!A86</f>
        <v>Neukirch-Egnach</v>
      </c>
      <c r="B106" s="41" t="str">
        <f>Funktional!B86</f>
        <v>PSG</v>
      </c>
      <c r="C106" s="352">
        <f>Funktional!D86</f>
        <v>102</v>
      </c>
      <c r="D106" s="348">
        <f>Funktional!G86</f>
        <v>11079.137812301509</v>
      </c>
      <c r="E106" s="186">
        <f>Funktional!F86</f>
        <v>226014.41137095081</v>
      </c>
      <c r="F106" s="48">
        <f>Funktional!U86</f>
        <v>6832.5291034986722</v>
      </c>
      <c r="G106" s="48">
        <f>Funktional!T86</f>
        <v>139383.5937113729</v>
      </c>
      <c r="H106" s="48">
        <f>Artengliederung!R86</f>
        <v>326.3224843438399</v>
      </c>
      <c r="I106" s="186">
        <f>Artengliederung!Q86</f>
        <v>6656.9786806143338</v>
      </c>
      <c r="J106" s="48">
        <f>Funktional!Z86</f>
        <v>517.97705434965667</v>
      </c>
      <c r="K106" s="48">
        <f>Funktional!Y86</f>
        <v>10566.731908732996</v>
      </c>
      <c r="L106" s="48">
        <f>'Kennzahlen Revision'!O86</f>
        <v>205.13912488339389</v>
      </c>
      <c r="M106" s="48">
        <f>'Kennzahlen Revision'!N86</f>
        <v>4184.8381476212353</v>
      </c>
      <c r="N106" s="80">
        <f>Funktional!AG86</f>
        <v>1160.5514874504165</v>
      </c>
      <c r="O106" s="43">
        <f>Funktional!AF86</f>
        <v>23675.250343988497</v>
      </c>
      <c r="P106" s="43">
        <f>Funktional!AL86</f>
        <v>1079.4069302584126</v>
      </c>
      <c r="Q106" s="43">
        <f>Funktional!AK86</f>
        <v>22019.901377271617</v>
      </c>
      <c r="R106" s="80">
        <f>Funktional!AU86</f>
        <v>923.74147934992266</v>
      </c>
      <c r="S106" s="43">
        <f>Funktional!AT86</f>
        <v>18844.326178738422</v>
      </c>
      <c r="T106" s="80">
        <f>Funktional!AQ86</f>
        <v>102.96456030972196</v>
      </c>
      <c r="U106" s="43">
        <f>Funktional!AP86</f>
        <v>2100.4770303183277</v>
      </c>
      <c r="V106" s="80">
        <f t="shared" si="21"/>
        <v>461.96719708470687</v>
      </c>
      <c r="W106" s="183">
        <f t="shared" si="21"/>
        <v>9424.1308205280475</v>
      </c>
      <c r="X106" s="172">
        <f>Funktional!S86</f>
        <v>0.6167022397638473</v>
      </c>
      <c r="Y106" s="42">
        <f>Funktional!X86</f>
        <v>4.6752469652875939E-2</v>
      </c>
      <c r="Z106" s="42">
        <f>'Kennzahlen Revision'!L86</f>
        <v>1.8515802254542007E-2</v>
      </c>
      <c r="AA106" s="42">
        <f>Funktional!AE86</f>
        <v>0.10475106521031088</v>
      </c>
      <c r="AB106" s="42">
        <f>Funktional!AJ86</f>
        <v>9.7426979296160898E-2</v>
      </c>
      <c r="AC106" s="42">
        <f>Funktional!AS86</f>
        <v>8.3376657552202652E-2</v>
      </c>
      <c r="AD106" s="42">
        <f>Funktional!AO86</f>
        <v>9.2935535286326355E-3</v>
      </c>
      <c r="AE106" s="202">
        <f>Funktional!AV86</f>
        <v>4.1697034995969676E-2</v>
      </c>
      <c r="AF106" s="172">
        <f>'Kennzahlen Revision'!C86</f>
        <v>0.1855</v>
      </c>
      <c r="AG106" s="42">
        <f>'Kennzahlen Revision'!D86</f>
        <v>7.17E-2</v>
      </c>
      <c r="AH106" s="42">
        <f>Artengliederung!AN86</f>
        <v>5.0676750848399565E-2</v>
      </c>
      <c r="AI106" s="178" t="str">
        <f t="shared" si="19"/>
        <v>Neukirch-Egnach</v>
      </c>
    </row>
    <row r="107" spans="1:35" x14ac:dyDescent="0.25">
      <c r="A107" s="41" t="str">
        <f>Funktional!A87</f>
        <v>Neuwilen</v>
      </c>
      <c r="B107" s="41" t="str">
        <f>Funktional!B87</f>
        <v>PSG</v>
      </c>
      <c r="C107" s="352">
        <f>Funktional!D87</f>
        <v>73</v>
      </c>
      <c r="D107" s="348">
        <f>Funktional!G87</f>
        <v>8159.6968619061872</v>
      </c>
      <c r="E107" s="186">
        <f>Funktional!F87</f>
        <v>198552.62363971723</v>
      </c>
      <c r="F107" s="48">
        <f>Funktional!U87</f>
        <v>5339.9039443519559</v>
      </c>
      <c r="G107" s="48">
        <f>Funktional!T87</f>
        <v>129937.6626458976</v>
      </c>
      <c r="H107" s="48">
        <f>Artengliederung!R87</f>
        <v>222.94021228688402</v>
      </c>
      <c r="I107" s="186">
        <f>Artengliederung!Q87</f>
        <v>5424.8784989808446</v>
      </c>
      <c r="J107" s="48">
        <f>Funktional!Z87</f>
        <v>477.97240749768218</v>
      </c>
      <c r="K107" s="48">
        <f>Funktional!Y87</f>
        <v>11630.661915776933</v>
      </c>
      <c r="L107" s="48">
        <f>'Kennzahlen Revision'!O87</f>
        <v>147.74852529091558</v>
      </c>
      <c r="M107" s="48">
        <f>'Kennzahlen Revision'!N87</f>
        <v>3595.2141154122787</v>
      </c>
      <c r="N107" s="80">
        <f>Funktional!AG87</f>
        <v>306.41402495054882</v>
      </c>
      <c r="O107" s="43">
        <f>Funktional!AF87</f>
        <v>7456.0746071300209</v>
      </c>
      <c r="P107" s="43">
        <f>Funktional!AL87</f>
        <v>872.97717783501105</v>
      </c>
      <c r="Q107" s="43">
        <f>Funktional!AK87</f>
        <v>21242.444660651938</v>
      </c>
      <c r="R107" s="80">
        <f>Funktional!AU87</f>
        <v>289.54059614556593</v>
      </c>
      <c r="S107" s="43">
        <f>Funktional!AT87</f>
        <v>7045.4878395421038</v>
      </c>
      <c r="T107" s="80">
        <f>Funktional!AQ87</f>
        <v>40.348115795494472</v>
      </c>
      <c r="U107" s="43">
        <f>Funktional!AP87</f>
        <v>981.80415102369886</v>
      </c>
      <c r="V107" s="80">
        <f t="shared" ref="V107:W107" si="22">D107-F107-J107-N107-P107-R107-T107</f>
        <v>832.54059532992892</v>
      </c>
      <c r="W107" s="183">
        <f t="shared" si="22"/>
        <v>20258.487819694943</v>
      </c>
      <c r="X107" s="172">
        <f>Funktional!S87</f>
        <v>0.65442430456963085</v>
      </c>
      <c r="Y107" s="42">
        <f>Funktional!X87</f>
        <v>5.8577226039990778E-2</v>
      </c>
      <c r="Z107" s="42">
        <f>'Kennzahlen Revision'!L87</f>
        <v>1.8107109588921668E-2</v>
      </c>
      <c r="AA107" s="42">
        <f>Funktional!AE87</f>
        <v>3.7552133386358107E-2</v>
      </c>
      <c r="AB107" s="42">
        <f>Funktional!AJ87</f>
        <v>0.10698647175369144</v>
      </c>
      <c r="AC107" s="42">
        <f>Funktional!AS87</f>
        <v>3.5484234407934405E-2</v>
      </c>
      <c r="AD107" s="42">
        <f>Funktional!AO87</f>
        <v>4.9448057297153984E-3</v>
      </c>
      <c r="AE107" s="202">
        <f>Funktional!AV87</f>
        <v>0.10203082411267902</v>
      </c>
      <c r="AF107" s="172">
        <f>'Kennzahlen Revision'!C87</f>
        <v>8.7099999999999997E-2</v>
      </c>
      <c r="AG107" s="42">
        <f>'Kennzahlen Revision'!D87</f>
        <v>5.5599999999999997E-2</v>
      </c>
      <c r="AH107" s="42">
        <f>Artengliederung!AN87</f>
        <v>0.49729052812626512</v>
      </c>
      <c r="AI107" s="178" t="str">
        <f t="shared" si="19"/>
        <v>Neuwilen</v>
      </c>
    </row>
    <row r="108" spans="1:35" x14ac:dyDescent="0.25">
      <c r="A108" s="41" t="str">
        <f>Funktional!A88</f>
        <v>Nussbaumen</v>
      </c>
      <c r="B108" s="41" t="str">
        <f>Funktional!B88</f>
        <v>PSG</v>
      </c>
      <c r="C108" s="352">
        <f>Funktional!D88</f>
        <v>54</v>
      </c>
      <c r="D108" s="348">
        <f>Funktional!G88</f>
        <v>12310.260997591498</v>
      </c>
      <c r="E108" s="186">
        <f>Funktional!F88</f>
        <v>265901.6375479764</v>
      </c>
      <c r="F108" s="48">
        <f>Funktional!U88</f>
        <v>7278.1868403999206</v>
      </c>
      <c r="G108" s="48">
        <f>Funktional!T88</f>
        <v>157208.83575263829</v>
      </c>
      <c r="H108" s="48">
        <f>Artengliederung!R88</f>
        <v>267.53649056257137</v>
      </c>
      <c r="I108" s="186">
        <f>Artengliederung!Q88</f>
        <v>5778.7881961515413</v>
      </c>
      <c r="J108" s="48">
        <f>Funktional!Z88</f>
        <v>407.06213331497202</v>
      </c>
      <c r="K108" s="48">
        <f>Funktional!Y88</f>
        <v>8792.5420796033959</v>
      </c>
      <c r="L108" s="48">
        <f>'Kennzahlen Revision'!O88</f>
        <v>135.57631243096532</v>
      </c>
      <c r="M108" s="48">
        <f>'Kennzahlen Revision'!N88</f>
        <v>2928.4483485088504</v>
      </c>
      <c r="N108" s="80">
        <f>Funktional!AG88</f>
        <v>1477.6041009524145</v>
      </c>
      <c r="O108" s="43">
        <f>Funktional!AF88</f>
        <v>31916.248580572155</v>
      </c>
      <c r="P108" s="43">
        <f>Funktional!AL88</f>
        <v>674.83683988413111</v>
      </c>
      <c r="Q108" s="43">
        <f>Funktional!AK88</f>
        <v>14576.475741497232</v>
      </c>
      <c r="R108" s="80">
        <f>Funktional!AU88</f>
        <v>1405.5027796787469</v>
      </c>
      <c r="S108" s="43">
        <f>Funktional!AT88</f>
        <v>30358.860041060932</v>
      </c>
      <c r="T108" s="80">
        <f>Funktional!AQ88</f>
        <v>30.127048138614278</v>
      </c>
      <c r="U108" s="43">
        <f>Funktional!AP88</f>
        <v>650.74423979406833</v>
      </c>
      <c r="V108" s="80">
        <f t="shared" ref="V108:W113" si="23">D108-F108-J108-N108-P108-R108-T108</f>
        <v>1036.9412552226991</v>
      </c>
      <c r="W108" s="183">
        <f t="shared" si="23"/>
        <v>22397.931112810318</v>
      </c>
      <c r="X108" s="172">
        <f>Funktional!S88</f>
        <v>0.59122928765067584</v>
      </c>
      <c r="Y108" s="42">
        <f>Funktional!X88</f>
        <v>3.3066897070225698E-2</v>
      </c>
      <c r="Z108" s="42">
        <f>'Kennzahlen Revision'!L88</f>
        <v>1.1013276847460082E-2</v>
      </c>
      <c r="AA108" s="42">
        <f>Funktional!AE88</f>
        <v>0.12003028215579731</v>
      </c>
      <c r="AB108" s="42">
        <f>Funktional!AJ88</f>
        <v>5.4819052172505753E-2</v>
      </c>
      <c r="AC108" s="42">
        <f>Funktional!AS88</f>
        <v>0.11417327219575063</v>
      </c>
      <c r="AD108" s="42">
        <f>Funktional!AO88</f>
        <v>2.4473118924536719E-3</v>
      </c>
      <c r="AE108" s="202">
        <f>Funktional!AV88</f>
        <v>8.4233896862591084E-2</v>
      </c>
      <c r="AF108" s="172">
        <f>'Kennzahlen Revision'!C88</f>
        <v>0.24440000000000001</v>
      </c>
      <c r="AG108" s="42">
        <f>'Kennzahlen Revision'!D88</f>
        <v>0.1011</v>
      </c>
      <c r="AH108" s="42">
        <f>Artengliederung!AN88</f>
        <v>8.8281680546402896E-2</v>
      </c>
      <c r="AI108" s="178" t="str">
        <f t="shared" si="19"/>
        <v>Nussbaumen</v>
      </c>
    </row>
    <row r="109" spans="1:35" x14ac:dyDescent="0.25">
      <c r="A109" s="41" t="str">
        <f>Funktional!A89</f>
        <v>Oberhofen-Lengwil</v>
      </c>
      <c r="B109" s="41" t="str">
        <f>Funktional!B89</f>
        <v>PSG</v>
      </c>
      <c r="C109" s="352">
        <f>Funktional!D89</f>
        <v>66</v>
      </c>
      <c r="D109" s="348">
        <f>Funktional!G89</f>
        <v>13056.557342865952</v>
      </c>
      <c r="E109" s="186">
        <f>Funktional!F89</f>
        <v>287244.26154305093</v>
      </c>
      <c r="F109" s="48">
        <f>Funktional!U89</f>
        <v>7122.8754200711637</v>
      </c>
      <c r="G109" s="48">
        <f>Funktional!T89</f>
        <v>156703.2592415656</v>
      </c>
      <c r="H109" s="48">
        <f>Artengliederung!R89</f>
        <v>376.31021980028936</v>
      </c>
      <c r="I109" s="186">
        <f>Artengliederung!Q89</f>
        <v>8278.824835606365</v>
      </c>
      <c r="J109" s="48">
        <f>Funktional!Z89</f>
        <v>496.40210146867753</v>
      </c>
      <c r="K109" s="48">
        <f>Funktional!Y89</f>
        <v>10920.846232310905</v>
      </c>
      <c r="L109" s="48">
        <f>'Kennzahlen Revision'!O89</f>
        <v>140.5001077338446</v>
      </c>
      <c r="M109" s="48">
        <f>'Kennzahlen Revision'!N89</f>
        <v>3091.0023701445812</v>
      </c>
      <c r="N109" s="80">
        <f>Funktional!AG89</f>
        <v>1341.0103032710665</v>
      </c>
      <c r="O109" s="43">
        <f>Funktional!AF89</f>
        <v>29502.226671963464</v>
      </c>
      <c r="P109" s="43">
        <f>Funktional!AL89</f>
        <v>2396.4453563163606</v>
      </c>
      <c r="Q109" s="43">
        <f>Funktional!AK89</f>
        <v>52721.79783895993</v>
      </c>
      <c r="R109" s="80">
        <f>Funktional!AU89</f>
        <v>1328.5063790998699</v>
      </c>
      <c r="S109" s="43">
        <f>Funktional!AT89</f>
        <v>29227.140340197137</v>
      </c>
      <c r="T109" s="80">
        <f>Funktional!AQ89</f>
        <v>85.634230246662725</v>
      </c>
      <c r="U109" s="43">
        <f>Funktional!AP89</f>
        <v>1883.95306542658</v>
      </c>
      <c r="V109" s="80">
        <f t="shared" si="23"/>
        <v>285.68355239215032</v>
      </c>
      <c r="W109" s="183">
        <f t="shared" si="23"/>
        <v>6285.0381526273268</v>
      </c>
      <c r="X109" s="172">
        <f>Funktional!S89</f>
        <v>0.54554008633547435</v>
      </c>
      <c r="Y109" s="42">
        <f>Funktional!X89</f>
        <v>3.8019371296209983E-2</v>
      </c>
      <c r="Z109" s="42">
        <f>'Kennzahlen Revision'!L89</f>
        <v>1.0760884668469922E-2</v>
      </c>
      <c r="AA109" s="42">
        <f>Funktional!AE89</f>
        <v>0.10270780176244459</v>
      </c>
      <c r="AB109" s="42">
        <f>Funktional!AJ89</f>
        <v>0.18354343288093228</v>
      </c>
      <c r="AC109" s="42">
        <f>Funktional!AS89</f>
        <v>0.10175012786397022</v>
      </c>
      <c r="AD109" s="42">
        <f>Funktional!AO89</f>
        <v>6.5587143684129653E-3</v>
      </c>
      <c r="AE109" s="202">
        <f>Funktional!AV89</f>
        <v>2.1880465492555623E-2</v>
      </c>
      <c r="AF109" s="172">
        <f>'Kennzahlen Revision'!C89</f>
        <v>0.18970000000000001</v>
      </c>
      <c r="AG109" s="42">
        <f>'Kennzahlen Revision'!D89</f>
        <v>0.1008</v>
      </c>
      <c r="AH109" s="42">
        <f>Artengliederung!AN89</f>
        <v>4.446397545011771E-2</v>
      </c>
      <c r="AI109" s="178" t="str">
        <f t="shared" si="19"/>
        <v>Oberhofen-Lengwil</v>
      </c>
    </row>
    <row r="110" spans="1:35" x14ac:dyDescent="0.25">
      <c r="A110" s="41" t="str">
        <f>Funktional!A90</f>
        <v>Ottoberg</v>
      </c>
      <c r="B110" s="41" t="str">
        <f>Funktional!B90</f>
        <v>PSG</v>
      </c>
      <c r="C110" s="352">
        <f>Funktional!D90</f>
        <v>55</v>
      </c>
      <c r="D110" s="348">
        <f>Funktional!G90</f>
        <v>14182.699706741994</v>
      </c>
      <c r="E110" s="186">
        <f>Funktional!F90</f>
        <v>312019.39354832389</v>
      </c>
      <c r="F110" s="48">
        <f>Funktional!U90</f>
        <v>6842.6018351815137</v>
      </c>
      <c r="G110" s="48">
        <f>Funktional!T90</f>
        <v>150537.24037399329</v>
      </c>
      <c r="H110" s="48">
        <f>Artengliederung!R90</f>
        <v>299.46528445598079</v>
      </c>
      <c r="I110" s="186">
        <f>Artengliederung!Q90</f>
        <v>6588.2362580315776</v>
      </c>
      <c r="J110" s="48">
        <f>Funktional!Z90</f>
        <v>634.88683708401902</v>
      </c>
      <c r="K110" s="48">
        <f>Funktional!Y90</f>
        <v>13967.510415848417</v>
      </c>
      <c r="L110" s="48">
        <f>'Kennzahlen Revision'!O90</f>
        <v>196.38579750668188</v>
      </c>
      <c r="M110" s="48">
        <f>'Kennzahlen Revision'!N90</f>
        <v>4320.4875451470016</v>
      </c>
      <c r="N110" s="80">
        <f>Funktional!AG90</f>
        <v>3477.3169113112613</v>
      </c>
      <c r="O110" s="43">
        <f>Funktional!AF90</f>
        <v>76500.972048847747</v>
      </c>
      <c r="P110" s="43">
        <f>Funktional!AL90</f>
        <v>824.48386520374765</v>
      </c>
      <c r="Q110" s="43">
        <f>Funktional!AK90</f>
        <v>18138.645034482448</v>
      </c>
      <c r="R110" s="80">
        <f>Funktional!AU90</f>
        <v>1923.1102277583532</v>
      </c>
      <c r="S110" s="43">
        <f>Funktional!AT90</f>
        <v>42308.425010683772</v>
      </c>
      <c r="T110" s="80">
        <f>Funktional!AQ90</f>
        <v>36.079477635564963</v>
      </c>
      <c r="U110" s="43">
        <f>Funktional!AP90</f>
        <v>793.74850798242926</v>
      </c>
      <c r="V110" s="80">
        <f t="shared" si="23"/>
        <v>444.22055256753464</v>
      </c>
      <c r="W110" s="183">
        <f t="shared" si="23"/>
        <v>9772.8521564857983</v>
      </c>
      <c r="X110" s="172">
        <f>Funktional!S90</f>
        <v>0.48246116583352344</v>
      </c>
      <c r="Y110" s="42">
        <f>Funktional!X90</f>
        <v>4.4764879057702565E-2</v>
      </c>
      <c r="Z110" s="42">
        <f>'Kennzahlen Revision'!L90</f>
        <v>1.3846855786795405E-2</v>
      </c>
      <c r="AA110" s="42">
        <f>Funktional!AE90</f>
        <v>0.24518018312537901</v>
      </c>
      <c r="AB110" s="42">
        <f>Funktional!AJ90</f>
        <v>5.8133069320491566E-2</v>
      </c>
      <c r="AC110" s="42">
        <f>Funktional!AS90</f>
        <v>0.13559549786167785</v>
      </c>
      <c r="AD110" s="42">
        <f>Funktional!AO90</f>
        <v>2.5439076044467017E-3</v>
      </c>
      <c r="AE110" s="202">
        <f>Funktional!AV90</f>
        <v>3.1321297196778952E-2</v>
      </c>
      <c r="AF110" s="172">
        <f>'Kennzahlen Revision'!C90</f>
        <v>0.37259999999999999</v>
      </c>
      <c r="AG110" s="42">
        <f>'Kennzahlen Revision'!D90</f>
        <v>0.15129999999999999</v>
      </c>
      <c r="AH110" s="42">
        <f>Artengliederung!AN90</f>
        <v>3.4728397957497326E-2</v>
      </c>
      <c r="AI110" s="178" t="str">
        <f t="shared" si="19"/>
        <v>Ottoberg</v>
      </c>
    </row>
    <row r="111" spans="1:35" x14ac:dyDescent="0.25">
      <c r="A111" s="41" t="str">
        <f>Funktional!A91</f>
        <v>Pfyn</v>
      </c>
      <c r="B111" s="41" t="str">
        <f>Funktional!B91</f>
        <v>PSG</v>
      </c>
      <c r="C111" s="352">
        <f>Funktional!D91</f>
        <v>164</v>
      </c>
      <c r="D111" s="348">
        <f>Funktional!G91</f>
        <v>11898.680204875101</v>
      </c>
      <c r="E111" s="186">
        <f>Funktional!F91</f>
        <v>216820.39484439074</v>
      </c>
      <c r="F111" s="48">
        <f>Funktional!U91</f>
        <v>7248.5293554783811</v>
      </c>
      <c r="G111" s="48">
        <f>Funktional!T91</f>
        <v>132084.31269982827</v>
      </c>
      <c r="H111" s="48">
        <f>Artengliederung!R91</f>
        <v>326.41893553544054</v>
      </c>
      <c r="I111" s="186">
        <f>Artengliederung!Q91</f>
        <v>5948.078380868028</v>
      </c>
      <c r="J111" s="48">
        <f>Funktional!Z91</f>
        <v>586.31549339440119</v>
      </c>
      <c r="K111" s="48">
        <f>Funktional!Y91</f>
        <v>10683.971212964643</v>
      </c>
      <c r="L111" s="48">
        <f>'Kennzahlen Revision'!O91</f>
        <v>351.17860820600862</v>
      </c>
      <c r="M111" s="48">
        <f>'Kennzahlen Revision'!N91</f>
        <v>6399.2546384206016</v>
      </c>
      <c r="N111" s="80">
        <f>Funktional!AG91</f>
        <v>880.93981784171024</v>
      </c>
      <c r="O111" s="43">
        <f>Funktional!AF91</f>
        <v>16052.68112511561</v>
      </c>
      <c r="P111" s="43">
        <f>Funktional!AL91</f>
        <v>1586.506897331702</v>
      </c>
      <c r="Q111" s="43">
        <f>Funktional!AK91</f>
        <v>28909.681240266571</v>
      </c>
      <c r="R111" s="80">
        <f>Funktional!AU91</f>
        <v>755.55045488674898</v>
      </c>
      <c r="S111" s="43">
        <f>Funktional!AT91</f>
        <v>13767.808289047425</v>
      </c>
      <c r="T111" s="80">
        <f>Funktional!AQ91</f>
        <v>13.739372669470391</v>
      </c>
      <c r="U111" s="43">
        <f>Funktional!AP91</f>
        <v>250.361901977016</v>
      </c>
      <c r="V111" s="80">
        <f t="shared" si="23"/>
        <v>827.09881327268783</v>
      </c>
      <c r="W111" s="183">
        <f t="shared" si="23"/>
        <v>15071.578375191202</v>
      </c>
      <c r="X111" s="172">
        <f>Funktional!S91</f>
        <v>0.60918767717687961</v>
      </c>
      <c r="Y111" s="42">
        <f>Funktional!X91</f>
        <v>4.927567455373557E-2</v>
      </c>
      <c r="Z111" s="42">
        <f>'Kennzahlen Revision'!L91</f>
        <v>2.9514080734947771E-2</v>
      </c>
      <c r="AA111" s="42">
        <f>Funktional!AE91</f>
        <v>7.403676732825995E-2</v>
      </c>
      <c r="AB111" s="42">
        <f>Funktional!AJ91</f>
        <v>0.13333469511027635</v>
      </c>
      <c r="AC111" s="42">
        <f>Funktional!AS91</f>
        <v>6.3498677321976144E-2</v>
      </c>
      <c r="AD111" s="42">
        <f>Funktional!AO91</f>
        <v>1.1546971960672684E-3</v>
      </c>
      <c r="AE111" s="202">
        <f>Funktional!AV91</f>
        <v>6.951181131280515E-2</v>
      </c>
      <c r="AF111" s="172">
        <f>'Kennzahlen Revision'!C91</f>
        <v>0.1012</v>
      </c>
      <c r="AG111" s="42">
        <f>'Kennzahlen Revision'!D91</f>
        <v>5.8099999999999999E-2</v>
      </c>
      <c r="AH111" s="42">
        <f>Artengliederung!AN91</f>
        <v>0.55026983355082348</v>
      </c>
      <c r="AI111" s="178" t="str">
        <f t="shared" si="19"/>
        <v>Pfyn</v>
      </c>
    </row>
    <row r="112" spans="1:35" x14ac:dyDescent="0.25">
      <c r="A112" s="41" t="str">
        <f>Funktional!A92</f>
        <v>Raperswilen-Illhart</v>
      </c>
      <c r="B112" s="41" t="str">
        <f>Funktional!B92</f>
        <v>PSG</v>
      </c>
      <c r="C112" s="352">
        <f>Funktional!D92</f>
        <v>71</v>
      </c>
      <c r="D112" s="348">
        <f>Funktional!G92</f>
        <v>7833.1207546087089</v>
      </c>
      <c r="E112" s="186">
        <f>Funktional!F92</f>
        <v>185383.85785907277</v>
      </c>
      <c r="F112" s="48">
        <f>Funktional!U92</f>
        <v>5104.5542469961947</v>
      </c>
      <c r="G112" s="48">
        <f>Funktional!T92</f>
        <v>120807.78384557662</v>
      </c>
      <c r="H112" s="48">
        <f>Artengliederung!R92</f>
        <v>324.77045848186538</v>
      </c>
      <c r="I112" s="186">
        <f>Artengliederung!Q92</f>
        <v>7686.2341840708141</v>
      </c>
      <c r="J112" s="48">
        <f>Funktional!Z92</f>
        <v>354.85594302611781</v>
      </c>
      <c r="K112" s="48">
        <f>Funktional!Y92</f>
        <v>8398.2573182847882</v>
      </c>
      <c r="L112" s="48">
        <f>'Kennzahlen Revision'!O92</f>
        <v>102.22009336427745</v>
      </c>
      <c r="M112" s="48">
        <f>'Kennzahlen Revision'!N92</f>
        <v>2419.2088762878998</v>
      </c>
      <c r="N112" s="80">
        <f>Funktional!AG92</f>
        <v>844.41574734692631</v>
      </c>
      <c r="O112" s="43">
        <f>Funktional!AF92</f>
        <v>19984.506020543922</v>
      </c>
      <c r="P112" s="43">
        <f>Funktional!AL92</f>
        <v>528.01344792128975</v>
      </c>
      <c r="Q112" s="43">
        <f>Funktional!AK92</f>
        <v>12496.318267470524</v>
      </c>
      <c r="R112" s="80">
        <f>Funktional!AU92</f>
        <v>460.87817942835784</v>
      </c>
      <c r="S112" s="43">
        <f>Funktional!AT92</f>
        <v>10907.450246471135</v>
      </c>
      <c r="T112" s="80">
        <f>Funktional!AQ92</f>
        <v>55.180517465182533</v>
      </c>
      <c r="U112" s="43">
        <f>Funktional!AP92</f>
        <v>1305.9389133426532</v>
      </c>
      <c r="V112" s="80">
        <f t="shared" si="23"/>
        <v>485.22267242463977</v>
      </c>
      <c r="W112" s="183">
        <f t="shared" si="23"/>
        <v>11483.603247383133</v>
      </c>
      <c r="X112" s="172">
        <f>Funktional!S92</f>
        <v>0.65166290765948809</v>
      </c>
      <c r="Y112" s="42">
        <f>Funktional!X92</f>
        <v>4.5301988076378641E-2</v>
      </c>
      <c r="Z112" s="42">
        <f>'Kennzahlen Revision'!L92</f>
        <v>1.3049727760692959E-2</v>
      </c>
      <c r="AA112" s="42">
        <f>Funktional!AE92</f>
        <v>0.10780068044401132</v>
      </c>
      <c r="AB112" s="42">
        <f>Funktional!AJ92</f>
        <v>6.7407801368391626E-2</v>
      </c>
      <c r="AC112" s="42">
        <f>Funktional!AS92</f>
        <v>5.8837108971822594E-2</v>
      </c>
      <c r="AD112" s="42">
        <f>Funktional!AO92</f>
        <v>7.044512550469291E-3</v>
      </c>
      <c r="AE112" s="202">
        <f>Funktional!AV92</f>
        <v>6.1945000929438443E-2</v>
      </c>
      <c r="AF112" s="172">
        <f>'Kennzahlen Revision'!C92</f>
        <v>9.7600000000000006E-2</v>
      </c>
      <c r="AG112" s="42">
        <f>'Kennzahlen Revision'!D92</f>
        <v>1.8700000000000001E-2</v>
      </c>
      <c r="AH112" s="42">
        <f>Artengliederung!AN92</f>
        <v>0.57934975617931206</v>
      </c>
      <c r="AI112" s="178" t="str">
        <f t="shared" ref="AI112:AI113" si="24">A112</f>
        <v>Raperswilen-Illhart</v>
      </c>
    </row>
    <row r="113" spans="1:35" x14ac:dyDescent="0.25">
      <c r="A113" s="41" t="str">
        <f>Funktional!A93</f>
        <v>Rickenbach</v>
      </c>
      <c r="B113" s="41" t="str">
        <f>Funktional!B93</f>
        <v>PSG</v>
      </c>
      <c r="C113" s="352">
        <f>Funktional!D93</f>
        <v>193</v>
      </c>
      <c r="D113" s="348">
        <f>Funktional!G93</f>
        <v>9951.2428838200103</v>
      </c>
      <c r="E113" s="186">
        <f>Funktional!F93</f>
        <v>174599.07968884197</v>
      </c>
      <c r="F113" s="48">
        <f>Funktional!U93</f>
        <v>6699.5709257555009</v>
      </c>
      <c r="G113" s="48">
        <f>Funktional!T93</f>
        <v>117547.01715189197</v>
      </c>
      <c r="H113" s="48">
        <f>Artengliederung!R93</f>
        <v>289.52674418319287</v>
      </c>
      <c r="I113" s="186">
        <f>Artengliederung!Q93</f>
        <v>5079.8783297596565</v>
      </c>
      <c r="J113" s="48">
        <f>Funktional!Z93</f>
        <v>511.30424197186966</v>
      </c>
      <c r="K113" s="48">
        <f>Funktional!Y93</f>
        <v>8971.0653364155314</v>
      </c>
      <c r="L113" s="48">
        <f>'Kennzahlen Revision'!O93</f>
        <v>209.68451350809883</v>
      </c>
      <c r="M113" s="48">
        <f>'Kennzahlen Revision'!N93</f>
        <v>3679.0101006420973</v>
      </c>
      <c r="N113" s="80">
        <f>Funktional!AG93</f>
        <v>981.03522114854775</v>
      </c>
      <c r="O113" s="43">
        <f>Funktional!AF93</f>
        <v>17212.708880151793</v>
      </c>
      <c r="P113" s="43">
        <f>Funktional!AL93</f>
        <v>1144.5252872132576</v>
      </c>
      <c r="Q113" s="43">
        <f>Funktional!AK93</f>
        <v>20081.216402923517</v>
      </c>
      <c r="R113" s="80">
        <f>Funktional!AU93</f>
        <v>263.75963799061776</v>
      </c>
      <c r="S113" s="43">
        <f>Funktional!AT93</f>
        <v>4627.7827392899299</v>
      </c>
      <c r="T113" s="80">
        <f>Funktional!AQ93</f>
        <v>47.090280442538329</v>
      </c>
      <c r="U113" s="43">
        <f>Funktional!AP93</f>
        <v>826.22037503726347</v>
      </c>
      <c r="V113" s="80">
        <f t="shared" si="23"/>
        <v>303.95728929767847</v>
      </c>
      <c r="W113" s="183">
        <f t="shared" si="23"/>
        <v>5333.0688031319714</v>
      </c>
      <c r="X113" s="172">
        <f>Funktional!S93</f>
        <v>0.67323961478706462</v>
      </c>
      <c r="Y113" s="42">
        <f>Funktional!X93</f>
        <v>5.1380942857219655E-2</v>
      </c>
      <c r="Z113" s="42">
        <f>'Kennzahlen Revision'!L93</f>
        <v>2.1071188388842407E-2</v>
      </c>
      <c r="AA113" s="42">
        <f>Funktional!AE93</f>
        <v>9.8584190196346122E-2</v>
      </c>
      <c r="AB113" s="42">
        <f>Funktional!AJ93</f>
        <v>0.11501330040634136</v>
      </c>
      <c r="AC113" s="42">
        <f>Funktional!AS93</f>
        <v>2.650519548864309E-2</v>
      </c>
      <c r="AD113" s="42">
        <f>Funktional!AO93</f>
        <v>4.7321004011572935E-3</v>
      </c>
      <c r="AE113" s="202">
        <f>Funktional!AV93</f>
        <v>3.0544655863227844E-2</v>
      </c>
      <c r="AF113" s="172">
        <f>'Kennzahlen Revision'!C93</f>
        <v>5.57E-2</v>
      </c>
      <c r="AG113" s="42">
        <f>'Kennzahlen Revision'!D93</f>
        <v>1.2500000000000001E-2</v>
      </c>
      <c r="AH113" s="42">
        <f>Artengliederung!AN93</f>
        <v>4.7947291169261462E-2</v>
      </c>
      <c r="AI113" s="178" t="str">
        <f t="shared" si="24"/>
        <v>Rickenbach</v>
      </c>
    </row>
    <row r="114" spans="1:35" x14ac:dyDescent="0.25">
      <c r="A114" s="41" t="str">
        <f>Funktional!A94</f>
        <v>Ringenzeichen</v>
      </c>
      <c r="B114" s="41" t="str">
        <f>Funktional!B94</f>
        <v>PSG</v>
      </c>
      <c r="C114" s="352">
        <f>Funktional!D94</f>
        <v>40</v>
      </c>
      <c r="D114" s="348">
        <f>Funktional!G94</f>
        <v>9791.6274999999987</v>
      </c>
      <c r="E114" s="186">
        <f>Funktional!F94</f>
        <v>195832.55</v>
      </c>
      <c r="F114" s="48">
        <f>Funktional!U94</f>
        <v>7249.1462499999998</v>
      </c>
      <c r="G114" s="48">
        <f>Funktional!T94</f>
        <v>144982.92499999999</v>
      </c>
      <c r="H114" s="48">
        <f>Artengliederung!R94</f>
        <v>385.8725</v>
      </c>
      <c r="I114" s="186">
        <f>Artengliederung!Q94</f>
        <v>7717.45</v>
      </c>
      <c r="J114" s="48">
        <f>Funktional!Z94</f>
        <v>704.49750000000006</v>
      </c>
      <c r="K114" s="48">
        <f>Funktional!Y94</f>
        <v>14089.95</v>
      </c>
      <c r="L114" s="48">
        <f>'Kennzahlen Revision'!O94</f>
        <v>187.5</v>
      </c>
      <c r="M114" s="48">
        <f>'Kennzahlen Revision'!N94</f>
        <v>3750</v>
      </c>
      <c r="N114" s="80">
        <f>Funktional!AG94</f>
        <v>207.5</v>
      </c>
      <c r="O114" s="43">
        <f>Funktional!AF94</f>
        <v>4150</v>
      </c>
      <c r="P114" s="43">
        <f>Funktional!AL94</f>
        <v>745.48374999999999</v>
      </c>
      <c r="Q114" s="43">
        <f>Funktional!AK94</f>
        <v>14909.674999999999</v>
      </c>
      <c r="R114" s="80">
        <f>Funktional!AU94</f>
        <v>337.92500000000001</v>
      </c>
      <c r="S114" s="43">
        <f>Funktional!AT94</f>
        <v>6758.5</v>
      </c>
      <c r="T114" s="80">
        <f>Funktional!AQ94</f>
        <v>60.503750000000004</v>
      </c>
      <c r="U114" s="43">
        <f>Funktional!AP94</f>
        <v>1210.075</v>
      </c>
      <c r="V114" s="80">
        <f t="shared" ref="V114:W115" si="25">D114-F114-J114-N114-P114-R114-T114</f>
        <v>486.57124999999888</v>
      </c>
      <c r="W114" s="183">
        <f t="shared" si="25"/>
        <v>9731.4250000000029</v>
      </c>
      <c r="X114" s="172">
        <f>Funktional!S94</f>
        <v>0.74034130179073909</v>
      </c>
      <c r="Y114" s="42">
        <f>Funktional!X94</f>
        <v>7.1948968646938422E-2</v>
      </c>
      <c r="Z114" s="42">
        <f>'Kennzahlen Revision'!L94</f>
        <v>1.9149012766263834E-2</v>
      </c>
      <c r="AA114" s="42">
        <f>Funktional!AE94</f>
        <v>2.1191574127998641E-2</v>
      </c>
      <c r="AB114" s="42">
        <f>Funktional!AJ94</f>
        <v>7.6134815177558587E-2</v>
      </c>
      <c r="AC114" s="42">
        <f>Funktional!AS94</f>
        <v>3.4511627408211759E-2</v>
      </c>
      <c r="AD114" s="42">
        <f>Funktional!AO94</f>
        <v>6.1791310995031219E-3</v>
      </c>
      <c r="AE114" s="202">
        <f>Funktional!AV94</f>
        <v>4.9692581749050377E-2</v>
      </c>
      <c r="AF114" s="172">
        <f>'Kennzahlen Revision'!C94</f>
        <v>3.0999999999999999E-3</v>
      </c>
      <c r="AG114" s="42">
        <f>'Kennzahlen Revision'!D94</f>
        <v>1.2999999999999999E-2</v>
      </c>
      <c r="AH114" s="42">
        <f>Artengliederung!AN94</f>
        <v>3.3582261988622422E-2</v>
      </c>
      <c r="AI114" s="178" t="str">
        <f t="shared" ref="AI114:AI142" si="26">A114</f>
        <v>Ringenzeichen</v>
      </c>
    </row>
    <row r="115" spans="1:35" x14ac:dyDescent="0.25">
      <c r="A115" s="41" t="str">
        <f>Funktional!A95</f>
        <v>Romanshorn</v>
      </c>
      <c r="B115" s="41" t="str">
        <f>Funktional!B95</f>
        <v>PSG</v>
      </c>
      <c r="C115" s="352">
        <f>Funktional!D95</f>
        <v>748</v>
      </c>
      <c r="D115" s="348">
        <f>Funktional!G95</f>
        <v>8965.3870349065182</v>
      </c>
      <c r="E115" s="186">
        <f>Funktional!F95</f>
        <v>183729.02745507058</v>
      </c>
      <c r="F115" s="48">
        <f>Funktional!U95</f>
        <v>5985.3209716680121</v>
      </c>
      <c r="G115" s="48">
        <f>Funktional!T95</f>
        <v>122658.08457007323</v>
      </c>
      <c r="H115" s="48">
        <f>Artengliederung!R95</f>
        <v>242.86114238264346</v>
      </c>
      <c r="I115" s="186">
        <f>Artengliederung!Q95</f>
        <v>4976.9899863621185</v>
      </c>
      <c r="J115" s="48">
        <f>Funktional!Z95</f>
        <v>539.34416064428524</v>
      </c>
      <c r="K115" s="48">
        <f>Funktional!Y95</f>
        <v>11052.861155121243</v>
      </c>
      <c r="L115" s="48">
        <f>'Kennzahlen Revision'!O95</f>
        <v>206.13189982471852</v>
      </c>
      <c r="M115" s="48">
        <f>'Kennzahlen Revision'!N95</f>
        <v>4224.292084079163</v>
      </c>
      <c r="N115" s="80">
        <f>Funktional!AG95</f>
        <v>501.93214179386206</v>
      </c>
      <c r="O115" s="43">
        <f>Funktional!AF95</f>
        <v>10286.171015392023</v>
      </c>
      <c r="P115" s="43">
        <f>Funktional!AL95</f>
        <v>725.22301363486463</v>
      </c>
      <c r="Q115" s="43">
        <f>Funktional!AK95</f>
        <v>14862.104498599416</v>
      </c>
      <c r="R115" s="80">
        <f>Funktional!AU95</f>
        <v>371.44478892912491</v>
      </c>
      <c r="S115" s="43">
        <f>Funktional!AT95</f>
        <v>7612.0740306571342</v>
      </c>
      <c r="T115" s="80">
        <f>Funktional!AQ95</f>
        <v>37.55787800320612</v>
      </c>
      <c r="U115" s="43">
        <f>Funktional!AP95</f>
        <v>769.67925332597747</v>
      </c>
      <c r="V115" s="80">
        <f t="shared" si="25"/>
        <v>804.56408023316317</v>
      </c>
      <c r="W115" s="183">
        <f t="shared" si="25"/>
        <v>16488.052931901555</v>
      </c>
      <c r="X115" s="172">
        <f>Funktional!S95</f>
        <v>0.66760318861464751</v>
      </c>
      <c r="Y115" s="42">
        <f>Funktional!X95</f>
        <v>6.0158491601574111E-2</v>
      </c>
      <c r="Z115" s="42">
        <f>'Kennzahlen Revision'!L95</f>
        <v>2.2991968893495498E-2</v>
      </c>
      <c r="AA115" s="42">
        <f>Funktional!AE95</f>
        <v>5.598555197222399E-2</v>
      </c>
      <c r="AB115" s="42">
        <f>Funktional!AJ95</f>
        <v>8.0891434001814561E-2</v>
      </c>
      <c r="AC115" s="42">
        <f>Funktional!AS95</f>
        <v>4.1430982007013589E-2</v>
      </c>
      <c r="AD115" s="42">
        <f>Funktional!AO95</f>
        <v>4.1892087711300607E-3</v>
      </c>
      <c r="AE115" s="202">
        <f>Funktional!AV95</f>
        <v>8.9741143031596193E-2</v>
      </c>
      <c r="AF115" s="172">
        <f>'Kennzahlen Revision'!C95</f>
        <v>8.1500000000000003E-2</v>
      </c>
      <c r="AG115" s="42">
        <f>'Kennzahlen Revision'!D95</f>
        <v>3.4000000000000002E-2</v>
      </c>
      <c r="AH115" s="42">
        <f>Artengliederung!AN95</f>
        <v>4.4091725597379935E-2</v>
      </c>
      <c r="AI115" s="178" t="str">
        <f t="shared" si="26"/>
        <v>Romanshorn</v>
      </c>
    </row>
    <row r="116" spans="1:35" x14ac:dyDescent="0.25">
      <c r="A116" s="41" t="str">
        <f>Funktional!A96</f>
        <v>Salenstein</v>
      </c>
      <c r="B116" s="41" t="str">
        <f>Funktional!B96</f>
        <v>PSG</v>
      </c>
      <c r="C116" s="352">
        <f>Funktional!D96</f>
        <v>69</v>
      </c>
      <c r="D116" s="348">
        <f>Funktional!G96</f>
        <v>18682.82123573788</v>
      </c>
      <c r="E116" s="186">
        <f>Funktional!F96</f>
        <v>322278.6663164784</v>
      </c>
      <c r="F116" s="48">
        <f>Funktional!U96</f>
        <v>8311.6607485119785</v>
      </c>
      <c r="G116" s="48">
        <f>Funktional!T96</f>
        <v>143376.14791183162</v>
      </c>
      <c r="H116" s="48">
        <f>Artengliederung!R96</f>
        <v>419.36680825474662</v>
      </c>
      <c r="I116" s="186">
        <f>Artengliederung!Q96</f>
        <v>7234.0774423943794</v>
      </c>
      <c r="J116" s="48">
        <f>Funktional!Z96</f>
        <v>851.01947991201132</v>
      </c>
      <c r="K116" s="48">
        <f>Funktional!Y96</f>
        <v>14680.086028482196</v>
      </c>
      <c r="L116" s="48">
        <f>'Kennzahlen Revision'!O96</f>
        <v>244.95101104146221</v>
      </c>
      <c r="M116" s="48">
        <f>'Kennzahlen Revision'!N96</f>
        <v>4225.4049404652233</v>
      </c>
      <c r="N116" s="80">
        <f>Funktional!AG96</f>
        <v>5027.1484419893941</v>
      </c>
      <c r="O116" s="43">
        <f>Funktional!AF96</f>
        <v>86718.310624317048</v>
      </c>
      <c r="P116" s="43">
        <f>Funktional!AL96</f>
        <v>1782.4544925103883</v>
      </c>
      <c r="Q116" s="43">
        <f>Funktional!AK96</f>
        <v>30747.339995804199</v>
      </c>
      <c r="R116" s="80">
        <f>Funktional!AU96</f>
        <v>2045.1525183415624</v>
      </c>
      <c r="S116" s="43">
        <f>Funktional!AT96</f>
        <v>35278.880941391952</v>
      </c>
      <c r="T116" s="80">
        <f>Funktional!AQ96</f>
        <v>48.290521628035549</v>
      </c>
      <c r="U116" s="43">
        <f>Funktional!AP96</f>
        <v>833.01149808361322</v>
      </c>
      <c r="V116" s="80">
        <f t="shared" ref="V116:W124" si="27">D116-F116-J116-N116-P116-R116-T116</f>
        <v>617.09503284451011</v>
      </c>
      <c r="W116" s="183">
        <f t="shared" si="27"/>
        <v>10644.889316567782</v>
      </c>
      <c r="X116" s="172">
        <f>Funktional!S96</f>
        <v>0.44488252837386361</v>
      </c>
      <c r="Y116" s="42">
        <f>Funktional!X96</f>
        <v>4.5550908461518567E-2</v>
      </c>
      <c r="Z116" s="42">
        <f>'Kennzahlen Revision'!L96</f>
        <v>1.3111029000957408E-2</v>
      </c>
      <c r="AA116" s="42">
        <f>Funktional!AE96</f>
        <v>0.26907865672734127</v>
      </c>
      <c r="AB116" s="42">
        <f>Funktional!AJ96</f>
        <v>9.5406066889982225E-2</v>
      </c>
      <c r="AC116" s="42">
        <f>Funktional!AS96</f>
        <v>0.10946700675107054</v>
      </c>
      <c r="AD116" s="42">
        <f>Funktional!AO96</f>
        <v>2.5847553224810542E-3</v>
      </c>
      <c r="AE116" s="202">
        <f>Funktional!AV96</f>
        <v>3.3030077473742814E-2</v>
      </c>
      <c r="AF116" s="172">
        <f>'Kennzahlen Revision'!C96</f>
        <v>0.32540000000000002</v>
      </c>
      <c r="AG116" s="42">
        <f>'Kennzahlen Revision'!D96</f>
        <v>7.4200000000000002E-2</v>
      </c>
      <c r="AH116" s="42">
        <f>Artengliederung!AN96</f>
        <v>1.9794291989137748E-3</v>
      </c>
      <c r="AI116" s="178" t="str">
        <f t="shared" si="26"/>
        <v>Salenstein</v>
      </c>
    </row>
    <row r="117" spans="1:35" x14ac:dyDescent="0.25">
      <c r="A117" s="41" t="str">
        <f>Funktional!A97</f>
        <v>Salmsach-Hungerbühl</v>
      </c>
      <c r="B117" s="41" t="str">
        <f>Funktional!B97</f>
        <v>PSG</v>
      </c>
      <c r="C117" s="352">
        <f>Funktional!D97</f>
        <v>107</v>
      </c>
      <c r="D117" s="348">
        <f>Funktional!G97</f>
        <v>10802.366756872565</v>
      </c>
      <c r="E117" s="186">
        <f>Funktional!F97</f>
        <v>231170.6485970729</v>
      </c>
      <c r="F117" s="48">
        <f>Funktional!U97</f>
        <v>6950.2776185043358</v>
      </c>
      <c r="G117" s="48">
        <f>Funktional!T97</f>
        <v>148735.94103599279</v>
      </c>
      <c r="H117" s="48">
        <f>Artengliederung!R97</f>
        <v>395.83978213829886</v>
      </c>
      <c r="I117" s="186">
        <f>Artengliederung!Q97</f>
        <v>8470.9713377595945</v>
      </c>
      <c r="J117" s="48">
        <f>Funktional!Z97</f>
        <v>667.60141525959796</v>
      </c>
      <c r="K117" s="48">
        <f>Funktional!Y97</f>
        <v>14286.670286555396</v>
      </c>
      <c r="L117" s="48">
        <f>'Kennzahlen Revision'!O97</f>
        <v>203.44410348303273</v>
      </c>
      <c r="M117" s="48">
        <f>'Kennzahlen Revision'!N97</f>
        <v>4353.7038145369006</v>
      </c>
      <c r="N117" s="80">
        <f>Funktional!AG97</f>
        <v>652.67733176811896</v>
      </c>
      <c r="O117" s="43">
        <f>Funktional!AF97</f>
        <v>13967.294899837745</v>
      </c>
      <c r="P117" s="43">
        <f>Funktional!AL97</f>
        <v>1427.4390304976512</v>
      </c>
      <c r="Q117" s="43">
        <f>Funktional!AK97</f>
        <v>30547.195252649737</v>
      </c>
      <c r="R117" s="80">
        <f>Funktional!AU97</f>
        <v>827.63403850931229</v>
      </c>
      <c r="S117" s="43">
        <f>Funktional!AT97</f>
        <v>17711.368424099281</v>
      </c>
      <c r="T117" s="80">
        <f>Funktional!AQ97</f>
        <v>30.746767726065169</v>
      </c>
      <c r="U117" s="43">
        <f>Funktional!AP97</f>
        <v>657.9808293377946</v>
      </c>
      <c r="V117" s="80">
        <f t="shared" si="27"/>
        <v>245.99055460748343</v>
      </c>
      <c r="W117" s="183">
        <f t="shared" si="27"/>
        <v>5264.1978686001557</v>
      </c>
      <c r="X117" s="172">
        <f>Funktional!S97</f>
        <v>0.64340322587941257</v>
      </c>
      <c r="Y117" s="42">
        <f>Funktional!X97</f>
        <v>6.180140244126258E-2</v>
      </c>
      <c r="Z117" s="42">
        <f>'Kennzahlen Revision'!L97</f>
        <v>1.8833289783796659E-2</v>
      </c>
      <c r="AA117" s="42">
        <f>Funktional!AE97</f>
        <v>6.0419845618820488E-2</v>
      </c>
      <c r="AB117" s="42">
        <f>Funktional!AJ97</f>
        <v>0.13214132260316946</v>
      </c>
      <c r="AC117" s="42">
        <f>Funktional!AS97</f>
        <v>7.6615991396770874E-2</v>
      </c>
      <c r="AD117" s="42">
        <f>Funktional!AO97</f>
        <v>2.8462991877686241E-3</v>
      </c>
      <c r="AE117" s="202">
        <f>Funktional!AV97</f>
        <v>2.2771912872795383E-2</v>
      </c>
      <c r="AF117" s="172">
        <f>'Kennzahlen Revision'!C97</f>
        <v>0.109</v>
      </c>
      <c r="AG117" s="42">
        <f>'Kennzahlen Revision'!D97</f>
        <v>6.4600000000000005E-2</v>
      </c>
      <c r="AH117" s="42">
        <f>Artengliederung!AN97</f>
        <v>0.25797670452581489</v>
      </c>
      <c r="AI117" s="178" t="str">
        <f t="shared" si="26"/>
        <v>Salmsach-Hungerbühl</v>
      </c>
    </row>
    <row r="118" spans="1:35" x14ac:dyDescent="0.25">
      <c r="A118" s="41" t="str">
        <f>Funktional!A98</f>
        <v>Scherzingen</v>
      </c>
      <c r="B118" s="41" t="str">
        <f>Funktional!B98</f>
        <v>PSG</v>
      </c>
      <c r="C118" s="352">
        <f>Funktional!D98</f>
        <v>112</v>
      </c>
      <c r="D118" s="348">
        <f>Funktional!G98</f>
        <v>11788.560882506747</v>
      </c>
      <c r="E118" s="186">
        <f>Funktional!F98</f>
        <v>203125.97212934701</v>
      </c>
      <c r="F118" s="48">
        <f>Funktional!U98</f>
        <v>7842.719111167663</v>
      </c>
      <c r="G118" s="48">
        <f>Funktional!T98</f>
        <v>135136.08314627357</v>
      </c>
      <c r="H118" s="48">
        <f>Artengliederung!R98</f>
        <v>338.30983764990845</v>
      </c>
      <c r="I118" s="186">
        <f>Artengliederung!Q98</f>
        <v>5829.3387410445766</v>
      </c>
      <c r="J118" s="48">
        <f>Funktional!Z98</f>
        <v>525.15210305717983</v>
      </c>
      <c r="K118" s="48">
        <f>Funktional!Y98</f>
        <v>9048.7746988314066</v>
      </c>
      <c r="L118" s="48">
        <f>'Kennzahlen Revision'!O98</f>
        <v>147.16480789802176</v>
      </c>
      <c r="M118" s="48">
        <f>'Kennzahlen Revision'!N98</f>
        <v>2535.7628437812982</v>
      </c>
      <c r="N118" s="80">
        <f>Funktional!AG98</f>
        <v>694.3224228504024</v>
      </c>
      <c r="O118" s="43">
        <f>Funktional!AF98</f>
        <v>11963.709439883856</v>
      </c>
      <c r="P118" s="43">
        <f>Funktional!AL98</f>
        <v>1485.2963790325898</v>
      </c>
      <c r="Q118" s="43">
        <f>Funktional!AK98</f>
        <v>25592.799146407699</v>
      </c>
      <c r="R118" s="80">
        <f>Funktional!AU98</f>
        <v>675.46707444002641</v>
      </c>
      <c r="S118" s="43">
        <f>Funktional!AT98</f>
        <v>11638.817282658916</v>
      </c>
      <c r="T118" s="80">
        <f>Funktional!AQ98</f>
        <v>61.127774005145227</v>
      </c>
      <c r="U118" s="43">
        <f>Funktional!AP98</f>
        <v>1053.2785674732716</v>
      </c>
      <c r="V118" s="80">
        <f t="shared" si="27"/>
        <v>504.47601795374004</v>
      </c>
      <c r="W118" s="183">
        <f t="shared" si="27"/>
        <v>8692.509847818299</v>
      </c>
      <c r="X118" s="172">
        <f>Funktional!S98</f>
        <v>0.66528214846017475</v>
      </c>
      <c r="Y118" s="42">
        <f>Funktional!X98</f>
        <v>4.454760070302239E-2</v>
      </c>
      <c r="Z118" s="42">
        <f>'Kennzahlen Revision'!L98</f>
        <v>1.2483695793300963E-2</v>
      </c>
      <c r="AA118" s="42">
        <f>Funktional!AE98</f>
        <v>5.8897979979958347E-2</v>
      </c>
      <c r="AB118" s="42">
        <f>Funktional!AJ98</f>
        <v>0.12599471588059974</v>
      </c>
      <c r="AC118" s="42">
        <f>Funktional!AS98</f>
        <v>5.7298518553046109E-2</v>
      </c>
      <c r="AD118" s="42">
        <f>Funktional!AO98</f>
        <v>5.1853465927171657E-3</v>
      </c>
      <c r="AE118" s="202">
        <f>Funktional!AV98</f>
        <v>4.2793689830481506E-2</v>
      </c>
      <c r="AF118" s="172">
        <f>'Kennzahlen Revision'!C98</f>
        <v>0.1004</v>
      </c>
      <c r="AG118" s="42">
        <f>'Kennzahlen Revision'!D98</f>
        <v>5.0599999999999999E-2</v>
      </c>
      <c r="AH118" s="42">
        <f>Artengliederung!AN98</f>
        <v>6.9969340752799106E-2</v>
      </c>
      <c r="AI118" s="178" t="str">
        <f t="shared" si="26"/>
        <v>Scherzingen</v>
      </c>
    </row>
    <row r="119" spans="1:35" x14ac:dyDescent="0.25">
      <c r="A119" s="41" t="str">
        <f>Funktional!A99</f>
        <v>Schlatt</v>
      </c>
      <c r="B119" s="41" t="str">
        <f>Funktional!B99</f>
        <v>PSG</v>
      </c>
      <c r="C119" s="352">
        <f>Funktional!D99</f>
        <v>124</v>
      </c>
      <c r="D119" s="348">
        <f>Funktional!G99</f>
        <v>11707.726965324544</v>
      </c>
      <c r="E119" s="186">
        <f>Funktional!F99</f>
        <v>241959.69061670723</v>
      </c>
      <c r="F119" s="48">
        <f>Funktional!U99</f>
        <v>6680.5359548246715</v>
      </c>
      <c r="G119" s="48">
        <f>Funktional!T99</f>
        <v>138064.4097330432</v>
      </c>
      <c r="H119" s="48">
        <f>Artengliederung!R99</f>
        <v>385.95671136415683</v>
      </c>
      <c r="I119" s="186">
        <f>Artengliederung!Q99</f>
        <v>7976.4387015259081</v>
      </c>
      <c r="J119" s="48">
        <f>Funktional!Z99</f>
        <v>740.95580095527578</v>
      </c>
      <c r="K119" s="48">
        <f>Funktional!Y99</f>
        <v>15313.0865530757</v>
      </c>
      <c r="L119" s="48">
        <f>'Kennzahlen Revision'!O99</f>
        <v>150.38636795138586</v>
      </c>
      <c r="M119" s="48">
        <f>'Kennzahlen Revision'!N99</f>
        <v>3107.9849376619745</v>
      </c>
      <c r="N119" s="80">
        <f>Funktional!AG99</f>
        <v>2129.3147045212218</v>
      </c>
      <c r="O119" s="43">
        <f>Funktional!AF99</f>
        <v>44005.837226771917</v>
      </c>
      <c r="P119" s="43">
        <f>Funktional!AL99</f>
        <v>1186.1133747550773</v>
      </c>
      <c r="Q119" s="43">
        <f>Funktional!AK99</f>
        <v>24513.009744938263</v>
      </c>
      <c r="R119" s="80">
        <f>Funktional!AU99</f>
        <v>763.62577233151956</v>
      </c>
      <c r="S119" s="43">
        <f>Funktional!AT99</f>
        <v>15781.599294851403</v>
      </c>
      <c r="T119" s="80">
        <f>Funktional!AQ99</f>
        <v>18.588807164493012</v>
      </c>
      <c r="U119" s="43">
        <f>Funktional!AP99</f>
        <v>384.16868139952226</v>
      </c>
      <c r="V119" s="80">
        <f t="shared" si="27"/>
        <v>188.59255077228511</v>
      </c>
      <c r="W119" s="183">
        <f t="shared" si="27"/>
        <v>3897.5793826272275</v>
      </c>
      <c r="X119" s="172">
        <f>Funktional!S99</f>
        <v>0.5706091348569029</v>
      </c>
      <c r="Y119" s="42">
        <f>Funktional!X99</f>
        <v>6.3287758857872897E-2</v>
      </c>
      <c r="Z119" s="42">
        <f>'Kennzahlen Revision'!L99</f>
        <v>1.2845052536397023E-2</v>
      </c>
      <c r="AA119" s="42">
        <f>Funktional!AE99</f>
        <v>0.18187259669000969</v>
      </c>
      <c r="AB119" s="42">
        <f>Funktional!AJ99</f>
        <v>0.10131030372232444</v>
      </c>
      <c r="AC119" s="42">
        <f>Funktional!AS99</f>
        <v>6.5224084452361622E-2</v>
      </c>
      <c r="AD119" s="42">
        <f>Funktional!AO99</f>
        <v>1.5877383560061287E-3</v>
      </c>
      <c r="AE119" s="202">
        <f>Funktional!AV99</f>
        <v>1.610838306452228E-2</v>
      </c>
      <c r="AF119" s="172">
        <f>'Kennzahlen Revision'!C99</f>
        <v>0.1736</v>
      </c>
      <c r="AG119" s="42">
        <f>'Kennzahlen Revision'!D99</f>
        <v>5.6000000000000001E-2</v>
      </c>
      <c r="AH119" s="42">
        <f>Artengliederung!AN99</f>
        <v>0.16885006570138653</v>
      </c>
      <c r="AI119" s="178" t="str">
        <f t="shared" si="26"/>
        <v>Schlatt</v>
      </c>
    </row>
    <row r="120" spans="1:35" x14ac:dyDescent="0.25">
      <c r="A120" s="41" t="str">
        <f>Funktional!A100</f>
        <v>Schlattingen</v>
      </c>
      <c r="B120" s="41" t="str">
        <f>Funktional!B100</f>
        <v>PSG</v>
      </c>
      <c r="C120" s="352">
        <f>Funktional!D100</f>
        <v>54</v>
      </c>
      <c r="D120" s="348">
        <f>Funktional!G100</f>
        <v>11957.858069921898</v>
      </c>
      <c r="E120" s="186">
        <f>Funktional!F100</f>
        <v>258289.73431031298</v>
      </c>
      <c r="F120" s="48">
        <f>Funktional!U100</f>
        <v>8311.8832329976867</v>
      </c>
      <c r="G120" s="48">
        <f>Funktional!T100</f>
        <v>179536.67783275005</v>
      </c>
      <c r="H120" s="48">
        <f>Artengliederung!R100</f>
        <v>532.65058673190026</v>
      </c>
      <c r="I120" s="186">
        <f>Artengliederung!Q100</f>
        <v>11505.252673409046</v>
      </c>
      <c r="J120" s="48">
        <f>Funktional!Z100</f>
        <v>759.5306993274088</v>
      </c>
      <c r="K120" s="48">
        <f>Funktional!Y100</f>
        <v>16405.863105472028</v>
      </c>
      <c r="L120" s="48">
        <f>'Kennzahlen Revision'!O100</f>
        <v>212.49826087479195</v>
      </c>
      <c r="M120" s="48">
        <f>'Kennzahlen Revision'!N100</f>
        <v>4589.9624348955058</v>
      </c>
      <c r="N120" s="80">
        <f>Funktional!AG100</f>
        <v>789.31638181484766</v>
      </c>
      <c r="O120" s="43">
        <f>Funktional!AF100</f>
        <v>17049.23384720071</v>
      </c>
      <c r="P120" s="43">
        <f>Funktional!AL100</f>
        <v>967.71249373040246</v>
      </c>
      <c r="Q120" s="43">
        <f>Funktional!AK100</f>
        <v>20902.589864576694</v>
      </c>
      <c r="R120" s="80">
        <f>Funktional!AU100</f>
        <v>635.03194306848161</v>
      </c>
      <c r="S120" s="43">
        <f>Funktional!AT100</f>
        <v>13716.689970279203</v>
      </c>
      <c r="T120" s="80">
        <f>Funktional!AQ100</f>
        <v>135.02200646562949</v>
      </c>
      <c r="U120" s="43">
        <f>Funktional!AP100</f>
        <v>2916.475339657597</v>
      </c>
      <c r="V120" s="80">
        <f t="shared" si="27"/>
        <v>359.36131251744132</v>
      </c>
      <c r="W120" s="183">
        <f t="shared" si="27"/>
        <v>7762.2043503766954</v>
      </c>
      <c r="X120" s="172">
        <f>Funktional!S100</f>
        <v>0.69509800036052583</v>
      </c>
      <c r="Y120" s="42">
        <f>Funktional!X100</f>
        <v>6.3517286698517375E-2</v>
      </c>
      <c r="Z120" s="42">
        <f>'Kennzahlen Revision'!L100</f>
        <v>1.777059567292388E-2</v>
      </c>
      <c r="AA120" s="42">
        <f>Funktional!AE100</f>
        <v>6.6008174474009557E-2</v>
      </c>
      <c r="AB120" s="42">
        <f>Funktional!AJ100</f>
        <v>8.092690915645924E-2</v>
      </c>
      <c r="AC120" s="42">
        <f>Funktional!AS100</f>
        <v>5.310582709338256E-2</v>
      </c>
      <c r="AD120" s="42">
        <f>Funktional!AO100</f>
        <v>1.1291487628980646E-2</v>
      </c>
      <c r="AE120" s="202">
        <f>Funktional!AV100</f>
        <v>3.0052314588124823E-2</v>
      </c>
      <c r="AF120" s="172">
        <f>'Kennzahlen Revision'!C100</f>
        <v>0.10829999999999999</v>
      </c>
      <c r="AG120" s="42">
        <f>'Kennzahlen Revision'!D100</f>
        <v>5.0299999999999997E-2</v>
      </c>
      <c r="AH120" s="42">
        <f>Artengliederung!AN100</f>
        <v>0.42537052970438161</v>
      </c>
      <c r="AI120" s="178" t="str">
        <f t="shared" si="26"/>
        <v>Schlattingen</v>
      </c>
    </row>
    <row r="121" spans="1:35" x14ac:dyDescent="0.25">
      <c r="A121" s="41" t="str">
        <f>Funktional!A101</f>
        <v>Schmidshof</v>
      </c>
      <c r="B121" s="41" t="str">
        <f>Funktional!B101</f>
        <v>PSG</v>
      </c>
      <c r="C121" s="352">
        <f>Funktional!D101</f>
        <v>21</v>
      </c>
      <c r="D121" s="348">
        <f>Funktional!G101</f>
        <v>15201.528571428573</v>
      </c>
      <c r="E121" s="186">
        <f>Funktional!F101</f>
        <v>319232.10000000003</v>
      </c>
      <c r="F121" s="48">
        <f>Funktional!U101</f>
        <v>8049.6761904761897</v>
      </c>
      <c r="G121" s="48">
        <f>Funktional!T101</f>
        <v>169043.19999999998</v>
      </c>
      <c r="H121" s="48">
        <f>Artengliederung!R101</f>
        <v>262.67857142857144</v>
      </c>
      <c r="I121" s="186">
        <f>Artengliederung!Q101</f>
        <v>5516.25</v>
      </c>
      <c r="J121" s="48">
        <f>Funktional!Z101</f>
        <v>582.09761904761899</v>
      </c>
      <c r="K121" s="48">
        <f>Funktional!Y101</f>
        <v>12224.05</v>
      </c>
      <c r="L121" s="48">
        <f>'Kennzahlen Revision'!O101</f>
        <v>176.85714285714286</v>
      </c>
      <c r="M121" s="48">
        <f>'Kennzahlen Revision'!N101</f>
        <v>3714</v>
      </c>
      <c r="N121" s="80">
        <f>Funktional!AG101</f>
        <v>1880.952380952381</v>
      </c>
      <c r="O121" s="43">
        <f>Funktional!AF101</f>
        <v>39500</v>
      </c>
      <c r="P121" s="43">
        <f>Funktional!AL101</f>
        <v>16.423809523809592</v>
      </c>
      <c r="Q121" s="43">
        <f>Funktional!AK101</f>
        <v>344.90000000000146</v>
      </c>
      <c r="R121" s="80">
        <f>Funktional!AU101</f>
        <v>1608.8166666666668</v>
      </c>
      <c r="S121" s="43">
        <f>Funktional!AT101</f>
        <v>33785.15</v>
      </c>
      <c r="T121" s="80">
        <f>Funktional!AQ101</f>
        <v>60.495238095238101</v>
      </c>
      <c r="U121" s="43">
        <f>Funktional!AP101</f>
        <v>1270.4000000000001</v>
      </c>
      <c r="V121" s="80">
        <f t="shared" si="27"/>
        <v>3003.0666666666684</v>
      </c>
      <c r="W121" s="183">
        <f t="shared" si="27"/>
        <v>63064.400000000067</v>
      </c>
      <c r="X121" s="172">
        <f>Funktional!S101</f>
        <v>0.52953070822138493</v>
      </c>
      <c r="Y121" s="42">
        <f>Funktional!X101</f>
        <v>3.8292045192197144E-2</v>
      </c>
      <c r="Z121" s="42">
        <f>'Kennzahlen Revision'!L101</f>
        <v>1.1634168368406559E-2</v>
      </c>
      <c r="AA121" s="42">
        <f>Funktional!AE101</f>
        <v>0.12373442395047364</v>
      </c>
      <c r="AB121" s="42">
        <f>Funktional!AJ101</f>
        <v>1.0804051346966718E-3</v>
      </c>
      <c r="AC121" s="42">
        <f>Funktional!AS101</f>
        <v>0.10583255881848974</v>
      </c>
      <c r="AD121" s="42">
        <f>Funktional!AO101</f>
        <v>3.9795496756121953E-3</v>
      </c>
      <c r="AE121" s="202">
        <f>Funktional!AV101</f>
        <v>0.19755030900714571</v>
      </c>
      <c r="AF121" s="172">
        <f>'Kennzahlen Revision'!C101</f>
        <v>0.1633</v>
      </c>
      <c r="AG121" s="42">
        <f>'Kennzahlen Revision'!D101</f>
        <v>4.6699999999999998E-2</v>
      </c>
      <c r="AH121" s="42">
        <f>Artengliederung!AN101</f>
        <v>0.45560267905389207</v>
      </c>
      <c r="AI121" s="178" t="str">
        <f t="shared" si="26"/>
        <v>Schmidshof</v>
      </c>
    </row>
    <row r="122" spans="1:35" x14ac:dyDescent="0.25">
      <c r="A122" s="41" t="str">
        <f>Funktional!A102</f>
        <v>Schönenberg-Kradolf</v>
      </c>
      <c r="B122" s="41" t="str">
        <f>Funktional!B102</f>
        <v>PSG</v>
      </c>
      <c r="C122" s="352">
        <f>Funktional!D102</f>
        <v>248</v>
      </c>
      <c r="D122" s="348">
        <f>Funktional!G102</f>
        <v>12626.212973856273</v>
      </c>
      <c r="E122" s="186">
        <f>Funktional!F102</f>
        <v>240869.29365510429</v>
      </c>
      <c r="F122" s="48">
        <f>Funktional!U102</f>
        <v>7480.3932222138064</v>
      </c>
      <c r="G122" s="48">
        <f>Funktional!T102</f>
        <v>142702.88608530952</v>
      </c>
      <c r="H122" s="48">
        <f>Artengliederung!R102</f>
        <v>340.45289918227093</v>
      </c>
      <c r="I122" s="186">
        <f>Artengliederung!Q102</f>
        <v>6494.7937690156296</v>
      </c>
      <c r="J122" s="48">
        <f>Funktional!Z102</f>
        <v>502.54184603793254</v>
      </c>
      <c r="K122" s="48">
        <f>Funktional!Y102</f>
        <v>9586.9521398005581</v>
      </c>
      <c r="L122" s="48">
        <f>'Kennzahlen Revision'!O102</f>
        <v>243.48778711314145</v>
      </c>
      <c r="M122" s="48">
        <f>'Kennzahlen Revision'!N102</f>
        <v>4644.997784927622</v>
      </c>
      <c r="N122" s="80">
        <f>Funktional!AG102</f>
        <v>1119.9876291226144</v>
      </c>
      <c r="O122" s="43">
        <f>Funktional!AF102</f>
        <v>21365.917847877565</v>
      </c>
      <c r="P122" s="43">
        <f>Funktional!AL102</f>
        <v>1065.3731649741376</v>
      </c>
      <c r="Q122" s="43">
        <f>Funktional!AK102</f>
        <v>20324.041916429702</v>
      </c>
      <c r="R122" s="80">
        <f>Funktional!AU102</f>
        <v>838.86380619998295</v>
      </c>
      <c r="S122" s="43">
        <f>Funktional!AT102</f>
        <v>16002.940302891981</v>
      </c>
      <c r="T122" s="80">
        <f>Funktional!AQ102</f>
        <v>84.31429334279126</v>
      </c>
      <c r="U122" s="43">
        <f>Funktional!AP102</f>
        <v>1608.4572883855565</v>
      </c>
      <c r="V122" s="80">
        <f t="shared" si="27"/>
        <v>1534.7390119650074</v>
      </c>
      <c r="W122" s="183">
        <f t="shared" si="27"/>
        <v>29278.098074409394</v>
      </c>
      <c r="X122" s="172">
        <f>Funktional!S102</f>
        <v>0.59244947298945805</v>
      </c>
      <c r="Y122" s="42">
        <f>Funktional!X102</f>
        <v>3.9801470724317042E-2</v>
      </c>
      <c r="Z122" s="42">
        <f>'Kennzahlen Revision'!L102</f>
        <v>1.9284308574336988E-2</v>
      </c>
      <c r="AA122" s="42">
        <f>Funktional!AE102</f>
        <v>8.8703369049900463E-2</v>
      </c>
      <c r="AB122" s="42">
        <f>Funktional!AJ102</f>
        <v>8.4377886479508141E-2</v>
      </c>
      <c r="AC122" s="42">
        <f>Funktional!AS102</f>
        <v>6.6438274717599569E-2</v>
      </c>
      <c r="AD122" s="42">
        <f>Funktional!AO102</f>
        <v>6.6777182926798162E-3</v>
      </c>
      <c r="AE122" s="202">
        <f>Funktional!AV102</f>
        <v>0.12155180774653689</v>
      </c>
      <c r="AF122" s="172">
        <f>'Kennzahlen Revision'!C102</f>
        <v>0.1202</v>
      </c>
      <c r="AG122" s="42">
        <f>'Kennzahlen Revision'!D102</f>
        <v>3.2800000000000003E-2</v>
      </c>
      <c r="AH122" s="42">
        <f>Artengliederung!AN102</f>
        <v>0.57849480739652992</v>
      </c>
      <c r="AI122" s="178" t="str">
        <f t="shared" si="26"/>
        <v>Schönenberg-Kradolf</v>
      </c>
    </row>
    <row r="123" spans="1:35" x14ac:dyDescent="0.25">
      <c r="A123" s="41" t="str">
        <f>Funktional!A103</f>
        <v>Schönholzerswilen</v>
      </c>
      <c r="B123" s="41" t="str">
        <f>Funktional!B103</f>
        <v>PSG</v>
      </c>
      <c r="C123" s="352">
        <f>Funktional!D103</f>
        <v>58</v>
      </c>
      <c r="D123" s="348">
        <f>Funktional!G103</f>
        <v>13184.804974245031</v>
      </c>
      <c r="E123" s="186">
        <f>Funktional!F103</f>
        <v>254906.22950207061</v>
      </c>
      <c r="F123" s="48">
        <f>Funktional!U103</f>
        <v>6710.3685101069404</v>
      </c>
      <c r="G123" s="48">
        <f>Funktional!T103</f>
        <v>129733.79119540086</v>
      </c>
      <c r="H123" s="48">
        <f>Artengliederung!R103</f>
        <v>303.5772305895303</v>
      </c>
      <c r="I123" s="186">
        <f>Artengliederung!Q103</f>
        <v>5869.1597913975856</v>
      </c>
      <c r="J123" s="48">
        <f>Funktional!Z103</f>
        <v>433.54037353889248</v>
      </c>
      <c r="K123" s="48">
        <f>Funktional!Y103</f>
        <v>8381.7805550852554</v>
      </c>
      <c r="L123" s="48">
        <f>'Kennzahlen Revision'!O103</f>
        <v>181.9185329072865</v>
      </c>
      <c r="M123" s="48">
        <f>'Kennzahlen Revision'!N103</f>
        <v>3517.0916362075391</v>
      </c>
      <c r="N123" s="80">
        <f>Funktional!AG103</f>
        <v>927.85918588171262</v>
      </c>
      <c r="O123" s="43">
        <f>Funktional!AF103</f>
        <v>17938.610927046444</v>
      </c>
      <c r="P123" s="43">
        <f>Funktional!AL103</f>
        <v>879.85780881253822</v>
      </c>
      <c r="Q123" s="43">
        <f>Funktional!AK103</f>
        <v>17010.584303709071</v>
      </c>
      <c r="R123" s="80">
        <f>Funktional!AU103</f>
        <v>1198.3136674721982</v>
      </c>
      <c r="S123" s="43">
        <f>Funktional!AT103</f>
        <v>23167.397571129168</v>
      </c>
      <c r="T123" s="80">
        <f>Funktional!AQ103</f>
        <v>50.746446274685937</v>
      </c>
      <c r="U123" s="43">
        <f>Funktional!AP103</f>
        <v>981.09796131059477</v>
      </c>
      <c r="V123" s="80">
        <f t="shared" si="27"/>
        <v>2984.1189821580624</v>
      </c>
      <c r="W123" s="183">
        <f t="shared" si="27"/>
        <v>57692.966988389227</v>
      </c>
      <c r="X123" s="172">
        <f>Funktional!S103</f>
        <v>0.50894711929488967</v>
      </c>
      <c r="Y123" s="42">
        <f>Funktional!X103</f>
        <v>3.2881819214297267E-2</v>
      </c>
      <c r="Z123" s="42">
        <f>'Kennzahlen Revision'!L103</f>
        <v>1.3797589972900093E-2</v>
      </c>
      <c r="AA123" s="42">
        <f>Funktional!AE103</f>
        <v>7.0373372051704713E-2</v>
      </c>
      <c r="AB123" s="42">
        <f>Funktional!AJ103</f>
        <v>6.6732713190012075E-2</v>
      </c>
      <c r="AC123" s="42">
        <f>Funktional!AS103</f>
        <v>9.0885960756565104E-2</v>
      </c>
      <c r="AD123" s="42">
        <f>Funktional!AO103</f>
        <v>3.8488583163583507E-3</v>
      </c>
      <c r="AE123" s="202">
        <f>Funktional!AV103</f>
        <v>0.2263301571761728</v>
      </c>
      <c r="AF123" s="172">
        <f>'Kennzahlen Revision'!C103</f>
        <v>0.11550000000000001</v>
      </c>
      <c r="AG123" s="42">
        <f>'Kennzahlen Revision'!D103</f>
        <v>5.9200000000000003E-2</v>
      </c>
      <c r="AH123" s="42">
        <f>Artengliederung!AN103</f>
        <v>0.5755499909852313</v>
      </c>
      <c r="AI123" s="178" t="str">
        <f t="shared" si="26"/>
        <v>Schönholzerswilen</v>
      </c>
    </row>
    <row r="124" spans="1:35" x14ac:dyDescent="0.25">
      <c r="A124" s="41" t="str">
        <f>Funktional!A104</f>
        <v>Schurten</v>
      </c>
      <c r="B124" s="41" t="str">
        <f>Funktional!B104</f>
        <v>PSG</v>
      </c>
      <c r="C124" s="352">
        <f>Funktional!D104</f>
        <v>18</v>
      </c>
      <c r="D124" s="348">
        <f>Funktional!G104</f>
        <v>13930.941666666668</v>
      </c>
      <c r="E124" s="186">
        <f>Funktional!F104</f>
        <v>250756.95</v>
      </c>
      <c r="F124" s="48">
        <f>Funktional!U104</f>
        <v>9906.7666666666664</v>
      </c>
      <c r="G124" s="48">
        <f>Funktional!T104</f>
        <v>178321.8</v>
      </c>
      <c r="H124" s="48">
        <f>Artengliederung!R104</f>
        <v>350.99722222222221</v>
      </c>
      <c r="I124" s="186">
        <f>Artengliederung!Q104</f>
        <v>6317.95</v>
      </c>
      <c r="J124" s="48">
        <f>Funktional!Z104</f>
        <v>538.95555555555563</v>
      </c>
      <c r="K124" s="48">
        <f>Funktional!Y104</f>
        <v>9701.2000000000007</v>
      </c>
      <c r="L124" s="48">
        <f>'Kennzahlen Revision'!O104</f>
        <v>238.33333333333334</v>
      </c>
      <c r="M124" s="48">
        <f>'Kennzahlen Revision'!N104</f>
        <v>4290</v>
      </c>
      <c r="N124" s="80">
        <f>Funktional!AG104</f>
        <v>1153.5</v>
      </c>
      <c r="O124" s="43">
        <f>Funktional!AF104</f>
        <v>20763</v>
      </c>
      <c r="P124" s="43">
        <f>Funktional!AL104</f>
        <v>-70.377777777777737</v>
      </c>
      <c r="Q124" s="43">
        <f>Funktional!AK104</f>
        <v>-1266.7999999999993</v>
      </c>
      <c r="R124" s="80">
        <f>Funktional!AU104</f>
        <v>734.38611111111118</v>
      </c>
      <c r="S124" s="43">
        <f>Funktional!AT104</f>
        <v>13218.95</v>
      </c>
      <c r="T124" s="80">
        <f>Funktional!AQ104</f>
        <v>30.483333333333334</v>
      </c>
      <c r="U124" s="43">
        <f>Funktional!AP104</f>
        <v>548.70000000000005</v>
      </c>
      <c r="V124" s="80">
        <f t="shared" si="27"/>
        <v>1637.2277777777786</v>
      </c>
      <c r="W124" s="183">
        <f t="shared" si="27"/>
        <v>29470.100000000028</v>
      </c>
      <c r="X124" s="172">
        <f>Funktional!S104</f>
        <v>0.71113402838884421</v>
      </c>
      <c r="Y124" s="42">
        <f>Funktional!X104</f>
        <v>3.8687661498514797E-2</v>
      </c>
      <c r="Z124" s="42">
        <f>'Kennzahlen Revision'!L104</f>
        <v>1.7108199792667759E-2</v>
      </c>
      <c r="AA124" s="42">
        <f>Funktional!AE104</f>
        <v>8.2801294241296203E-2</v>
      </c>
      <c r="AB124" s="42">
        <f>Funktional!AJ104</f>
        <v>-5.0519038455364819E-3</v>
      </c>
      <c r="AC124" s="42">
        <f>Funktional!AS104</f>
        <v>5.2716185932234379E-2</v>
      </c>
      <c r="AD124" s="42">
        <f>Funktional!AO104</f>
        <v>2.1881746448104431E-3</v>
      </c>
      <c r="AE124" s="202">
        <f>Funktional!AV104</f>
        <v>0.1175245591398365</v>
      </c>
      <c r="AF124" s="172">
        <f>'Kennzahlen Revision'!C104</f>
        <v>0.1067</v>
      </c>
      <c r="AG124" s="42">
        <f>'Kennzahlen Revision'!D104</f>
        <v>2.3E-2</v>
      </c>
      <c r="AH124" s="42">
        <f>Artengliederung!AN104</f>
        <v>0.75849143961912124</v>
      </c>
      <c r="AI124" s="178" t="str">
        <f t="shared" si="26"/>
        <v>Schurten</v>
      </c>
    </row>
    <row r="125" spans="1:35" x14ac:dyDescent="0.25">
      <c r="A125" s="41" t="str">
        <f>Funktional!A105</f>
        <v>Sirnach</v>
      </c>
      <c r="B125" s="41" t="str">
        <f>Funktional!B105</f>
        <v>PSG</v>
      </c>
      <c r="C125" s="352">
        <f>Funktional!D105</f>
        <v>425</v>
      </c>
      <c r="D125" s="348">
        <f>Funktional!G105</f>
        <v>10125.724421733652</v>
      </c>
      <c r="E125" s="186">
        <f>Funktional!F105</f>
        <v>195610.58541985464</v>
      </c>
      <c r="F125" s="48">
        <f>Funktional!U105</f>
        <v>6661.0905179199071</v>
      </c>
      <c r="G125" s="48">
        <f>Funktional!T105</f>
        <v>128680.15773254367</v>
      </c>
      <c r="H125" s="48">
        <f>Artengliederung!R105</f>
        <v>225.02049098987294</v>
      </c>
      <c r="I125" s="186">
        <f>Artengliederung!Q105</f>
        <v>4346.9867577589093</v>
      </c>
      <c r="J125" s="48">
        <f>Funktional!Z105</f>
        <v>494.54619165566231</v>
      </c>
      <c r="K125" s="48">
        <f>Funktional!Y105</f>
        <v>9553.7332478934768</v>
      </c>
      <c r="L125" s="48">
        <f>'Kennzahlen Revision'!O105</f>
        <v>272.87868649525097</v>
      </c>
      <c r="M125" s="48">
        <f>'Kennzahlen Revision'!N105</f>
        <v>5271.5200800218936</v>
      </c>
      <c r="N125" s="80">
        <f>Funktional!AG105</f>
        <v>610.73838740449139</v>
      </c>
      <c r="O125" s="43">
        <f>Funktional!AF105</f>
        <v>11798.355211223128</v>
      </c>
      <c r="P125" s="43">
        <f>Funktional!AL105</f>
        <v>1133.2718525500563</v>
      </c>
      <c r="Q125" s="43">
        <f>Funktional!AK105</f>
        <v>21892.751696989726</v>
      </c>
      <c r="R125" s="80">
        <f>Funktional!AU105</f>
        <v>415.5575680882323</v>
      </c>
      <c r="S125" s="43">
        <f>Funktional!AT105</f>
        <v>8027.8166562499418</v>
      </c>
      <c r="T125" s="80">
        <f>Funktional!AQ105</f>
        <v>37.834634785166017</v>
      </c>
      <c r="U125" s="43">
        <f>Funktional!AP105</f>
        <v>730.89635380434345</v>
      </c>
      <c r="V125" s="80">
        <f t="shared" ref="V125:W149" si="28">D125-F125-J125-N125-P125-R125-T125</f>
        <v>772.68526933013652</v>
      </c>
      <c r="W125" s="183">
        <f t="shared" si="28"/>
        <v>14926.874521150363</v>
      </c>
      <c r="X125" s="172">
        <f>Funktional!S105</f>
        <v>0.65783841634309892</v>
      </c>
      <c r="Y125" s="42">
        <f>Funktional!X105</f>
        <v>4.8840573874811194E-2</v>
      </c>
      <c r="Z125" s="42">
        <f>'Kennzahlen Revision'!L105</f>
        <v>2.6949053236087442E-2</v>
      </c>
      <c r="AA125" s="42">
        <f>Funktional!AE105</f>
        <v>6.031552528662687E-2</v>
      </c>
      <c r="AB125" s="42">
        <f>Funktional!AJ105</f>
        <v>0.11192007656436159</v>
      </c>
      <c r="AC125" s="42">
        <f>Funktional!AS105</f>
        <v>4.1039786466663834E-2</v>
      </c>
      <c r="AD125" s="42">
        <f>Funktional!AO105</f>
        <v>3.7364867153562376E-3</v>
      </c>
      <c r="AE125" s="202">
        <f>Funktional!AV105</f>
        <v>7.6309134749081325E-2</v>
      </c>
      <c r="AF125" s="172">
        <f>'Kennzahlen Revision'!C105</f>
        <v>5.6399999999999999E-2</v>
      </c>
      <c r="AG125" s="42">
        <f>'Kennzahlen Revision'!D105</f>
        <v>3.5000000000000001E-3</v>
      </c>
      <c r="AH125" s="42">
        <f>Artengliederung!AN105</f>
        <v>0.26636146936502708</v>
      </c>
      <c r="AI125" s="178" t="str">
        <f t="shared" si="26"/>
        <v>Sirnach</v>
      </c>
    </row>
    <row r="126" spans="1:35" x14ac:dyDescent="0.25">
      <c r="A126" s="41" t="str">
        <f>Funktional!A106</f>
        <v>Sitterdorf</v>
      </c>
      <c r="B126" s="41" t="str">
        <f>Funktional!B106</f>
        <v>PSG</v>
      </c>
      <c r="C126" s="352">
        <f>Funktional!D106</f>
        <v>84</v>
      </c>
      <c r="D126" s="348">
        <f>Funktional!G106</f>
        <v>14424.865113403011</v>
      </c>
      <c r="E126" s="186">
        <f>Funktional!F106</f>
        <v>242337.73390517058</v>
      </c>
      <c r="F126" s="48">
        <f>Funktional!U106</f>
        <v>8250.1332706192079</v>
      </c>
      <c r="G126" s="48">
        <f>Funktional!T106</f>
        <v>138602.23894640268</v>
      </c>
      <c r="H126" s="48">
        <f>Artengliederung!R106</f>
        <v>454.41839499802103</v>
      </c>
      <c r="I126" s="186">
        <f>Artengliederung!Q106</f>
        <v>7634.2290359667531</v>
      </c>
      <c r="J126" s="48">
        <f>Funktional!Z106</f>
        <v>629.17286457755233</v>
      </c>
      <c r="K126" s="48">
        <f>Funktional!Y106</f>
        <v>10570.10412490288</v>
      </c>
      <c r="L126" s="48">
        <f>'Kennzahlen Revision'!O106</f>
        <v>183.20379021687759</v>
      </c>
      <c r="M126" s="48">
        <f>'Kennzahlen Revision'!N106</f>
        <v>3077.8236756435435</v>
      </c>
      <c r="N126" s="80">
        <f>Funktional!AG106</f>
        <v>1364.4865625527864</v>
      </c>
      <c r="O126" s="43">
        <f>Funktional!AF106</f>
        <v>22923.374250886809</v>
      </c>
      <c r="P126" s="43">
        <f>Funktional!AL106</f>
        <v>1743.4011413212693</v>
      </c>
      <c r="Q126" s="43">
        <f>Funktional!AK106</f>
        <v>29289.139174197324</v>
      </c>
      <c r="R126" s="80">
        <f>Funktional!AU106</f>
        <v>1486.218324753846</v>
      </c>
      <c r="S126" s="43">
        <f>Funktional!AT106</f>
        <v>24968.467855864612</v>
      </c>
      <c r="T126" s="80">
        <f>Funktional!AQ106</f>
        <v>50.303753210643585</v>
      </c>
      <c r="U126" s="43">
        <f>Funktional!AP106</f>
        <v>845.10305393881231</v>
      </c>
      <c r="V126" s="80">
        <f t="shared" si="28"/>
        <v>901.14919636770639</v>
      </c>
      <c r="W126" s="183">
        <f t="shared" si="28"/>
        <v>15139.306498977476</v>
      </c>
      <c r="X126" s="172">
        <f>Funktional!S106</f>
        <v>0.57193833049804477</v>
      </c>
      <c r="Y126" s="42">
        <f>Funktional!X106</f>
        <v>4.36172442259408E-2</v>
      </c>
      <c r="Z126" s="42">
        <f>'Kennzahlen Revision'!L106</f>
        <v>1.2700554825060507E-2</v>
      </c>
      <c r="AA126" s="42">
        <f>Funktional!AE106</f>
        <v>9.4592673957481915E-2</v>
      </c>
      <c r="AB126" s="42">
        <f>Funktional!AJ106</f>
        <v>0.12086082799494398</v>
      </c>
      <c r="AC126" s="42">
        <f>Funktional!AS106</f>
        <v>0.10303169652331175</v>
      </c>
      <c r="AD126" s="42">
        <f>Funktional!AO106</f>
        <v>3.4872945303248168E-3</v>
      </c>
      <c r="AE126" s="202">
        <f>Funktional!AV106</f>
        <v>6.2471932269951971E-2</v>
      </c>
      <c r="AF126" s="172">
        <f>'Kennzahlen Revision'!C106</f>
        <v>0.1903</v>
      </c>
      <c r="AG126" s="42">
        <f>'Kennzahlen Revision'!D106</f>
        <v>0.1056</v>
      </c>
      <c r="AH126" s="42">
        <f>Artengliederung!AN106</f>
        <v>0.45180371625907428</v>
      </c>
      <c r="AI126" s="178" t="str">
        <f t="shared" si="26"/>
        <v>Sitterdorf</v>
      </c>
    </row>
    <row r="127" spans="1:35" x14ac:dyDescent="0.25">
      <c r="A127" s="41" t="str">
        <f>Funktional!A107</f>
        <v>Sommeri</v>
      </c>
      <c r="B127" s="41" t="str">
        <f>Funktional!B107</f>
        <v>PSG</v>
      </c>
      <c r="C127" s="352">
        <f>Funktional!D107</f>
        <v>50</v>
      </c>
      <c r="D127" s="348">
        <f>Funktional!G107</f>
        <v>9361.3579343264064</v>
      </c>
      <c r="E127" s="186">
        <f>Funktional!F107</f>
        <v>234033.94835816018</v>
      </c>
      <c r="F127" s="48">
        <f>Funktional!U107</f>
        <v>5089.0038619199386</v>
      </c>
      <c r="G127" s="48">
        <f>Funktional!T107</f>
        <v>127225.09654799847</v>
      </c>
      <c r="H127" s="48">
        <f>Artengliederung!R107</f>
        <v>200.5379762570916</v>
      </c>
      <c r="I127" s="186">
        <f>Artengliederung!Q107</f>
        <v>5013.4494064272903</v>
      </c>
      <c r="J127" s="48">
        <f>Funktional!Z107</f>
        <v>494.65987797149791</v>
      </c>
      <c r="K127" s="48">
        <f>Funktional!Y107</f>
        <v>12366.496949287448</v>
      </c>
      <c r="L127" s="48">
        <f>'Kennzahlen Revision'!O107</f>
        <v>209.05255778404063</v>
      </c>
      <c r="M127" s="48">
        <f>'Kennzahlen Revision'!N107</f>
        <v>5226.3139446010155</v>
      </c>
      <c r="N127" s="80">
        <f>Funktional!AG107</f>
        <v>946.69972960434598</v>
      </c>
      <c r="O127" s="43">
        <f>Funktional!AF107</f>
        <v>23667.493240108648</v>
      </c>
      <c r="P127" s="43">
        <f>Funktional!AL107</f>
        <v>1167.6702297252546</v>
      </c>
      <c r="Q127" s="43">
        <f>Funktional!AK107</f>
        <v>29191.755743131362</v>
      </c>
      <c r="R127" s="80">
        <f>Funktional!AU107</f>
        <v>1161.9928121235964</v>
      </c>
      <c r="S127" s="43">
        <f>Funktional!AT107</f>
        <v>29049.820303089913</v>
      </c>
      <c r="T127" s="80">
        <f>Funktional!AQ107</f>
        <v>53.492860374151569</v>
      </c>
      <c r="U127" s="43">
        <f>Funktional!AP107</f>
        <v>1337.3215093537892</v>
      </c>
      <c r="V127" s="80">
        <f t="shared" si="28"/>
        <v>447.83856260762155</v>
      </c>
      <c r="W127" s="183">
        <f t="shared" si="28"/>
        <v>11195.964065190552</v>
      </c>
      <c r="X127" s="172">
        <f>Funktional!S107</f>
        <v>0.54361812651767982</v>
      </c>
      <c r="Y127" s="42">
        <f>Funktional!X107</f>
        <v>5.2840611526845861E-2</v>
      </c>
      <c r="Z127" s="42">
        <f>'Kennzahlen Revision'!L107</f>
        <v>2.2331435166845045E-2</v>
      </c>
      <c r="AA127" s="42">
        <f>Funktional!AE107</f>
        <v>0.10112846194385637</v>
      </c>
      <c r="AB127" s="42">
        <f>Funktional!AJ107</f>
        <v>0.12473299684905956</v>
      </c>
      <c r="AC127" s="42">
        <f>Funktional!AS107</f>
        <v>0.12412652312575069</v>
      </c>
      <c r="AD127" s="42">
        <f>Funktional!AO107</f>
        <v>5.7142201750456437E-3</v>
      </c>
      <c r="AE127" s="202">
        <f>Funktional!AV107</f>
        <v>4.7839059861762054E-2</v>
      </c>
      <c r="AF127" s="172">
        <f>'Kennzahlen Revision'!C107</f>
        <v>0.15310000000000001</v>
      </c>
      <c r="AG127" s="42">
        <f>'Kennzahlen Revision'!D107</f>
        <v>8.8200000000000001E-2</v>
      </c>
      <c r="AH127" s="42">
        <f>Artengliederung!AN107</f>
        <v>0.55915722101032905</v>
      </c>
      <c r="AI127" s="178" t="str">
        <f t="shared" si="26"/>
        <v>Sommeri</v>
      </c>
    </row>
    <row r="128" spans="1:35" x14ac:dyDescent="0.25">
      <c r="A128" s="41" t="str">
        <f>Funktional!A108</f>
        <v>Sonterswil</v>
      </c>
      <c r="B128" s="41" t="str">
        <f>Funktional!B108</f>
        <v>PSG</v>
      </c>
      <c r="C128" s="352">
        <f>Funktional!D108</f>
        <v>65</v>
      </c>
      <c r="D128" s="348">
        <f>Funktional!G108</f>
        <v>9791.4620198671528</v>
      </c>
      <c r="E128" s="186">
        <f>Funktional!F108</f>
        <v>212148.34376378832</v>
      </c>
      <c r="F128" s="48">
        <f>Funktional!U108</f>
        <v>6133.4098084086663</v>
      </c>
      <c r="G128" s="48">
        <f>Funktional!T108</f>
        <v>132890.54584885444</v>
      </c>
      <c r="H128" s="48">
        <f>Artengliederung!R108</f>
        <v>291.46394233444852</v>
      </c>
      <c r="I128" s="186">
        <f>Artengliederung!Q108</f>
        <v>6315.0520839130513</v>
      </c>
      <c r="J128" s="48">
        <f>Funktional!Z108</f>
        <v>295.66797080097405</v>
      </c>
      <c r="K128" s="48">
        <f>Funktional!Y108</f>
        <v>6406.1393673544371</v>
      </c>
      <c r="L128" s="48">
        <f>'Kennzahlen Revision'!O108</f>
        <v>155.20429514448199</v>
      </c>
      <c r="M128" s="48">
        <f>'Kennzahlen Revision'!N108</f>
        <v>3362.7597281304429</v>
      </c>
      <c r="N128" s="80">
        <f>Funktional!AG108</f>
        <v>719.10481516779805</v>
      </c>
      <c r="O128" s="43">
        <f>Funktional!AF108</f>
        <v>15580.604328635623</v>
      </c>
      <c r="P128" s="43">
        <f>Funktional!AL108</f>
        <v>1659.5841212069536</v>
      </c>
      <c r="Q128" s="43">
        <f>Funktional!AK108</f>
        <v>35957.655959483993</v>
      </c>
      <c r="R128" s="80">
        <f>Funktional!AU108</f>
        <v>46.172330667799429</v>
      </c>
      <c r="S128" s="43">
        <f>Funktional!AT108</f>
        <v>1000.400497802321</v>
      </c>
      <c r="T128" s="80">
        <f>Funktional!AQ108</f>
        <v>94.263562283296508</v>
      </c>
      <c r="U128" s="43">
        <f>Funktional!AP108</f>
        <v>2042.3771828047577</v>
      </c>
      <c r="V128" s="80">
        <f t="shared" si="28"/>
        <v>843.25941133166486</v>
      </c>
      <c r="W128" s="183">
        <f t="shared" si="28"/>
        <v>18270.620578852748</v>
      </c>
      <c r="X128" s="172">
        <f>Funktional!S108</f>
        <v>0.62640388084678311</v>
      </c>
      <c r="Y128" s="42">
        <f>Funktional!X108</f>
        <v>3.0196508979052909E-2</v>
      </c>
      <c r="Z128" s="42">
        <f>'Kennzahlen Revision'!L108</f>
        <v>1.585098270611356E-2</v>
      </c>
      <c r="AA128" s="42">
        <f>Funktional!AE108</f>
        <v>7.3442026707422656E-2</v>
      </c>
      <c r="AB128" s="42">
        <f>Funktional!AJ108</f>
        <v>0.16949298458591888</v>
      </c>
      <c r="AC128" s="42">
        <f>Funktional!AS108</f>
        <v>4.7155706240921396E-3</v>
      </c>
      <c r="AD128" s="42">
        <f>Funktional!AO108</f>
        <v>9.6271182068656432E-3</v>
      </c>
      <c r="AE128" s="202">
        <f>Funktional!AV108</f>
        <v>8.6121910049864664E-2</v>
      </c>
      <c r="AF128" s="172">
        <f>'Kennzahlen Revision'!C108</f>
        <v>0.1439</v>
      </c>
      <c r="AG128" s="42">
        <f>'Kennzahlen Revision'!D108</f>
        <v>8.1799999999999998E-2</v>
      </c>
      <c r="AH128" s="42">
        <f>Artengliederung!AN108</f>
        <v>0.29033609177835068</v>
      </c>
      <c r="AI128" s="178" t="str">
        <f t="shared" si="26"/>
        <v>Sonterswil</v>
      </c>
    </row>
    <row r="129" spans="1:35" x14ac:dyDescent="0.25">
      <c r="A129" s="41" t="str">
        <f>Funktional!A109</f>
        <v>Steckborn</v>
      </c>
      <c r="B129" s="41" t="str">
        <f>Funktional!B109</f>
        <v>PSG</v>
      </c>
      <c r="C129" s="352">
        <f>Funktional!D109</f>
        <v>310</v>
      </c>
      <c r="D129" s="348">
        <f>Funktional!G109</f>
        <v>10476.871205654294</v>
      </c>
      <c r="E129" s="186">
        <f>Funktional!F109</f>
        <v>231987.86241091648</v>
      </c>
      <c r="F129" s="48">
        <f>Funktional!U109</f>
        <v>6715.3351594832729</v>
      </c>
      <c r="G129" s="48">
        <f>Funktional!T109</f>
        <v>148696.70710284388</v>
      </c>
      <c r="H129" s="48">
        <f>Artengliederung!R109</f>
        <v>306.86629460830767</v>
      </c>
      <c r="I129" s="186">
        <f>Artengliederung!Q109</f>
        <v>6794.8965234696689</v>
      </c>
      <c r="J129" s="48">
        <f>Funktional!Z109</f>
        <v>778.89006887438404</v>
      </c>
      <c r="K129" s="48">
        <f>Funktional!Y109</f>
        <v>17246.851525075646</v>
      </c>
      <c r="L129" s="48">
        <f>'Kennzahlen Revision'!O109</f>
        <v>291.45517115099744</v>
      </c>
      <c r="M129" s="48">
        <f>'Kennzahlen Revision'!N109</f>
        <v>6453.650218343515</v>
      </c>
      <c r="N129" s="80">
        <f>Funktional!AG109</f>
        <v>643.49001401375267</v>
      </c>
      <c r="O129" s="43">
        <f>Funktional!AF109</f>
        <v>14248.707453161667</v>
      </c>
      <c r="P129" s="43">
        <f>Funktional!AL109</f>
        <v>601.20524632887259</v>
      </c>
      <c r="Q129" s="43">
        <f>Funktional!AK109</f>
        <v>13312.401882996464</v>
      </c>
      <c r="R129" s="80">
        <f>Funktional!AU109</f>
        <v>360.80759267982478</v>
      </c>
      <c r="S129" s="43">
        <f>Funktional!AT109</f>
        <v>7989.3109807675492</v>
      </c>
      <c r="T129" s="80">
        <f>Funktional!AQ109</f>
        <v>65.393273371339603</v>
      </c>
      <c r="U129" s="43">
        <f>Funktional!AP109</f>
        <v>1447.9939103653767</v>
      </c>
      <c r="V129" s="80">
        <f t="shared" si="28"/>
        <v>1311.7498509028469</v>
      </c>
      <c r="W129" s="183">
        <f t="shared" si="28"/>
        <v>29045.889555705897</v>
      </c>
      <c r="X129" s="172">
        <f>Funktional!S109</f>
        <v>0.64096761596716523</v>
      </c>
      <c r="Y129" s="42">
        <f>Funktional!X109</f>
        <v>7.4343766720547502E-2</v>
      </c>
      <c r="Z129" s="42">
        <f>'Kennzahlen Revision'!L109</f>
        <v>2.7818913245177736E-2</v>
      </c>
      <c r="AA129" s="42">
        <f>Funktional!AE109</f>
        <v>6.1420055795518964E-2</v>
      </c>
      <c r="AB129" s="42">
        <f>Funktional!AJ109</f>
        <v>5.7384044771344178E-2</v>
      </c>
      <c r="AC129" s="42">
        <f>Funktional!AS109</f>
        <v>3.4438486986945065E-2</v>
      </c>
      <c r="AD129" s="42">
        <f>Funktional!AO109</f>
        <v>6.241679609084754E-3</v>
      </c>
      <c r="AE129" s="202">
        <f>Funktional!AV109</f>
        <v>0.12520435014939432</v>
      </c>
      <c r="AF129" s="172">
        <f>'Kennzahlen Revision'!C109</f>
        <v>7.4700000000000003E-2</v>
      </c>
      <c r="AG129" s="42">
        <f>'Kennzahlen Revision'!D109</f>
        <v>3.4099999999999998E-2</v>
      </c>
      <c r="AH129" s="42">
        <f>Artengliederung!AN109</f>
        <v>8.2288705671688431E-2</v>
      </c>
      <c r="AI129" s="178" t="str">
        <f t="shared" si="26"/>
        <v>Steckborn</v>
      </c>
    </row>
    <row r="130" spans="1:35" x14ac:dyDescent="0.25">
      <c r="A130" s="41" t="str">
        <f>Funktional!A110</f>
        <v>Steinebrunn</v>
      </c>
      <c r="B130" s="41" t="str">
        <f>Funktional!B110</f>
        <v>PSG</v>
      </c>
      <c r="C130" s="352">
        <f>Funktional!D110</f>
        <v>64</v>
      </c>
      <c r="D130" s="348">
        <f>Funktional!G110</f>
        <v>9400.478979704927</v>
      </c>
      <c r="E130" s="186">
        <f>Funktional!F110</f>
        <v>200543.55156703843</v>
      </c>
      <c r="F130" s="48">
        <f>Funktional!U110</f>
        <v>6684.2679267815938</v>
      </c>
      <c r="G130" s="48">
        <f>Funktional!T110</f>
        <v>142597.71577134068</v>
      </c>
      <c r="H130" s="48">
        <f>Artengliederung!R110</f>
        <v>396.73384209230437</v>
      </c>
      <c r="I130" s="186">
        <f>Artengliederung!Q110</f>
        <v>8463.6552979691605</v>
      </c>
      <c r="J130" s="48">
        <f>Funktional!Z110</f>
        <v>427.04377701871101</v>
      </c>
      <c r="K130" s="48">
        <f>Funktional!Y110</f>
        <v>9110.2672430658349</v>
      </c>
      <c r="L130" s="48">
        <f>'Kennzahlen Revision'!O110</f>
        <v>141.99935012482018</v>
      </c>
      <c r="M130" s="48">
        <f>'Kennzahlen Revision'!N110</f>
        <v>3029.3194693294972</v>
      </c>
      <c r="N130" s="80">
        <f>Funktional!AG110</f>
        <v>341.47493506696009</v>
      </c>
      <c r="O130" s="43">
        <f>Funktional!AF110</f>
        <v>7284.7986147618149</v>
      </c>
      <c r="P130" s="43">
        <f>Funktional!AL110</f>
        <v>1171.8761351018356</v>
      </c>
      <c r="Q130" s="43">
        <f>Funktional!AK110</f>
        <v>25000.024215505826</v>
      </c>
      <c r="R130" s="80">
        <f>Funktional!AU110</f>
        <v>499.46551121524686</v>
      </c>
      <c r="S130" s="43">
        <f>Funktional!AT110</f>
        <v>10655.2642392586</v>
      </c>
      <c r="T130" s="80">
        <f>Funktional!AQ110</f>
        <v>69.719628188614678</v>
      </c>
      <c r="U130" s="43">
        <f>Funktional!AP110</f>
        <v>1487.3520680237798</v>
      </c>
      <c r="V130" s="80">
        <f t="shared" si="28"/>
        <v>206.631066331965</v>
      </c>
      <c r="W130" s="183">
        <f t="shared" si="28"/>
        <v>4408.1294150819012</v>
      </c>
      <c r="X130" s="172">
        <f>Funktional!S110</f>
        <v>0.71105610056812307</v>
      </c>
      <c r="Y130" s="42">
        <f>Funktional!X110</f>
        <v>4.5427874254138863E-2</v>
      </c>
      <c r="Z130" s="42">
        <f>'Kennzahlen Revision'!L110</f>
        <v>1.5105544135717797E-2</v>
      </c>
      <c r="AA130" s="42">
        <f>Funktional!AE110</f>
        <v>3.6325269787229365E-2</v>
      </c>
      <c r="AB130" s="42">
        <f>Funktional!AJ110</f>
        <v>0.12466132179347948</v>
      </c>
      <c r="AC130" s="42">
        <f>Funktional!AS110</f>
        <v>5.3131921500336639E-2</v>
      </c>
      <c r="AD130" s="42">
        <f>Funktional!AO110</f>
        <v>7.4166038070118756E-3</v>
      </c>
      <c r="AE130" s="202">
        <f>Funktional!AV110</f>
        <v>2.1980908289680696E-2</v>
      </c>
      <c r="AF130" s="172">
        <f>'Kennzahlen Revision'!C110</f>
        <v>0.1062</v>
      </c>
      <c r="AG130" s="42">
        <f>'Kennzahlen Revision'!D110</f>
        <v>6.4799999999999996E-2</v>
      </c>
      <c r="AH130" s="42">
        <f>Artengliederung!AN110</f>
        <v>0.38819009858293679</v>
      </c>
      <c r="AI130" s="178" t="str">
        <f t="shared" si="26"/>
        <v>Steinebrunn</v>
      </c>
    </row>
    <row r="131" spans="1:35" x14ac:dyDescent="0.25">
      <c r="A131" s="41" t="str">
        <f>Funktional!A111</f>
        <v>Stettfurt</v>
      </c>
      <c r="B131" s="41" t="str">
        <f>Funktional!B111</f>
        <v>PSG</v>
      </c>
      <c r="C131" s="352">
        <f>Funktional!D111</f>
        <v>94</v>
      </c>
      <c r="D131" s="348">
        <f>Funktional!G111</f>
        <v>8782.5126282064375</v>
      </c>
      <c r="E131" s="186">
        <f>Funktional!F111</f>
        <v>206389.04676285127</v>
      </c>
      <c r="F131" s="48">
        <f>Funktional!U111</f>
        <v>5438.6206371148282</v>
      </c>
      <c r="G131" s="48">
        <f>Funktional!T111</f>
        <v>127807.58497219846</v>
      </c>
      <c r="H131" s="48">
        <f>Artengliederung!R111</f>
        <v>368.37347960780374</v>
      </c>
      <c r="I131" s="186">
        <f>Artengliederung!Q111</f>
        <v>8656.7767707833882</v>
      </c>
      <c r="J131" s="48">
        <f>Funktional!Z111</f>
        <v>444.38355643423347</v>
      </c>
      <c r="K131" s="48">
        <f>Funktional!Y111</f>
        <v>10443.013576204487</v>
      </c>
      <c r="L131" s="48">
        <f>'Kennzahlen Revision'!O111</f>
        <v>155.72423475326644</v>
      </c>
      <c r="M131" s="48">
        <f>'Kennzahlen Revision'!N111</f>
        <v>3659.5195167017614</v>
      </c>
      <c r="N131" s="80">
        <f>Funktional!AG111</f>
        <v>706.36625494582006</v>
      </c>
      <c r="O131" s="43">
        <f>Funktional!AF111</f>
        <v>16599.60699122677</v>
      </c>
      <c r="P131" s="43">
        <f>Funktional!AL111</f>
        <v>831.69932873998175</v>
      </c>
      <c r="Q131" s="43">
        <f>Funktional!AK111</f>
        <v>19544.93422538957</v>
      </c>
      <c r="R131" s="80">
        <f>Funktional!AU111</f>
        <v>459.68692124982368</v>
      </c>
      <c r="S131" s="43">
        <f>Funktional!AT111</f>
        <v>10802.642649370857</v>
      </c>
      <c r="T131" s="80">
        <f>Funktional!AQ111</f>
        <v>44.886143254410662</v>
      </c>
      <c r="U131" s="43">
        <f>Funktional!AP111</f>
        <v>1054.8243664786505</v>
      </c>
      <c r="V131" s="80">
        <f t="shared" si="28"/>
        <v>856.86978646733974</v>
      </c>
      <c r="W131" s="183">
        <f t="shared" si="28"/>
        <v>20136.439981982487</v>
      </c>
      <c r="X131" s="172">
        <f>Funktional!S111</f>
        <v>0.61925565807304761</v>
      </c>
      <c r="Y131" s="42">
        <f>Funktional!X111</f>
        <v>5.0598681180033259E-2</v>
      </c>
      <c r="Z131" s="42">
        <f>'Kennzahlen Revision'!L111</f>
        <v>1.77311711745376E-2</v>
      </c>
      <c r="AA131" s="42">
        <f>Funktional!AE111</f>
        <v>8.0428720668981712E-2</v>
      </c>
      <c r="AB131" s="42">
        <f>Funktional!AJ111</f>
        <v>9.4699474279017481E-2</v>
      </c>
      <c r="AC131" s="42">
        <f>Funktional!AS111</f>
        <v>5.2341162570431837E-2</v>
      </c>
      <c r="AD131" s="42">
        <f>Funktional!AO111</f>
        <v>5.1108543937929182E-3</v>
      </c>
      <c r="AE131" s="202">
        <f>Funktional!AV111</f>
        <v>9.7565448834695201E-2</v>
      </c>
      <c r="AF131" s="172">
        <f>'Kennzahlen Revision'!C111</f>
        <v>0.1167</v>
      </c>
      <c r="AG131" s="42">
        <f>'Kennzahlen Revision'!D111</f>
        <v>5.28E-2</v>
      </c>
      <c r="AH131" s="42">
        <f>Artengliederung!AN111</f>
        <v>8.3658889450772864E-2</v>
      </c>
      <c r="AI131" s="178" t="str">
        <f t="shared" si="26"/>
        <v>Stettfurt</v>
      </c>
    </row>
    <row r="132" spans="1:35" x14ac:dyDescent="0.25">
      <c r="A132" s="41" t="str">
        <f>Funktional!A112</f>
        <v>Strohwilen-Wolfikon</v>
      </c>
      <c r="B132" s="41" t="str">
        <f>Funktional!B112</f>
        <v>PSG</v>
      </c>
      <c r="C132" s="352">
        <f>Funktional!D112</f>
        <v>20</v>
      </c>
      <c r="D132" s="348">
        <f>Funktional!G112</f>
        <v>12076.366721297067</v>
      </c>
      <c r="E132" s="186">
        <f>Funktional!F112</f>
        <v>241527.33442594134</v>
      </c>
      <c r="F132" s="48">
        <f>Funktional!U112</f>
        <v>8256.3485972773087</v>
      </c>
      <c r="G132" s="48">
        <f>Funktional!T112</f>
        <v>165126.97194554619</v>
      </c>
      <c r="H132" s="48">
        <f>Artengliederung!R112</f>
        <v>634.66728155048497</v>
      </c>
      <c r="I132" s="186">
        <f>Artengliederung!Q112</f>
        <v>12693.345631009699</v>
      </c>
      <c r="J132" s="48">
        <f>Funktional!Z112</f>
        <v>669.9949867171473</v>
      </c>
      <c r="K132" s="48">
        <f>Funktional!Y112</f>
        <v>13399.899734342946</v>
      </c>
      <c r="L132" s="48">
        <f>'Kennzahlen Revision'!O112</f>
        <v>290.59857213850046</v>
      </c>
      <c r="M132" s="48">
        <f>'Kennzahlen Revision'!N112</f>
        <v>5811.9714427700092</v>
      </c>
      <c r="N132" s="80">
        <f>Funktional!AG112</f>
        <v>1292.0739013708076</v>
      </c>
      <c r="O132" s="43">
        <f>Funktional!AF112</f>
        <v>25841.478027416153</v>
      </c>
      <c r="P132" s="43">
        <f>Funktional!AL112</f>
        <v>-437.85939856968554</v>
      </c>
      <c r="Q132" s="43">
        <f>Funktional!AK112</f>
        <v>-8757.1879713937105</v>
      </c>
      <c r="R132" s="80">
        <f>Funktional!AU112</f>
        <v>742.90435222562121</v>
      </c>
      <c r="S132" s="43">
        <f>Funktional!AT112</f>
        <v>14858.087044512424</v>
      </c>
      <c r="T132" s="80">
        <f>Funktional!AQ112</f>
        <v>71.819620862954523</v>
      </c>
      <c r="U132" s="43">
        <f>Funktional!AP112</f>
        <v>1436.3924172590905</v>
      </c>
      <c r="V132" s="80">
        <f t="shared" si="28"/>
        <v>1481.0846614129134</v>
      </c>
      <c r="W132" s="183">
        <f t="shared" si="28"/>
        <v>29621.693228258249</v>
      </c>
      <c r="X132" s="172">
        <f>Funktional!S112</f>
        <v>0.68367819459448587</v>
      </c>
      <c r="Y132" s="42">
        <f>Funktional!X112</f>
        <v>5.5479847720721266E-2</v>
      </c>
      <c r="Z132" s="42">
        <f>'Kennzahlen Revision'!L112</f>
        <v>2.4063410696697408E-2</v>
      </c>
      <c r="AA132" s="42">
        <f>Funktional!AE112</f>
        <v>0.10699193981019085</v>
      </c>
      <c r="AB132" s="42">
        <f>Funktional!AJ112</f>
        <v>-3.625754406724882E-2</v>
      </c>
      <c r="AC132" s="42">
        <f>Funktional!AS112</f>
        <v>6.1517207068205793E-2</v>
      </c>
      <c r="AD132" s="42">
        <f>Funktional!AO112</f>
        <v>5.9471215573719104E-3</v>
      </c>
      <c r="AE132" s="202">
        <f>Funktional!AV112</f>
        <v>0.12264323331627316</v>
      </c>
      <c r="AF132" s="172">
        <f>'Kennzahlen Revision'!C112</f>
        <v>0.1027</v>
      </c>
      <c r="AG132" s="42">
        <f>'Kennzahlen Revision'!D112</f>
        <v>1.4500000000000001E-2</v>
      </c>
      <c r="AH132" s="42">
        <f>Artengliederung!AN112</f>
        <v>0.63319887401285502</v>
      </c>
      <c r="AI132" s="178" t="str">
        <f t="shared" si="26"/>
        <v>Strohwilen-Wolfikon</v>
      </c>
    </row>
    <row r="133" spans="1:35" x14ac:dyDescent="0.25">
      <c r="A133" s="41" t="str">
        <f>Funktional!A113</f>
        <v>Sulgen</v>
      </c>
      <c r="B133" s="41" t="str">
        <f>Funktional!B113</f>
        <v>PSG</v>
      </c>
      <c r="C133" s="352">
        <f>Funktional!D113</f>
        <v>256</v>
      </c>
      <c r="D133" s="348">
        <f>Funktional!G113</f>
        <v>11428.849346947638</v>
      </c>
      <c r="E133" s="186">
        <f>Funktional!F113</f>
        <v>195052.36218790634</v>
      </c>
      <c r="F133" s="48">
        <f>Funktional!U113</f>
        <v>7463.3996329305637</v>
      </c>
      <c r="G133" s="48">
        <f>Funktional!T113</f>
        <v>127375.35373534828</v>
      </c>
      <c r="H133" s="48">
        <f>Artengliederung!R113</f>
        <v>368.73540230683295</v>
      </c>
      <c r="I133" s="186">
        <f>Artengliederung!Q113</f>
        <v>6293.0841993699487</v>
      </c>
      <c r="J133" s="48">
        <f>Funktional!Z113</f>
        <v>440.30541801800507</v>
      </c>
      <c r="K133" s="48">
        <f>Funktional!Y113</f>
        <v>7514.5458008406194</v>
      </c>
      <c r="L133" s="48">
        <f>'Kennzahlen Revision'!O113</f>
        <v>203.70815337594419</v>
      </c>
      <c r="M133" s="48">
        <f>'Kennzahlen Revision'!N113</f>
        <v>3476.6191509494474</v>
      </c>
      <c r="N133" s="80">
        <f>Funktional!AG113</f>
        <v>675.63975824814577</v>
      </c>
      <c r="O133" s="43">
        <f>Funktional!AF113</f>
        <v>11530.918540768354</v>
      </c>
      <c r="P133" s="43">
        <f>Funktional!AL113</f>
        <v>1232.3915029149457</v>
      </c>
      <c r="Q133" s="43">
        <f>Funktional!AK113</f>
        <v>21032.814983081738</v>
      </c>
      <c r="R133" s="80">
        <f>Funktional!AU113</f>
        <v>566.31842188922326</v>
      </c>
      <c r="S133" s="43">
        <f>Funktional!AT113</f>
        <v>9665.1677335760778</v>
      </c>
      <c r="T133" s="80">
        <f>Funktional!AQ113</f>
        <v>63.366794197140095</v>
      </c>
      <c r="U133" s="43">
        <f>Funktional!AP113</f>
        <v>1081.4599542978576</v>
      </c>
      <c r="V133" s="80">
        <f t="shared" si="28"/>
        <v>987.42781874961406</v>
      </c>
      <c r="W133" s="183">
        <f t="shared" si="28"/>
        <v>16852.10143999341</v>
      </c>
      <c r="X133" s="172">
        <f>Funktional!S113</f>
        <v>0.65303158755206203</v>
      </c>
      <c r="Y133" s="42">
        <f>Funktional!X113</f>
        <v>3.8525787211955834E-2</v>
      </c>
      <c r="Z133" s="42">
        <f>'Kennzahlen Revision'!L113</f>
        <v>1.7824029978166577E-2</v>
      </c>
      <c r="AA133" s="42">
        <f>Funktional!AE113</f>
        <v>5.911704124690316E-2</v>
      </c>
      <c r="AB133" s="42">
        <f>Funktional!AJ113</f>
        <v>0.10783163427069645</v>
      </c>
      <c r="AC133" s="42">
        <f>Funktional!AS113</f>
        <v>4.9551656925154314E-2</v>
      </c>
      <c r="AD133" s="42">
        <f>Funktional!AO113</f>
        <v>5.5444596628674431E-3</v>
      </c>
      <c r="AE133" s="202">
        <f>Funktional!AV113</f>
        <v>8.6397833130360785E-2</v>
      </c>
      <c r="AF133" s="172">
        <f>'Kennzahlen Revision'!C113</f>
        <v>9.6699999999999994E-2</v>
      </c>
      <c r="AG133" s="42">
        <f>'Kennzahlen Revision'!D113</f>
        <v>4.4499999999999998E-2</v>
      </c>
      <c r="AH133" s="42">
        <f>Artengliederung!AN113</f>
        <v>0.34314093349103547</v>
      </c>
      <c r="AI133" s="178" t="str">
        <f t="shared" si="26"/>
        <v>Sulgen</v>
      </c>
    </row>
    <row r="134" spans="1:35" x14ac:dyDescent="0.25">
      <c r="A134" s="41" t="str">
        <f>Funktional!A114</f>
        <v>Tägerwilen</v>
      </c>
      <c r="B134" s="41" t="str">
        <f>Funktional!B114</f>
        <v>PSG</v>
      </c>
      <c r="C134" s="352">
        <f>Funktional!D114</f>
        <v>300</v>
      </c>
      <c r="D134" s="348">
        <f>Funktional!G114</f>
        <v>9455.0327750528813</v>
      </c>
      <c r="E134" s="186">
        <f>Funktional!F114</f>
        <v>210111.83944561958</v>
      </c>
      <c r="F134" s="48">
        <f>Funktional!U114</f>
        <v>6150.4976036260468</v>
      </c>
      <c r="G134" s="48">
        <f>Funktional!T114</f>
        <v>136677.72452502328</v>
      </c>
      <c r="H134" s="48">
        <f>Artengliederung!R114</f>
        <v>326.69548605551944</v>
      </c>
      <c r="I134" s="186">
        <f>Artengliederung!Q114</f>
        <v>7259.8996901226537</v>
      </c>
      <c r="J134" s="48">
        <f>Funktional!Z114</f>
        <v>491.57686112593944</v>
      </c>
      <c r="K134" s="48">
        <f>Funktional!Y114</f>
        <v>10923.930247243099</v>
      </c>
      <c r="L134" s="48">
        <f>'Kennzahlen Revision'!O114</f>
        <v>154.76084759951007</v>
      </c>
      <c r="M134" s="48">
        <f>'Kennzahlen Revision'!N114</f>
        <v>3439.1299466557793</v>
      </c>
      <c r="N134" s="80">
        <f>Funktional!AG114</f>
        <v>807.06404251517176</v>
      </c>
      <c r="O134" s="43">
        <f>Funktional!AF114</f>
        <v>17934.756500337149</v>
      </c>
      <c r="P134" s="43">
        <f>Funktional!AL114</f>
        <v>887.16715501537624</v>
      </c>
      <c r="Q134" s="43">
        <f>Funktional!AK114</f>
        <v>19714.825667008361</v>
      </c>
      <c r="R134" s="80">
        <f>Funktional!AU114</f>
        <v>709.39407681055854</v>
      </c>
      <c r="S134" s="43">
        <f>Funktional!AT114</f>
        <v>15764.312818012411</v>
      </c>
      <c r="T134" s="80">
        <f>Funktional!AQ114</f>
        <v>105.64487882205486</v>
      </c>
      <c r="U134" s="43">
        <f>Funktional!AP114</f>
        <v>2347.6639738234412</v>
      </c>
      <c r="V134" s="80">
        <f t="shared" si="28"/>
        <v>303.68815713773341</v>
      </c>
      <c r="W134" s="183">
        <f t="shared" si="28"/>
        <v>6748.6257141718379</v>
      </c>
      <c r="X134" s="172">
        <f>Funktional!S114</f>
        <v>0.65049987133351295</v>
      </c>
      <c r="Y134" s="42">
        <f>Funktional!X114</f>
        <v>5.1991026664969985E-2</v>
      </c>
      <c r="Z134" s="42">
        <f>'Kennzahlen Revision'!L114</f>
        <v>1.6368092134788449E-2</v>
      </c>
      <c r="AA134" s="42">
        <f>Funktional!AE114</f>
        <v>8.5358143299578138E-2</v>
      </c>
      <c r="AB134" s="42">
        <f>Funktional!AJ114</f>
        <v>9.3830151213877153E-2</v>
      </c>
      <c r="AC134" s="42">
        <f>Funktional!AS114</f>
        <v>7.5028198599405807E-2</v>
      </c>
      <c r="AD134" s="42">
        <f>Funktional!AO114</f>
        <v>1.1173401651319395E-2</v>
      </c>
      <c r="AE134" s="202">
        <f>Funktional!AV114</f>
        <v>3.2119207237336578E-2</v>
      </c>
      <c r="AF134" s="172">
        <f>'Kennzahlen Revision'!C114</f>
        <v>0.17699999999999999</v>
      </c>
      <c r="AG134" s="42">
        <f>'Kennzahlen Revision'!D114</f>
        <v>8.14E-2</v>
      </c>
      <c r="AH134" s="42">
        <f>Artengliederung!AN114</f>
        <v>3.0759459018441859E-2</v>
      </c>
      <c r="AI134" s="178" t="str">
        <f t="shared" si="26"/>
        <v>Tägerwilen</v>
      </c>
    </row>
    <row r="135" spans="1:35" x14ac:dyDescent="0.25">
      <c r="A135" s="41" t="str">
        <f>Funktional!A115</f>
        <v>Thundorf</v>
      </c>
      <c r="B135" s="41" t="str">
        <f>Funktional!B115</f>
        <v>PSG</v>
      </c>
      <c r="C135" s="352">
        <f>Funktional!D115</f>
        <v>102</v>
      </c>
      <c r="D135" s="348">
        <f>Funktional!G115</f>
        <v>12944.898313313886</v>
      </c>
      <c r="E135" s="186">
        <f>Funktional!F115</f>
        <v>264075.92559160327</v>
      </c>
      <c r="F135" s="48">
        <f>Funktional!U115</f>
        <v>6448.7604714604895</v>
      </c>
      <c r="G135" s="48">
        <f>Funktional!T115</f>
        <v>131554.71361779398</v>
      </c>
      <c r="H135" s="48">
        <f>Artengliederung!R115</f>
        <v>337.11397086147321</v>
      </c>
      <c r="I135" s="186">
        <f>Artengliederung!Q115</f>
        <v>6877.1250055740529</v>
      </c>
      <c r="J135" s="48">
        <f>Funktional!Z115</f>
        <v>542.44637132834191</v>
      </c>
      <c r="K135" s="48">
        <f>Funktional!Y115</f>
        <v>11065.905975098176</v>
      </c>
      <c r="L135" s="48">
        <f>'Kennzahlen Revision'!O115</f>
        <v>234.80632069788496</v>
      </c>
      <c r="M135" s="48">
        <f>'Kennzahlen Revision'!N115</f>
        <v>4790.0489422368537</v>
      </c>
      <c r="N135" s="80">
        <f>Funktional!AG115</f>
        <v>1420.2918910506212</v>
      </c>
      <c r="O135" s="43">
        <f>Funktional!AF115</f>
        <v>28973.954577432673</v>
      </c>
      <c r="P135" s="43">
        <f>Funktional!AL115</f>
        <v>1817.0782475922804</v>
      </c>
      <c r="Q135" s="43">
        <f>Funktional!AK115</f>
        <v>37068.396250882521</v>
      </c>
      <c r="R135" s="80">
        <f>Funktional!AU115</f>
        <v>1252.7988973274373</v>
      </c>
      <c r="S135" s="43">
        <f>Funktional!AT115</f>
        <v>25557.09750547972</v>
      </c>
      <c r="T135" s="80">
        <f>Funktional!AQ115</f>
        <v>45.154400866889603</v>
      </c>
      <c r="U135" s="43">
        <f>Funktional!AP115</f>
        <v>921.14977768454787</v>
      </c>
      <c r="V135" s="80">
        <f t="shared" si="28"/>
        <v>1418.3680336878258</v>
      </c>
      <c r="W135" s="183">
        <f t="shared" si="28"/>
        <v>28934.707887231663</v>
      </c>
      <c r="X135" s="172">
        <f>Funktional!S115</f>
        <v>0.49817003698112561</v>
      </c>
      <c r="Y135" s="42">
        <f>Funktional!X115</f>
        <v>4.1904258975169653E-2</v>
      </c>
      <c r="Z135" s="42">
        <f>'Kennzahlen Revision'!L115</f>
        <v>1.8138908086777754E-2</v>
      </c>
      <c r="AA135" s="42">
        <f>Funktional!AE115</f>
        <v>0.10971827330538737</v>
      </c>
      <c r="AB135" s="42">
        <f>Funktional!AJ115</f>
        <v>0.14037022181343881</v>
      </c>
      <c r="AC135" s="42">
        <f>Funktional!AS115</f>
        <v>9.677935407487348E-2</v>
      </c>
      <c r="AD135" s="42">
        <f>Funktional!AO115</f>
        <v>3.4882005075658334E-3</v>
      </c>
      <c r="AE135" s="202">
        <f>Funktional!AV115</f>
        <v>0.10956965434243932</v>
      </c>
      <c r="AF135" s="172">
        <f>'Kennzahlen Revision'!C115</f>
        <v>0.17649999999999999</v>
      </c>
      <c r="AG135" s="42">
        <f>'Kennzahlen Revision'!D115</f>
        <v>7.22E-2</v>
      </c>
      <c r="AH135" s="42">
        <f>Artengliederung!AN115</f>
        <v>0.42235910265014126</v>
      </c>
      <c r="AI135" s="178" t="str">
        <f t="shared" si="26"/>
        <v>Thundorf</v>
      </c>
    </row>
    <row r="136" spans="1:35" x14ac:dyDescent="0.25">
      <c r="A136" s="41" t="str">
        <f>Funktional!A116</f>
        <v>Tobel</v>
      </c>
      <c r="B136" s="41" t="str">
        <f>Funktional!B116</f>
        <v>PSG</v>
      </c>
      <c r="C136" s="352">
        <f>Funktional!D116</f>
        <v>130</v>
      </c>
      <c r="D136" s="348">
        <f>Funktional!G116</f>
        <v>9600.2550295103629</v>
      </c>
      <c r="E136" s="186">
        <f>Funktional!F116</f>
        <v>208005.52563939118</v>
      </c>
      <c r="F136" s="48">
        <f>Funktional!U116</f>
        <v>6030.9688487949406</v>
      </c>
      <c r="G136" s="48">
        <f>Funktional!T116</f>
        <v>130670.99172389037</v>
      </c>
      <c r="H136" s="48">
        <f>Artengliederung!R116</f>
        <v>385.0356223070338</v>
      </c>
      <c r="I136" s="186">
        <f>Artengliederung!Q116</f>
        <v>8342.4384833190652</v>
      </c>
      <c r="J136" s="48">
        <f>Funktional!Z116</f>
        <v>525.57458554418611</v>
      </c>
      <c r="K136" s="48">
        <f>Funktional!Y116</f>
        <v>11387.449353457365</v>
      </c>
      <c r="L136" s="48">
        <f>'Kennzahlen Revision'!O116</f>
        <v>147.91445226991286</v>
      </c>
      <c r="M136" s="48">
        <f>'Kennzahlen Revision'!N116</f>
        <v>3204.8131325147788</v>
      </c>
      <c r="N136" s="80">
        <f>Funktional!AG116</f>
        <v>420.34915122195474</v>
      </c>
      <c r="O136" s="43">
        <f>Funktional!AF116</f>
        <v>9107.5649431423535</v>
      </c>
      <c r="P136" s="43">
        <f>Funktional!AL116</f>
        <v>1114.6036338605481</v>
      </c>
      <c r="Q136" s="43">
        <f>Funktional!AK116</f>
        <v>24149.745400311876</v>
      </c>
      <c r="R136" s="80">
        <f>Funktional!AU116</f>
        <v>973.40686993660313</v>
      </c>
      <c r="S136" s="43">
        <f>Funktional!AT116</f>
        <v>21090.482181959735</v>
      </c>
      <c r="T136" s="80">
        <f>Funktional!AQ116</f>
        <v>9.543273010131454</v>
      </c>
      <c r="U136" s="43">
        <f>Funktional!AP116</f>
        <v>206.77091521951482</v>
      </c>
      <c r="V136" s="80">
        <f t="shared" si="28"/>
        <v>525.80866714199874</v>
      </c>
      <c r="W136" s="183">
        <f t="shared" si="28"/>
        <v>11392.521121409964</v>
      </c>
      <c r="X136" s="172">
        <f>Funktional!S116</f>
        <v>0.62820923301060838</v>
      </c>
      <c r="Y136" s="42">
        <f>Funktional!X116</f>
        <v>5.4745898304640321E-2</v>
      </c>
      <c r="Z136" s="42">
        <f>'Kennzahlen Revision'!L116</f>
        <v>1.5407346139788629E-2</v>
      </c>
      <c r="AA136" s="42">
        <f>Funktional!AE116</f>
        <v>4.3785206739804038E-2</v>
      </c>
      <c r="AB136" s="42">
        <f>Funktional!AJ116</f>
        <v>0.11610146089185672</v>
      </c>
      <c r="AC136" s="42">
        <f>Funktional!AS116</f>
        <v>0.10139385536576202</v>
      </c>
      <c r="AD136" s="42">
        <f>Funktional!AO116</f>
        <v>9.9406453066051359E-4</v>
      </c>
      <c r="AE136" s="202">
        <f>Funktional!AV116</f>
        <v>5.4770281156668002E-2</v>
      </c>
      <c r="AF136" s="172">
        <f>'Kennzahlen Revision'!C116</f>
        <v>0.1079</v>
      </c>
      <c r="AG136" s="42">
        <f>'Kennzahlen Revision'!D116</f>
        <v>9.5699999999999993E-2</v>
      </c>
      <c r="AH136" s="42">
        <f>Artengliederung!AN116</f>
        <v>0.27625124529693484</v>
      </c>
      <c r="AI136" s="178" t="str">
        <f t="shared" si="26"/>
        <v>Tobel</v>
      </c>
    </row>
    <row r="137" spans="1:35" x14ac:dyDescent="0.25">
      <c r="A137" s="41" t="str">
        <f>Funktional!A117</f>
        <v>Uesslingen</v>
      </c>
      <c r="B137" s="41" t="str">
        <f>Funktional!B117</f>
        <v>PSG</v>
      </c>
      <c r="C137" s="352">
        <f>Funktional!D117</f>
        <v>73</v>
      </c>
      <c r="D137" s="348">
        <f>Funktional!G117</f>
        <v>9997.7098977101286</v>
      </c>
      <c r="E137" s="186">
        <f>Funktional!F117</f>
        <v>243277.60751094646</v>
      </c>
      <c r="F137" s="48">
        <f>Funktional!U117</f>
        <v>6675.5785171967573</v>
      </c>
      <c r="G137" s="48">
        <f>Funktional!T117</f>
        <v>162439.07725178776</v>
      </c>
      <c r="H137" s="48">
        <f>Artengliederung!R117</f>
        <v>331.80983453187861</v>
      </c>
      <c r="I137" s="186">
        <f>Artengliederung!Q117</f>
        <v>8074.0393069423799</v>
      </c>
      <c r="J137" s="48">
        <f>Funktional!Z117</f>
        <v>337.08439779772925</v>
      </c>
      <c r="K137" s="48">
        <f>Funktional!Y117</f>
        <v>8202.3870130780779</v>
      </c>
      <c r="L137" s="48">
        <f>'Kennzahlen Revision'!O117</f>
        <v>132.85534731909189</v>
      </c>
      <c r="M137" s="48">
        <f>'Kennzahlen Revision'!N117</f>
        <v>3232.8134514312355</v>
      </c>
      <c r="N137" s="80">
        <f>Funktional!AG117</f>
        <v>345.01194846430838</v>
      </c>
      <c r="O137" s="43">
        <f>Funktional!AF117</f>
        <v>8395.2907459648377</v>
      </c>
      <c r="P137" s="43">
        <f>Funktional!AL117</f>
        <v>1028.1598087543523</v>
      </c>
      <c r="Q137" s="43">
        <f>Funktional!AK117</f>
        <v>25018.555346355904</v>
      </c>
      <c r="R137" s="80">
        <f>Funktional!AU117</f>
        <v>251.03481324828408</v>
      </c>
      <c r="S137" s="43">
        <f>Funktional!AT117</f>
        <v>6108.513789041579</v>
      </c>
      <c r="T137" s="80">
        <f>Funktional!AQ117</f>
        <v>35.152083059653052</v>
      </c>
      <c r="U137" s="43">
        <f>Funktional!AP117</f>
        <v>855.36735445155762</v>
      </c>
      <c r="V137" s="80">
        <f t="shared" si="28"/>
        <v>1325.6883291890445</v>
      </c>
      <c r="W137" s="183">
        <f t="shared" si="28"/>
        <v>32258.416010266727</v>
      </c>
      <c r="X137" s="172">
        <f>Funktional!S117</f>
        <v>0.66771076431470866</v>
      </c>
      <c r="Y137" s="42">
        <f>Funktional!X117</f>
        <v>3.3716161125552854E-2</v>
      </c>
      <c r="Z137" s="42">
        <f>'Kennzahlen Revision'!L117</f>
        <v>1.3288577952188933E-2</v>
      </c>
      <c r="AA137" s="42">
        <f>Funktional!AE117</f>
        <v>3.4509097782816224E-2</v>
      </c>
      <c r="AB137" s="42">
        <f>Funktional!AJ117</f>
        <v>0.10283953218024876</v>
      </c>
      <c r="AC137" s="42">
        <f>Funktional!AS117</f>
        <v>2.5109231595705831E-2</v>
      </c>
      <c r="AD137" s="42">
        <f>Funktional!AO117</f>
        <v>3.5160135090241285E-3</v>
      </c>
      <c r="AE137" s="202">
        <f>Funktional!AV117</f>
        <v>0.13259919949194351</v>
      </c>
      <c r="AF137" s="172">
        <f>'Kennzahlen Revision'!C117</f>
        <v>6.6299999999999998E-2</v>
      </c>
      <c r="AG137" s="42">
        <f>'Kennzahlen Revision'!D117</f>
        <v>4.4600000000000001E-2</v>
      </c>
      <c r="AH137" s="42">
        <f>Artengliederung!AN117</f>
        <v>0.28976516816489373</v>
      </c>
      <c r="AI137" s="178" t="str">
        <f t="shared" si="26"/>
        <v>Uesslingen</v>
      </c>
    </row>
    <row r="138" spans="1:35" x14ac:dyDescent="0.25">
      <c r="A138" s="41" t="str">
        <f>Funktional!A118</f>
        <v>Uttwil</v>
      </c>
      <c r="B138" s="41" t="str">
        <f>Funktional!B118</f>
        <v>PSG</v>
      </c>
      <c r="C138" s="352">
        <f>Funktional!D118</f>
        <v>124</v>
      </c>
      <c r="D138" s="348">
        <f>Funktional!G118</f>
        <v>10293.088031043682</v>
      </c>
      <c r="E138" s="186">
        <f>Funktional!F118</f>
        <v>196360.44859221793</v>
      </c>
      <c r="F138" s="48">
        <f>Funktional!U118</f>
        <v>6621.891298240138</v>
      </c>
      <c r="G138" s="48">
        <f>Funktional!T118</f>
        <v>126325.3109202734</v>
      </c>
      <c r="H138" s="48">
        <f>Artengliederung!R118</f>
        <v>342.51191883689722</v>
      </c>
      <c r="I138" s="186">
        <f>Artengliederung!Q118</f>
        <v>6534.0735285808087</v>
      </c>
      <c r="J138" s="48">
        <f>Funktional!Z118</f>
        <v>362.88128605446241</v>
      </c>
      <c r="K138" s="48">
        <f>Funktional!Y118</f>
        <v>6922.6583801158986</v>
      </c>
      <c r="L138" s="48">
        <f>'Kennzahlen Revision'!O118</f>
        <v>120.39291180863617</v>
      </c>
      <c r="M138" s="48">
        <f>'Kennzahlen Revision'!N118</f>
        <v>2296.7263175801363</v>
      </c>
      <c r="N138" s="80">
        <f>Funktional!AG118</f>
        <v>1110.7049893613384</v>
      </c>
      <c r="O138" s="43">
        <f>Funktional!AF118</f>
        <v>21188.83364320092</v>
      </c>
      <c r="P138" s="43">
        <f>Funktional!AL118</f>
        <v>1087.7499581910279</v>
      </c>
      <c r="Q138" s="43">
        <f>Funktional!AK118</f>
        <v>20750.92227933653</v>
      </c>
      <c r="R138" s="80">
        <f>Funktional!AU118</f>
        <v>817.21908235999456</v>
      </c>
      <c r="S138" s="43">
        <f>Funktional!AT118</f>
        <v>15590.02557117528</v>
      </c>
      <c r="T138" s="80">
        <f>Funktional!AQ118</f>
        <v>51.797484501899412</v>
      </c>
      <c r="U138" s="43">
        <f>Funktional!AP118</f>
        <v>988.13662742085035</v>
      </c>
      <c r="V138" s="80">
        <f t="shared" si="28"/>
        <v>240.84393233482189</v>
      </c>
      <c r="W138" s="183">
        <f t="shared" si="28"/>
        <v>4594.5611706950422</v>
      </c>
      <c r="X138" s="172">
        <f>Funktional!S118</f>
        <v>0.64333378654381357</v>
      </c>
      <c r="Y138" s="42">
        <f>Funktional!X118</f>
        <v>3.5254851115624583E-2</v>
      </c>
      <c r="Z138" s="42">
        <f>'Kennzahlen Revision'!L118</f>
        <v>1.1696481313045641E-2</v>
      </c>
      <c r="AA138" s="42">
        <f>Funktional!AE118</f>
        <v>0.10790784903534115</v>
      </c>
      <c r="AB138" s="42">
        <f>Funktional!AJ118</f>
        <v>0.10567770866336736</v>
      </c>
      <c r="AC138" s="42">
        <f>Funktional!AS118</f>
        <v>7.9394937641190225E-2</v>
      </c>
      <c r="AD138" s="42">
        <f>Funktional!AO118</f>
        <v>5.032258963071099E-3</v>
      </c>
      <c r="AE138" s="202">
        <f>Funktional!AV118</f>
        <v>2.3398608037592028E-2</v>
      </c>
      <c r="AF138" s="172">
        <f>'Kennzahlen Revision'!C118</f>
        <v>0.16719999999999999</v>
      </c>
      <c r="AG138" s="42">
        <f>'Kennzahlen Revision'!D118</f>
        <v>8.1699999999999995E-2</v>
      </c>
      <c r="AH138" s="42">
        <f>Artengliederung!AN118</f>
        <v>4.4168076949054655E-2</v>
      </c>
      <c r="AI138" s="178" t="str">
        <f t="shared" si="26"/>
        <v>Uttwil</v>
      </c>
    </row>
    <row r="139" spans="1:35" x14ac:dyDescent="0.25">
      <c r="A139" s="41" t="str">
        <f>Funktional!A119</f>
        <v>Wagenhausen-Rheinklingen</v>
      </c>
      <c r="B139" s="41" t="str">
        <f>Funktional!B119</f>
        <v>PSG</v>
      </c>
      <c r="C139" s="352">
        <f>Funktional!D119</f>
        <v>60</v>
      </c>
      <c r="D139" s="348">
        <f>Funktional!G119</f>
        <v>11208.981795886888</v>
      </c>
      <c r="E139" s="186">
        <f>Funktional!F119</f>
        <v>224179.63591773776</v>
      </c>
      <c r="F139" s="48">
        <f>Funktional!U119</f>
        <v>7597.7940759493513</v>
      </c>
      <c r="G139" s="48">
        <f>Funktional!T119</f>
        <v>151955.88151898704</v>
      </c>
      <c r="H139" s="48">
        <f>Artengliederung!R119</f>
        <v>298.93872646452667</v>
      </c>
      <c r="I139" s="186">
        <f>Artengliederung!Q119</f>
        <v>5978.7745292905338</v>
      </c>
      <c r="J139" s="48">
        <f>Funktional!Z119</f>
        <v>545.57440981295133</v>
      </c>
      <c r="K139" s="48">
        <f>Funktional!Y119</f>
        <v>10911.488196259026</v>
      </c>
      <c r="L139" s="48">
        <f>'Kennzahlen Revision'!O119</f>
        <v>281.28989521405862</v>
      </c>
      <c r="M139" s="48">
        <f>'Kennzahlen Revision'!N119</f>
        <v>5625.7979042811721</v>
      </c>
      <c r="N139" s="80">
        <f>Funktional!AG119</f>
        <v>1002.5734445219476</v>
      </c>
      <c r="O139" s="43">
        <f>Funktional!AF119</f>
        <v>20051.468890438951</v>
      </c>
      <c r="P139" s="43">
        <f>Funktional!AL119</f>
        <v>588.93946650862665</v>
      </c>
      <c r="Q139" s="43">
        <f>Funktional!AK119</f>
        <v>11778.789330172533</v>
      </c>
      <c r="R139" s="80">
        <f>Funktional!AU119</f>
        <v>372.18169260510132</v>
      </c>
      <c r="S139" s="43">
        <f>Funktional!AT119</f>
        <v>7443.6338521020261</v>
      </c>
      <c r="T139" s="80">
        <f>Funktional!AQ119</f>
        <v>38.213935489567902</v>
      </c>
      <c r="U139" s="43">
        <f>Funktional!AP119</f>
        <v>764.27870979135798</v>
      </c>
      <c r="V139" s="80">
        <f t="shared" si="28"/>
        <v>1063.7047709993421</v>
      </c>
      <c r="W139" s="183">
        <f t="shared" si="28"/>
        <v>21274.095419986828</v>
      </c>
      <c r="X139" s="172">
        <f>Funktional!S119</f>
        <v>0.67783088725662355</v>
      </c>
      <c r="Y139" s="42">
        <f>Funktional!X119</f>
        <v>4.8672967781350905E-2</v>
      </c>
      <c r="Z139" s="42">
        <f>'Kennzahlen Revision'!L119</f>
        <v>2.5095044343570738E-2</v>
      </c>
      <c r="AA139" s="42">
        <f>Funktional!AE119</f>
        <v>8.9443757049354811E-2</v>
      </c>
      <c r="AB139" s="42">
        <f>Funktional!AJ119</f>
        <v>5.2541745292577484E-2</v>
      </c>
      <c r="AC139" s="42">
        <f>Funktional!AS119</f>
        <v>3.3203880547087034E-2</v>
      </c>
      <c r="AD139" s="42">
        <f>Funktional!AO119</f>
        <v>3.4092245116849437E-3</v>
      </c>
      <c r="AE139" s="202">
        <f>Funktional!AV119</f>
        <v>9.4897537561321299E-2</v>
      </c>
      <c r="AF139" s="172">
        <f>'Kennzahlen Revision'!C119</f>
        <v>9.9199999999999997E-2</v>
      </c>
      <c r="AG139" s="42">
        <f>'Kennzahlen Revision'!D119</f>
        <v>1.83E-2</v>
      </c>
      <c r="AH139" s="42">
        <f>Artengliederung!AN119</f>
        <v>0.23220356698450798</v>
      </c>
      <c r="AI139" s="178" t="str">
        <f t="shared" si="26"/>
        <v>Wagenhausen-Rheinklingen</v>
      </c>
    </row>
    <row r="140" spans="1:35" x14ac:dyDescent="0.25">
      <c r="A140" s="41" t="str">
        <f>Funktional!A120</f>
        <v>Wäldi</v>
      </c>
      <c r="B140" s="41" t="str">
        <f>Funktional!B120</f>
        <v>PSG</v>
      </c>
      <c r="C140" s="352">
        <f>Funktional!D120</f>
        <v>35</v>
      </c>
      <c r="D140" s="348">
        <f>Funktional!G120</f>
        <v>7815.6957142857136</v>
      </c>
      <c r="E140" s="186">
        <f>Funktional!F120</f>
        <v>182366.23333333331</v>
      </c>
      <c r="F140" s="48">
        <f>Funktional!U120</f>
        <v>6184.9614285714288</v>
      </c>
      <c r="G140" s="48">
        <f>Funktional!T120</f>
        <v>144315.76666666666</v>
      </c>
      <c r="H140" s="48">
        <f>Artengliederung!R120</f>
        <v>337.62428571428575</v>
      </c>
      <c r="I140" s="186">
        <f>Artengliederung!Q120</f>
        <v>7877.9000000000005</v>
      </c>
      <c r="J140" s="48">
        <f>Funktional!Z120</f>
        <v>392.22428571428571</v>
      </c>
      <c r="K140" s="48">
        <f>Funktional!Y120</f>
        <v>9151.9</v>
      </c>
      <c r="L140" s="48">
        <f>'Kennzahlen Revision'!O120</f>
        <v>123.05714285714286</v>
      </c>
      <c r="M140" s="48">
        <f>'Kennzahlen Revision'!N120</f>
        <v>2871.3333333333335</v>
      </c>
      <c r="N140" s="80">
        <f>Funktional!AG120</f>
        <v>192.15142857142857</v>
      </c>
      <c r="O140" s="43">
        <f>Funktional!AF120</f>
        <v>4483.5333333333338</v>
      </c>
      <c r="P140" s="43">
        <f>Funktional!AL120</f>
        <v>279.37857142857143</v>
      </c>
      <c r="Q140" s="43">
        <f>Funktional!AK120</f>
        <v>6518.833333333333</v>
      </c>
      <c r="R140" s="80">
        <f>Funktional!AU120</f>
        <v>19.777142857142859</v>
      </c>
      <c r="S140" s="43">
        <f>Funktional!AT120</f>
        <v>461.4666666666667</v>
      </c>
      <c r="T140" s="80">
        <f>Funktional!AQ120</f>
        <v>57.928571428571431</v>
      </c>
      <c r="U140" s="43">
        <f>Funktional!AP120</f>
        <v>1351.6666666666667</v>
      </c>
      <c r="V140" s="80">
        <f t="shared" si="28"/>
        <v>689.27428571428482</v>
      </c>
      <c r="W140" s="183">
        <f t="shared" si="28"/>
        <v>16083.066666666646</v>
      </c>
      <c r="X140" s="172">
        <f>Funktional!S120</f>
        <v>0.79135135945305668</v>
      </c>
      <c r="Y140" s="42">
        <f>Funktional!X120</f>
        <v>5.0184180660637658E-2</v>
      </c>
      <c r="Z140" s="42">
        <f>'Kennzahlen Revision'!L120</f>
        <v>1.5744873822584483E-2</v>
      </c>
      <c r="AA140" s="42">
        <f>Funktional!AE120</f>
        <v>2.4585326194341169E-2</v>
      </c>
      <c r="AB140" s="42">
        <f>Funktional!AJ120</f>
        <v>3.574583525787943E-2</v>
      </c>
      <c r="AC140" s="42">
        <f>Funktional!AS120</f>
        <v>2.5304392059421824E-3</v>
      </c>
      <c r="AD140" s="42">
        <f>Funktional!AO120</f>
        <v>7.4118253251195818E-3</v>
      </c>
      <c r="AE140" s="202">
        <f>Funktional!AV120</f>
        <v>8.8191033903023297E-2</v>
      </c>
      <c r="AF140" s="172">
        <f>'Kennzahlen Revision'!C120</f>
        <v>-2.1999999999999999E-2</v>
      </c>
      <c r="AG140" s="42">
        <f>'Kennzahlen Revision'!D120</f>
        <v>-4.1399999999999999E-2</v>
      </c>
      <c r="AH140" s="42">
        <f>Artengliederung!AN120</f>
        <v>0.28617139832355665</v>
      </c>
      <c r="AI140" s="178" t="str">
        <f t="shared" si="26"/>
        <v>Wäldi</v>
      </c>
    </row>
    <row r="141" spans="1:35" x14ac:dyDescent="0.25">
      <c r="A141" s="41" t="str">
        <f>Funktional!A121</f>
        <v>Warth-Weiningen</v>
      </c>
      <c r="B141" s="41" t="str">
        <f>Funktional!B121</f>
        <v>PSG</v>
      </c>
      <c r="C141" s="352">
        <f>Funktional!D121</f>
        <v>113</v>
      </c>
      <c r="D141" s="348">
        <f>Funktional!G121</f>
        <v>9241.7535376827836</v>
      </c>
      <c r="E141" s="186">
        <f>Funktional!F121</f>
        <v>208863.62995163089</v>
      </c>
      <c r="F141" s="48">
        <f>Funktional!U121</f>
        <v>5587.5760114084851</v>
      </c>
      <c r="G141" s="48">
        <f>Funktional!T121</f>
        <v>126279.21785783177</v>
      </c>
      <c r="H141" s="48">
        <f>Artengliederung!R121</f>
        <v>242.28275891282044</v>
      </c>
      <c r="I141" s="186">
        <f>Artengliederung!Q121</f>
        <v>5475.5903514297415</v>
      </c>
      <c r="J141" s="48">
        <f>Funktional!Z121</f>
        <v>349.05868665301443</v>
      </c>
      <c r="K141" s="48">
        <f>Funktional!Y121</f>
        <v>7888.7263183581263</v>
      </c>
      <c r="L141" s="48">
        <f>'Kennzahlen Revision'!O121</f>
        <v>53.792970364362027</v>
      </c>
      <c r="M141" s="48">
        <f>'Kennzahlen Revision'!N121</f>
        <v>1215.7211302345818</v>
      </c>
      <c r="N141" s="80">
        <f>Funktional!AG121</f>
        <v>572.76260097521015</v>
      </c>
      <c r="O141" s="43">
        <f>Funktional!AF121</f>
        <v>12944.434782039749</v>
      </c>
      <c r="P141" s="43">
        <f>Funktional!AL121</f>
        <v>1732.5452788969847</v>
      </c>
      <c r="Q141" s="43">
        <f>Funktional!AK121</f>
        <v>39155.523303071852</v>
      </c>
      <c r="R141" s="80">
        <f>Funktional!AU121</f>
        <v>393.48583311198132</v>
      </c>
      <c r="S141" s="43">
        <f>Funktional!AT121</f>
        <v>8892.7798283307784</v>
      </c>
      <c r="T141" s="80">
        <f>Funktional!AQ121</f>
        <v>37.212261759880121</v>
      </c>
      <c r="U141" s="43">
        <f>Funktional!AP121</f>
        <v>840.99711577329072</v>
      </c>
      <c r="V141" s="80">
        <f t="shared" si="28"/>
        <v>569.11286487722793</v>
      </c>
      <c r="W141" s="183">
        <f t="shared" si="28"/>
        <v>12861.950746225328</v>
      </c>
      <c r="X141" s="172">
        <f>Funktional!S121</f>
        <v>0.60460127925132667</v>
      </c>
      <c r="Y141" s="42">
        <f>Funktional!X121</f>
        <v>3.7769746318135976E-2</v>
      </c>
      <c r="Z141" s="42">
        <f>'Kennzahlen Revision'!L121</f>
        <v>5.8206454159401575E-3</v>
      </c>
      <c r="AA141" s="42">
        <f>Funktional!AE121</f>
        <v>6.1975532959172686E-2</v>
      </c>
      <c r="AB141" s="42">
        <f>Funktional!AJ121</f>
        <v>0.18746932298428201</v>
      </c>
      <c r="AC141" s="42">
        <f>Funktional!AS121</f>
        <v>4.2576966752852989E-2</v>
      </c>
      <c r="AD141" s="42">
        <f>Funktional!AO121</f>
        <v>4.0265369129515302E-3</v>
      </c>
      <c r="AE141" s="202">
        <f>Funktional!AV121</f>
        <v>6.1580614821278155E-2</v>
      </c>
      <c r="AF141" s="172">
        <f>'Kennzahlen Revision'!C121</f>
        <v>5.96E-2</v>
      </c>
      <c r="AG141" s="42">
        <f>'Kennzahlen Revision'!D121</f>
        <v>2.3099999999999999E-2</v>
      </c>
      <c r="AH141" s="42">
        <f>Artengliederung!AN121</f>
        <v>3.2378816376816097E-2</v>
      </c>
      <c r="AI141" s="178" t="str">
        <f t="shared" si="26"/>
        <v>Warth-Weiningen</v>
      </c>
    </row>
    <row r="142" spans="1:35" x14ac:dyDescent="0.25">
      <c r="A142" s="41" t="str">
        <f>Funktional!A122</f>
        <v>Weinfelden</v>
      </c>
      <c r="B142" s="41" t="str">
        <f>Funktional!B122</f>
        <v>PSG</v>
      </c>
      <c r="C142" s="352">
        <f>Funktional!D122</f>
        <v>694</v>
      </c>
      <c r="D142" s="348">
        <f>Funktional!G122</f>
        <v>9068.2238244083219</v>
      </c>
      <c r="E142" s="186">
        <f>Funktional!F122</f>
        <v>190707.49497392049</v>
      </c>
      <c r="F142" s="48">
        <f>Funktional!U122</f>
        <v>7131.5952538720194</v>
      </c>
      <c r="G142" s="48">
        <f>Funktional!T122</f>
        <v>149979.60927839944</v>
      </c>
      <c r="H142" s="48">
        <f>Artengliederung!R122</f>
        <v>297.92681275535659</v>
      </c>
      <c r="I142" s="186">
        <f>Artengliederung!Q122</f>
        <v>6265.4911530974987</v>
      </c>
      <c r="J142" s="48">
        <f>Funktional!Z122</f>
        <v>512.8511274836394</v>
      </c>
      <c r="K142" s="48">
        <f>Funktional!Y122</f>
        <v>10785.414620413507</v>
      </c>
      <c r="L142" s="48">
        <f>'Kennzahlen Revision'!O122</f>
        <v>228.1665138430875</v>
      </c>
      <c r="M142" s="48">
        <f>'Kennzahlen Revision'!N122</f>
        <v>4798.4109274879611</v>
      </c>
      <c r="N142" s="80">
        <f>Funktional!AG122</f>
        <v>83.621235439875008</v>
      </c>
      <c r="O142" s="43">
        <f>Funktional!AF122</f>
        <v>1758.5799210688865</v>
      </c>
      <c r="P142" s="43">
        <f>Funktional!AL122</f>
        <v>614.31773186092255</v>
      </c>
      <c r="Q142" s="43">
        <f>Funktional!AK122</f>
        <v>12919.288057923643</v>
      </c>
      <c r="R142" s="80">
        <f>Funktional!AU122</f>
        <v>0</v>
      </c>
      <c r="S142" s="43">
        <f>Funktional!AT122</f>
        <v>0</v>
      </c>
      <c r="T142" s="80">
        <f>Funktional!AQ122</f>
        <v>41.766656841877683</v>
      </c>
      <c r="U142" s="43">
        <f>Funktional!AP122</f>
        <v>878.36544994736698</v>
      </c>
      <c r="V142" s="80">
        <f t="shared" si="28"/>
        <v>684.071818909988</v>
      </c>
      <c r="W142" s="183">
        <f t="shared" si="28"/>
        <v>14386.237646167649</v>
      </c>
      <c r="X142" s="172">
        <f>Funktional!S122</f>
        <v>0.78643793889122904</v>
      </c>
      <c r="Y142" s="42">
        <f>Funktional!X122</f>
        <v>5.6554749575460722E-2</v>
      </c>
      <c r="Z142" s="42">
        <f>'Kennzahlen Revision'!L122</f>
        <v>2.5161103018757344E-2</v>
      </c>
      <c r="AA142" s="42">
        <f>Funktional!AE122</f>
        <v>9.221346656089079E-3</v>
      </c>
      <c r="AB142" s="42">
        <f>Funktional!AJ122</f>
        <v>6.7743997474721027E-2</v>
      </c>
      <c r="AC142" s="42">
        <f>Funktional!AS122</f>
        <v>0</v>
      </c>
      <c r="AD142" s="42">
        <f>Funktional!AO122</f>
        <v>4.6058255343739097E-3</v>
      </c>
      <c r="AE142" s="202">
        <f>Funktional!AV122</f>
        <v>7.5436141868126222E-2</v>
      </c>
      <c r="AF142" s="172">
        <f>'Kennzahlen Revision'!C122</f>
        <v>-1.6E-2</v>
      </c>
      <c r="AG142" s="42">
        <f>'Kennzahlen Revision'!D122</f>
        <v>-2.3900000000000001E-2</v>
      </c>
      <c r="AH142" s="42">
        <f>Artengliederung!AN122</f>
        <v>2.0415659709334063E-2</v>
      </c>
      <c r="AI142" s="178" t="str">
        <f t="shared" si="26"/>
        <v>Weinfelden</v>
      </c>
    </row>
    <row r="143" spans="1:35" x14ac:dyDescent="0.25">
      <c r="A143" s="41" t="str">
        <f>Funktional!A123</f>
        <v>Wigoltingen</v>
      </c>
      <c r="B143" s="41" t="str">
        <f>Funktional!B123</f>
        <v>PSG</v>
      </c>
      <c r="C143" s="352">
        <f>Funktional!D123</f>
        <v>132</v>
      </c>
      <c r="D143" s="348">
        <f>Funktional!G123</f>
        <v>12577.307722826286</v>
      </c>
      <c r="E143" s="186">
        <f>Funktional!F123</f>
        <v>237172.08848758141</v>
      </c>
      <c r="F143" s="48">
        <f>Funktional!U123</f>
        <v>9016.9884493513891</v>
      </c>
      <c r="G143" s="48">
        <f>Funktional!T123</f>
        <v>170034.6393306262</v>
      </c>
      <c r="H143" s="48">
        <f>Artengliederung!R123</f>
        <v>404.92302712788376</v>
      </c>
      <c r="I143" s="186">
        <f>Artengliederung!Q123</f>
        <v>7635.6913686972357</v>
      </c>
      <c r="J143" s="48">
        <f>Funktional!Z123</f>
        <v>514.49338009026201</v>
      </c>
      <c r="K143" s="48">
        <f>Funktional!Y123</f>
        <v>9701.8751674163686</v>
      </c>
      <c r="L143" s="48">
        <f>'Kennzahlen Revision'!O123</f>
        <v>195.49607291934544</v>
      </c>
      <c r="M143" s="48">
        <f>'Kennzahlen Revision'!N123</f>
        <v>3686.4973750505137</v>
      </c>
      <c r="N143" s="80">
        <f>Funktional!AG123</f>
        <v>331.1547597986268</v>
      </c>
      <c r="O143" s="43">
        <f>Funktional!AF123</f>
        <v>6244.6326133455341</v>
      </c>
      <c r="P143" s="43">
        <f>Funktional!AL123</f>
        <v>1604.6025395343418</v>
      </c>
      <c r="Q143" s="43">
        <f>Funktional!AK123</f>
        <v>30258.2193169333</v>
      </c>
      <c r="R143" s="80">
        <f>Funktional!AU123</f>
        <v>493.04304436843222</v>
      </c>
      <c r="S143" s="43">
        <f>Funktional!AT123</f>
        <v>9297.3831223761499</v>
      </c>
      <c r="T143" s="80">
        <f>Funktional!AQ123</f>
        <v>31.409594134272442</v>
      </c>
      <c r="U143" s="43">
        <f>Funktional!AP123</f>
        <v>592.29520367485179</v>
      </c>
      <c r="V143" s="80">
        <f t="shared" si="28"/>
        <v>585.61595554896223</v>
      </c>
      <c r="W143" s="183">
        <f t="shared" si="28"/>
        <v>11043.043733209</v>
      </c>
      <c r="X143" s="172">
        <f>Funktional!S123</f>
        <v>0.71692516777550486</v>
      </c>
      <c r="Y143" s="42">
        <f>Funktional!X123</f>
        <v>4.0906479465117877E-2</v>
      </c>
      <c r="Z143" s="42">
        <f>'Kennzahlen Revision'!L123</f>
        <v>1.5543554886913022E-2</v>
      </c>
      <c r="AA143" s="42">
        <f>Funktional!AE123</f>
        <v>2.6329542625217087E-2</v>
      </c>
      <c r="AB143" s="42">
        <f>Funktional!AJ123</f>
        <v>0.12757917472450664</v>
      </c>
      <c r="AC143" s="42">
        <f>Funktional!AS123</f>
        <v>3.9201000343946336E-2</v>
      </c>
      <c r="AD143" s="42">
        <f>Funktional!AO123</f>
        <v>2.4973225452111537E-3</v>
      </c>
      <c r="AE143" s="202">
        <f>Funktional!AV123</f>
        <v>4.656131252049605E-2</v>
      </c>
      <c r="AF143" s="172">
        <f>'Kennzahlen Revision'!C123</f>
        <v>4.87E-2</v>
      </c>
      <c r="AG143" s="42">
        <f>'Kennzahlen Revision'!D123</f>
        <v>4.4900000000000002E-2</v>
      </c>
      <c r="AH143" s="42">
        <f>Artengliederung!AN123</f>
        <v>0.27192855417906159</v>
      </c>
      <c r="AI143" s="178" t="str">
        <f t="shared" ref="AI143:AI149" si="29">A143</f>
        <v>Wigoltingen</v>
      </c>
    </row>
    <row r="144" spans="1:35" x14ac:dyDescent="0.25">
      <c r="A144" s="41" t="str">
        <f>Funktional!A124</f>
        <v>Wilen bei Wil</v>
      </c>
      <c r="B144" s="41" t="str">
        <f>Funktional!B124</f>
        <v>PSG</v>
      </c>
      <c r="C144" s="352">
        <f>Funktional!D124</f>
        <v>163</v>
      </c>
      <c r="D144" s="348">
        <f>Funktional!G124</f>
        <v>9021.7273374849174</v>
      </c>
      <c r="E144" s="186">
        <f>Funktional!F124</f>
        <v>183817.6945012552</v>
      </c>
      <c r="F144" s="48">
        <f>Funktional!U124</f>
        <v>5754.3880625211723</v>
      </c>
      <c r="G144" s="48">
        <f>Funktional!T124</f>
        <v>117245.65677386889</v>
      </c>
      <c r="H144" s="48">
        <f>Artengliederung!R124</f>
        <v>267.986840068775</v>
      </c>
      <c r="I144" s="186">
        <f>Artengliederung!Q124</f>
        <v>5460.2318664012901</v>
      </c>
      <c r="J144" s="48">
        <f>Funktional!Z124</f>
        <v>458.25242577430572</v>
      </c>
      <c r="K144" s="48">
        <f>Funktional!Y124</f>
        <v>9336.8931751514792</v>
      </c>
      <c r="L144" s="48">
        <f>'Kennzahlen Revision'!O124</f>
        <v>147.06969324462318</v>
      </c>
      <c r="M144" s="48">
        <f>'Kennzahlen Revision'!N124</f>
        <v>2996.5449998591971</v>
      </c>
      <c r="N144" s="80">
        <f>Funktional!AG124</f>
        <v>466.55502299177829</v>
      </c>
      <c r="O144" s="43">
        <f>Funktional!AF124</f>
        <v>9506.0585934574829</v>
      </c>
      <c r="P144" s="43">
        <f>Funktional!AL124</f>
        <v>1140.6982961391743</v>
      </c>
      <c r="Q144" s="43">
        <f>Funktional!AK124</f>
        <v>23241.727783835675</v>
      </c>
      <c r="R144" s="80">
        <f>Funktional!AU124</f>
        <v>468.5035150516789</v>
      </c>
      <c r="S144" s="43">
        <f>Funktional!AT124</f>
        <v>9545.7591191779575</v>
      </c>
      <c r="T144" s="80">
        <f>Funktional!AQ124</f>
        <v>53.811028459578665</v>
      </c>
      <c r="U144" s="43">
        <f>Funktional!AP124</f>
        <v>1096.3997048639153</v>
      </c>
      <c r="V144" s="80">
        <f t="shared" si="28"/>
        <v>679.51898654722891</v>
      </c>
      <c r="W144" s="183">
        <f t="shared" si="28"/>
        <v>13845.199350899804</v>
      </c>
      <c r="X144" s="172">
        <f>Funktional!S124</f>
        <v>0.6378366190044249</v>
      </c>
      <c r="Y144" s="42">
        <f>Funktional!X124</f>
        <v>5.0794311181439185E-2</v>
      </c>
      <c r="Z144" s="42">
        <f>'Kennzahlen Revision'!L124</f>
        <v>1.6301722247086148E-2</v>
      </c>
      <c r="AA144" s="42">
        <f>Funktional!AE124</f>
        <v>5.1714600268760146E-2</v>
      </c>
      <c r="AB144" s="42">
        <f>Funktional!AJ124</f>
        <v>0.12643901256022427</v>
      </c>
      <c r="AC144" s="42">
        <f>Funktional!AS124</f>
        <v>5.1930577984225422E-2</v>
      </c>
      <c r="AD144" s="42">
        <f>Funktional!AO124</f>
        <v>5.9646037223931589E-3</v>
      </c>
      <c r="AE144" s="202">
        <f>Funktional!AV124</f>
        <v>7.5320275278532911E-2</v>
      </c>
      <c r="AF144" s="172">
        <f>'Kennzahlen Revision'!C124</f>
        <v>8.3900000000000002E-2</v>
      </c>
      <c r="AG144" s="42">
        <f>'Kennzahlen Revision'!D124</f>
        <v>4.0399999999999998E-2</v>
      </c>
      <c r="AH144" s="42">
        <f>Artengliederung!AN124</f>
        <v>0.19743005474087316</v>
      </c>
      <c r="AI144" s="178" t="str">
        <f t="shared" si="29"/>
        <v>Wilen bei Wil</v>
      </c>
    </row>
    <row r="145" spans="1:35" x14ac:dyDescent="0.25">
      <c r="A145" s="41" t="str">
        <f>Funktional!A125</f>
        <v>Wittenwil</v>
      </c>
      <c r="B145" s="41" t="str">
        <f>Funktional!B125</f>
        <v>PSG</v>
      </c>
      <c r="C145" s="352">
        <f>Funktional!D125</f>
        <v>38</v>
      </c>
      <c r="D145" s="348">
        <f>Funktional!G125</f>
        <v>9811.5274323748545</v>
      </c>
      <c r="E145" s="186">
        <f>Funktional!F125</f>
        <v>186419.02121512225</v>
      </c>
      <c r="F145" s="48">
        <f>Funktional!U125</f>
        <v>7069.3121083577726</v>
      </c>
      <c r="G145" s="48">
        <f>Funktional!T125</f>
        <v>134316.93005879768</v>
      </c>
      <c r="H145" s="48">
        <f>Artengliederung!R125</f>
        <v>315.07649880282668</v>
      </c>
      <c r="I145" s="186">
        <f>Artengliederung!Q125</f>
        <v>5986.4534772537072</v>
      </c>
      <c r="J145" s="48">
        <f>Funktional!Z125</f>
        <v>376.11500399838059</v>
      </c>
      <c r="K145" s="48">
        <f>Funktional!Y125</f>
        <v>7146.1850759692315</v>
      </c>
      <c r="L145" s="48">
        <f>'Kennzahlen Revision'!O125</f>
        <v>183.94755744533893</v>
      </c>
      <c r="M145" s="48">
        <f>'Kennzahlen Revision'!N125</f>
        <v>3495.0035914614396</v>
      </c>
      <c r="N145" s="80">
        <f>Funktional!AG125</f>
        <v>139.03013062729104</v>
      </c>
      <c r="O145" s="43">
        <f>Funktional!AF125</f>
        <v>2641.5724819185298</v>
      </c>
      <c r="P145" s="43">
        <f>Funktional!AL125</f>
        <v>1116.5092700285863</v>
      </c>
      <c r="Q145" s="43">
        <f>Funktional!AK125</f>
        <v>21213.676130543139</v>
      </c>
      <c r="R145" s="80">
        <f>Funktional!AU125</f>
        <v>378.49348869465058</v>
      </c>
      <c r="S145" s="43">
        <f>Funktional!AT125</f>
        <v>7191.3762851983611</v>
      </c>
      <c r="T145" s="80">
        <f>Funktional!AQ125</f>
        <v>27.486256825015438</v>
      </c>
      <c r="U145" s="43">
        <f>Funktional!AP125</f>
        <v>522.23887967529333</v>
      </c>
      <c r="V145" s="80">
        <f t="shared" si="28"/>
        <v>704.58117384315835</v>
      </c>
      <c r="W145" s="183">
        <f t="shared" si="28"/>
        <v>13387.042303020024</v>
      </c>
      <c r="X145" s="172">
        <f>Funktional!S125</f>
        <v>0.72051086409149068</v>
      </c>
      <c r="Y145" s="42">
        <f>Funktional!X125</f>
        <v>3.8333990970388893E-2</v>
      </c>
      <c r="Z145" s="42">
        <f>'Kennzahlen Revision'!L125</f>
        <v>1.8748106114280606E-2</v>
      </c>
      <c r="AA145" s="42">
        <f>Funktional!AE125</f>
        <v>1.4170080202653946E-2</v>
      </c>
      <c r="AB145" s="42">
        <f>Funktional!AJ125</f>
        <v>0.11379566308345306</v>
      </c>
      <c r="AC145" s="42">
        <f>Funktional!AS125</f>
        <v>3.8576408342471218E-2</v>
      </c>
      <c r="AD145" s="42">
        <f>Funktional!AO125</f>
        <v>2.8014248560646851E-3</v>
      </c>
      <c r="AE145" s="202">
        <f>Funktional!AV125</f>
        <v>7.1811568453477526E-2</v>
      </c>
      <c r="AF145" s="172">
        <f>'Kennzahlen Revision'!C125</f>
        <v>3.6999999999999998E-2</v>
      </c>
      <c r="AG145" s="42">
        <f>'Kennzahlen Revision'!D125</f>
        <v>2.07E-2</v>
      </c>
      <c r="AH145" s="42">
        <f>Artengliederung!AN125</f>
        <v>0.25550834617723933</v>
      </c>
      <c r="AI145" s="178" t="str">
        <f t="shared" si="29"/>
        <v>Wittenwil</v>
      </c>
    </row>
    <row r="146" spans="1:35" x14ac:dyDescent="0.25">
      <c r="A146" s="41" t="str">
        <f>Funktional!A126</f>
        <v>Wuppenau</v>
      </c>
      <c r="B146" s="41" t="str">
        <f>Funktional!B126</f>
        <v>PSG</v>
      </c>
      <c r="C146" s="352">
        <f>Funktional!D126</f>
        <v>131</v>
      </c>
      <c r="D146" s="348">
        <f>Funktional!G126</f>
        <v>10990.439587265762</v>
      </c>
      <c r="E146" s="186">
        <f>Funktional!F126</f>
        <v>239957.93098863584</v>
      </c>
      <c r="F146" s="48">
        <f>Funktional!U126</f>
        <v>7605.8749105356746</v>
      </c>
      <c r="G146" s="48">
        <f>Funktional!T126</f>
        <v>166061.60221336223</v>
      </c>
      <c r="H146" s="48">
        <f>Artengliederung!R126</f>
        <v>269.89095703976534</v>
      </c>
      <c r="I146" s="186">
        <f>Artengliederung!Q126</f>
        <v>5892.6192287015438</v>
      </c>
      <c r="J146" s="48">
        <f>Funktional!Z126</f>
        <v>270.65446698012357</v>
      </c>
      <c r="K146" s="48">
        <f>Funktional!Y126</f>
        <v>5909.2891957326974</v>
      </c>
      <c r="L146" s="48">
        <f>'Kennzahlen Revision'!O126</f>
        <v>127.66770604775267</v>
      </c>
      <c r="M146" s="48">
        <f>'Kennzahlen Revision'!N126</f>
        <v>2787.4115820426</v>
      </c>
      <c r="N146" s="80">
        <f>Funktional!AG126</f>
        <v>540.1984388858541</v>
      </c>
      <c r="O146" s="43">
        <f>Funktional!AF126</f>
        <v>11794.332582341149</v>
      </c>
      <c r="P146" s="43">
        <f>Funktional!AL126</f>
        <v>1544.3705638729732</v>
      </c>
      <c r="Q146" s="43">
        <f>Funktional!AK126</f>
        <v>33718.757311226582</v>
      </c>
      <c r="R146" s="80">
        <f>Funktional!AU126</f>
        <v>211.72440900055631</v>
      </c>
      <c r="S146" s="43">
        <f>Funktional!AT126</f>
        <v>4622.6495965121458</v>
      </c>
      <c r="T146" s="80">
        <f>Funktional!AQ126</f>
        <v>38.11879543896741</v>
      </c>
      <c r="U146" s="43">
        <f>Funktional!AP126</f>
        <v>832.26036708412175</v>
      </c>
      <c r="V146" s="80">
        <f t="shared" si="28"/>
        <v>779.49800255161301</v>
      </c>
      <c r="W146" s="183">
        <f t="shared" si="28"/>
        <v>17019.039722376911</v>
      </c>
      <c r="X146" s="172">
        <f>Funktional!S126</f>
        <v>0.69204464936492027</v>
      </c>
      <c r="Y146" s="42">
        <f>Funktional!X126</f>
        <v>2.4626355008922608E-2</v>
      </c>
      <c r="Z146" s="42">
        <f>'Kennzahlen Revision'!L126</f>
        <v>1.1616251109343868E-2</v>
      </c>
      <c r="AA146" s="42">
        <f>Funktional!AE126</f>
        <v>4.9151668101771205E-2</v>
      </c>
      <c r="AB146" s="42">
        <f>Funktional!AJ126</f>
        <v>0.14051945344045941</v>
      </c>
      <c r="AC146" s="42">
        <f>Funktional!AS126</f>
        <v>1.9264416797838909E-2</v>
      </c>
      <c r="AD146" s="42">
        <f>Funktional!AO126</f>
        <v>3.4683594897454619E-3</v>
      </c>
      <c r="AE146" s="202">
        <f>Funktional!AV126</f>
        <v>7.092509779634211E-2</v>
      </c>
      <c r="AF146" s="172">
        <f>'Kennzahlen Revision'!C126</f>
        <v>2.4899999999999999E-2</v>
      </c>
      <c r="AG146" s="42">
        <f>'Kennzahlen Revision'!D126</f>
        <v>-1.03E-2</v>
      </c>
      <c r="AH146" s="42">
        <f>Artengliederung!AN126</f>
        <v>0.5012048940239352</v>
      </c>
      <c r="AI146" s="178" t="str">
        <f t="shared" si="29"/>
        <v>Wuppenau</v>
      </c>
    </row>
    <row r="147" spans="1:35" x14ac:dyDescent="0.25">
      <c r="A147" s="41" t="str">
        <f>Funktional!A127</f>
        <v>Zezikon</v>
      </c>
      <c r="B147" s="41" t="str">
        <f>Funktional!B127</f>
        <v>PSG</v>
      </c>
      <c r="C147" s="352">
        <f>Funktional!D127</f>
        <v>41</v>
      </c>
      <c r="D147" s="348">
        <f>Funktional!G127</f>
        <v>11058.96707317073</v>
      </c>
      <c r="E147" s="186">
        <f>Funktional!F127</f>
        <v>226708.82499999998</v>
      </c>
      <c r="F147" s="48">
        <f>Funktional!U127</f>
        <v>7243.292682926829</v>
      </c>
      <c r="G147" s="48">
        <f>Funktional!T127</f>
        <v>148487.5</v>
      </c>
      <c r="H147" s="48">
        <f>Artengliederung!R127</f>
        <v>394.13292682926829</v>
      </c>
      <c r="I147" s="186">
        <f>Artengliederung!Q127</f>
        <v>8079.7250000000004</v>
      </c>
      <c r="J147" s="48">
        <f>Funktional!Z127</f>
        <v>463.84268292682924</v>
      </c>
      <c r="K147" s="48">
        <f>Funktional!Y127</f>
        <v>9508.7749999999996</v>
      </c>
      <c r="L147" s="48">
        <f>'Kennzahlen Revision'!O127</f>
        <v>236.07317073170731</v>
      </c>
      <c r="M147" s="48">
        <f>'Kennzahlen Revision'!N127</f>
        <v>4839.5</v>
      </c>
      <c r="N147" s="80">
        <f>Funktional!AG127</f>
        <v>848.07926829268297</v>
      </c>
      <c r="O147" s="43">
        <f>Funktional!AF127</f>
        <v>17385.625</v>
      </c>
      <c r="P147" s="43">
        <f>Funktional!AL127</f>
        <v>1448.6109756097562</v>
      </c>
      <c r="Q147" s="43">
        <f>Funktional!AK127</f>
        <v>29696.525000000001</v>
      </c>
      <c r="R147" s="80">
        <f>Funktional!AU127</f>
        <v>562.68292682926824</v>
      </c>
      <c r="S147" s="43">
        <f>Funktional!AT127</f>
        <v>11535</v>
      </c>
      <c r="T147" s="80">
        <f>Funktional!AQ127</f>
        <v>22.921951219512195</v>
      </c>
      <c r="U147" s="43">
        <f>Funktional!AP127</f>
        <v>469.9</v>
      </c>
      <c r="V147" s="80">
        <f t="shared" si="28"/>
        <v>469.5365853658522</v>
      </c>
      <c r="W147" s="183">
        <f t="shared" si="28"/>
        <v>9625.4999999999873</v>
      </c>
      <c r="X147" s="172">
        <f>Funktional!S127</f>
        <v>0.65497009214352375</v>
      </c>
      <c r="Y147" s="42">
        <f>Funktional!X127</f>
        <v>4.1942676911672937E-2</v>
      </c>
      <c r="Z147" s="42">
        <f>'Kennzahlen Revision'!L127</f>
        <v>2.1346764952797935E-2</v>
      </c>
      <c r="AA147" s="42">
        <f>Funktional!AE127</f>
        <v>7.6687023542202207E-2</v>
      </c>
      <c r="AB147" s="42">
        <f>Funktional!AJ127</f>
        <v>0.13098971775800966</v>
      </c>
      <c r="AC147" s="42">
        <f>Funktional!AS127</f>
        <v>5.0880242531361544E-2</v>
      </c>
      <c r="AD147" s="42">
        <f>Funktional!AO127</f>
        <v>2.0727027278272031E-3</v>
      </c>
      <c r="AE147" s="202">
        <f>Funktional!AV127</f>
        <v>4.2457544385402723E-2</v>
      </c>
      <c r="AF147" s="172">
        <f>'Kennzahlen Revision'!C127</f>
        <v>0.1</v>
      </c>
      <c r="AG147" s="42">
        <f>'Kennzahlen Revision'!D127</f>
        <v>6.3899999999999998E-2</v>
      </c>
      <c r="AH147" s="42">
        <f>Artengliederung!AN127</f>
        <v>0.55968928426143094</v>
      </c>
      <c r="AI147" s="178" t="str">
        <f t="shared" si="29"/>
        <v>Zezikon</v>
      </c>
    </row>
    <row r="148" spans="1:35" x14ac:dyDescent="0.25">
      <c r="A148" s="41" t="str">
        <f>Funktional!A128</f>
        <v>Zihlschlacht</v>
      </c>
      <c r="B148" s="41" t="str">
        <f>Funktional!B128</f>
        <v>PSG</v>
      </c>
      <c r="C148" s="352">
        <f>Funktional!D128</f>
        <v>97</v>
      </c>
      <c r="D148" s="348">
        <f>Funktional!G128</f>
        <v>11537.724078907368</v>
      </c>
      <c r="E148" s="186">
        <f>Funktional!F128</f>
        <v>223831.84713080293</v>
      </c>
      <c r="F148" s="48">
        <f>Funktional!U128</f>
        <v>7620.0280002333038</v>
      </c>
      <c r="G148" s="48">
        <f>Funktional!T128</f>
        <v>147828.5432045261</v>
      </c>
      <c r="H148" s="48">
        <f>Artengliederung!R128</f>
        <v>308.30250372589506</v>
      </c>
      <c r="I148" s="186">
        <f>Artengliederung!Q128</f>
        <v>5981.0685722823637</v>
      </c>
      <c r="J148" s="48">
        <f>Funktional!Z128</f>
        <v>435.30262998558766</v>
      </c>
      <c r="K148" s="48">
        <f>Funktional!Y128</f>
        <v>8444.8710217204007</v>
      </c>
      <c r="L148" s="48">
        <f>'Kennzahlen Revision'!O128</f>
        <v>165.52926098798048</v>
      </c>
      <c r="M148" s="48">
        <f>'Kennzahlen Revision'!N128</f>
        <v>3211.267663166821</v>
      </c>
      <c r="N148" s="80">
        <f>Funktional!AG128</f>
        <v>781.59229851392513</v>
      </c>
      <c r="O148" s="43">
        <f>Funktional!AF128</f>
        <v>15162.890591170148</v>
      </c>
      <c r="P148" s="43">
        <f>Funktional!AL128</f>
        <v>1850.9925751942528</v>
      </c>
      <c r="Q148" s="43">
        <f>Funktional!AK128</f>
        <v>35909.255958768503</v>
      </c>
      <c r="R148" s="80">
        <f>Funktional!AU128</f>
        <v>424.14476814861507</v>
      </c>
      <c r="S148" s="43">
        <f>Funktional!AT128</f>
        <v>8228.4085020831317</v>
      </c>
      <c r="T148" s="80">
        <f>Funktional!AQ128</f>
        <v>46.736619787124781</v>
      </c>
      <c r="U148" s="43">
        <f>Funktional!AP128</f>
        <v>906.69042387022068</v>
      </c>
      <c r="V148" s="80">
        <f t="shared" si="28"/>
        <v>378.92718704455825</v>
      </c>
      <c r="W148" s="183">
        <f t="shared" si="28"/>
        <v>7351.1874286644234</v>
      </c>
      <c r="X148" s="172">
        <f>Funktional!S128</f>
        <v>0.66044463779159179</v>
      </c>
      <c r="Y148" s="42">
        <f>Funktional!X128</f>
        <v>3.7728639288695069E-2</v>
      </c>
      <c r="Z148" s="42">
        <f>'Kennzahlen Revision'!L128</f>
        <v>1.4346786234088572E-2</v>
      </c>
      <c r="AA148" s="42">
        <f>Funktional!AE128</f>
        <v>6.7742328830933757E-2</v>
      </c>
      <c r="AB148" s="42">
        <f>Funktional!AJ128</f>
        <v>0.16042961008039147</v>
      </c>
      <c r="AC148" s="42">
        <f>Funktional!AS128</f>
        <v>3.6761562787240958E-2</v>
      </c>
      <c r="AD148" s="42">
        <f>Funktional!AO128</f>
        <v>4.0507659454749921E-3</v>
      </c>
      <c r="AE148" s="202">
        <f>Funktional!AV128</f>
        <v>3.2842455275671957E-2</v>
      </c>
      <c r="AF148" s="172">
        <f>'Kennzahlen Revision'!C128</f>
        <v>0.10249999999999999</v>
      </c>
      <c r="AG148" s="42">
        <f>'Kennzahlen Revision'!D128</f>
        <v>3.6999999999999998E-2</v>
      </c>
      <c r="AH148" s="42">
        <f>Artengliederung!AN128</f>
        <v>0.42665733507009324</v>
      </c>
      <c r="AI148" s="178" t="str">
        <f t="shared" si="29"/>
        <v>Zihlschlacht</v>
      </c>
    </row>
    <row r="149" spans="1:35" x14ac:dyDescent="0.25">
      <c r="A149" s="41" t="str">
        <f>Funktional!A129</f>
        <v>Zuben-Schönenbaumgarten</v>
      </c>
      <c r="B149" s="41" t="str">
        <f>Funktional!B129</f>
        <v>PSG</v>
      </c>
      <c r="C149" s="352">
        <f>Funktional!D129</f>
        <v>57</v>
      </c>
      <c r="D149" s="348">
        <f>Funktional!G129</f>
        <v>8095.2517543859658</v>
      </c>
      <c r="E149" s="186">
        <f>Funktional!F129</f>
        <v>184571.74000000002</v>
      </c>
      <c r="F149" s="48">
        <f>Funktional!U129</f>
        <v>5423.4570175438594</v>
      </c>
      <c r="G149" s="48">
        <f>Funktional!T129</f>
        <v>123654.81999999999</v>
      </c>
      <c r="H149" s="48">
        <f>Artengliederung!R129</f>
        <v>265.51842105263154</v>
      </c>
      <c r="I149" s="186">
        <f>Artengliederung!Q129</f>
        <v>6053.82</v>
      </c>
      <c r="J149" s="48">
        <f>Funktional!Z129</f>
        <v>474.02280701754387</v>
      </c>
      <c r="K149" s="48">
        <f>Funktional!Y129</f>
        <v>10807.72</v>
      </c>
      <c r="L149" s="48">
        <f>'Kennzahlen Revision'!O129</f>
        <v>216.14035087719299</v>
      </c>
      <c r="M149" s="48">
        <f>'Kennzahlen Revision'!N129</f>
        <v>4928</v>
      </c>
      <c r="N149" s="80">
        <f>Funktional!AG129</f>
        <v>404.90350877192981</v>
      </c>
      <c r="O149" s="43">
        <f>Funktional!AF129</f>
        <v>9231.7999999999993</v>
      </c>
      <c r="P149" s="43">
        <f>Funktional!AL129</f>
        <v>94.692982456140356</v>
      </c>
      <c r="Q149" s="43">
        <f>Funktional!AK129</f>
        <v>2159</v>
      </c>
      <c r="R149" s="80">
        <f>Funktional!AU129</f>
        <v>400.29736842105262</v>
      </c>
      <c r="S149" s="43">
        <f>Funktional!AT129</f>
        <v>9126.7800000000007</v>
      </c>
      <c r="T149" s="80">
        <f>Funktional!AQ129</f>
        <v>59.187719298245611</v>
      </c>
      <c r="U149" s="43">
        <f>Funktional!AP129</f>
        <v>1349.48</v>
      </c>
      <c r="V149" s="80">
        <f t="shared" si="28"/>
        <v>1238.6903508771941</v>
      </c>
      <c r="W149" s="183">
        <f t="shared" si="28"/>
        <v>28242.140000000025</v>
      </c>
      <c r="X149" s="172">
        <f>Funktional!S129</f>
        <v>0.66995532468838392</v>
      </c>
      <c r="Y149" s="42">
        <f>Funktional!X129</f>
        <v>5.8555659712586548E-2</v>
      </c>
      <c r="Z149" s="42">
        <f>'Kennzahlen Revision'!L129</f>
        <v>2.6699645351991586E-2</v>
      </c>
      <c r="AA149" s="42">
        <f>Funktional!AE129</f>
        <v>5.0017407865364433E-2</v>
      </c>
      <c r="AB149" s="42">
        <f>Funktional!AJ129</f>
        <v>1.1697348684040145E-2</v>
      </c>
      <c r="AC149" s="42">
        <f>Funktional!AS129</f>
        <v>4.9448415017380232E-2</v>
      </c>
      <c r="AD149" s="42">
        <f>Funktional!AO129</f>
        <v>7.3114118120141246E-3</v>
      </c>
      <c r="AE149" s="202">
        <f>Funktional!AV129</f>
        <v>0.15301443222023062</v>
      </c>
      <c r="AF149" s="172">
        <f>'Kennzahlen Revision'!C129</f>
        <v>6.5199999999999994E-2</v>
      </c>
      <c r="AG149" s="42">
        <f>'Kennzahlen Revision'!D129</f>
        <v>1.52E-2</v>
      </c>
      <c r="AH149" s="42">
        <f>Artengliederung!AN129</f>
        <v>0.47594501736831429</v>
      </c>
      <c r="AI149" s="178" t="str">
        <f t="shared" si="29"/>
        <v>Zuben-Schönenbaumgarten</v>
      </c>
    </row>
    <row r="150" spans="1:35" ht="24.75" customHeight="1" x14ac:dyDescent="0.25">
      <c r="A150" s="312" t="s">
        <v>42</v>
      </c>
      <c r="B150" s="312"/>
      <c r="C150" s="353">
        <f>C6</f>
        <v>19861</v>
      </c>
      <c r="D150" s="349">
        <f t="shared" ref="D150:AE150" si="30">D7</f>
        <v>7568.626819797717</v>
      </c>
      <c r="E150" s="314">
        <f t="shared" si="30"/>
        <v>157403.19977886596</v>
      </c>
      <c r="F150" s="313">
        <f t="shared" si="30"/>
        <v>4700.6710515693612</v>
      </c>
      <c r="G150" s="313">
        <f t="shared" si="30"/>
        <v>97758.904255855363</v>
      </c>
      <c r="H150" s="313">
        <f t="shared" si="30"/>
        <v>203.00653726807471</v>
      </c>
      <c r="I150" s="314">
        <f t="shared" si="30"/>
        <v>4221.8858589300326</v>
      </c>
      <c r="J150" s="313">
        <f t="shared" si="30"/>
        <v>363.50812048567207</v>
      </c>
      <c r="K150" s="313">
        <f t="shared" si="30"/>
        <v>7559.8047931732408</v>
      </c>
      <c r="L150" s="313">
        <f t="shared" si="30"/>
        <v>129.22714920036063</v>
      </c>
      <c r="M150" s="314">
        <f t="shared" si="30"/>
        <v>2687.5108611817277</v>
      </c>
      <c r="N150" s="313">
        <f t="shared" si="30"/>
        <v>516.58491406579935</v>
      </c>
      <c r="O150" s="313">
        <f t="shared" si="30"/>
        <v>10743.311880400059</v>
      </c>
      <c r="P150" s="313">
        <f t="shared" si="30"/>
        <v>706.54012373154478</v>
      </c>
      <c r="Q150" s="314">
        <f t="shared" si="30"/>
        <v>14693.771921294612</v>
      </c>
      <c r="R150" s="313">
        <f t="shared" si="30"/>
        <v>402.43620956948456</v>
      </c>
      <c r="S150" s="314">
        <f t="shared" si="30"/>
        <v>8369.3843812487157</v>
      </c>
      <c r="T150" s="313">
        <f t="shared" si="30"/>
        <v>27.10537978182543</v>
      </c>
      <c r="U150" s="314">
        <f t="shared" si="30"/>
        <v>563.70509611078046</v>
      </c>
      <c r="V150" s="313">
        <f t="shared" si="30"/>
        <v>851.78102059402977</v>
      </c>
      <c r="W150" s="320">
        <f t="shared" si="30"/>
        <v>17714.317450783194</v>
      </c>
      <c r="X150" s="317">
        <f t="shared" si="30"/>
        <v>0.62107317000668205</v>
      </c>
      <c r="Y150" s="317">
        <f t="shared" si="30"/>
        <v>4.8028278991748122E-2</v>
      </c>
      <c r="Z150" s="317">
        <f t="shared" si="30"/>
        <v>1.70740548156415E-2</v>
      </c>
      <c r="AA150" s="317">
        <f t="shared" si="30"/>
        <v>6.8253452887191757E-2</v>
      </c>
      <c r="AB150" s="317">
        <f t="shared" si="30"/>
        <v>9.335116402930646E-2</v>
      </c>
      <c r="AC150" s="317">
        <f t="shared" si="30"/>
        <v>5.3171627978381458E-2</v>
      </c>
      <c r="AD150" s="317">
        <f t="shared" si="30"/>
        <v>3.5812810470354072E-3</v>
      </c>
      <c r="AE150" s="318">
        <f t="shared" si="30"/>
        <v>0.11254102505965476</v>
      </c>
      <c r="AF150" s="321"/>
      <c r="AG150" s="321"/>
      <c r="AH150" s="321">
        <f>AH7</f>
        <v>0.18114514506678972</v>
      </c>
      <c r="AI150" s="319" t="s">
        <v>42</v>
      </c>
    </row>
    <row r="151" spans="1:35" x14ac:dyDescent="0.25">
      <c r="A151" s="41" t="str">
        <f>Funktional!A130</f>
        <v>Aadorf</v>
      </c>
      <c r="B151" s="41" t="str">
        <f>Funktional!B130</f>
        <v>KiGa</v>
      </c>
      <c r="C151" s="352">
        <f>Funktional!D130</f>
        <v>47</v>
      </c>
      <c r="D151" s="348">
        <f>Funktional!G130</f>
        <v>14943.606232511504</v>
      </c>
      <c r="E151" s="186">
        <f>Funktional!F130</f>
        <v>234116.49764268022</v>
      </c>
      <c r="F151" s="48">
        <f>Funktional!U130</f>
        <v>6681.2318285088331</v>
      </c>
      <c r="G151" s="48">
        <f>Funktional!T130</f>
        <v>104672.63197997172</v>
      </c>
      <c r="H151" s="48">
        <f>Artengliederung!R130</f>
        <v>357.53607997189124</v>
      </c>
      <c r="I151" s="186">
        <f>Artengliederung!Q130</f>
        <v>5601.3985862262962</v>
      </c>
      <c r="J151" s="48">
        <f>Funktional!Z130</f>
        <v>631.73589187258324</v>
      </c>
      <c r="K151" s="48">
        <f>Funktional!Y130</f>
        <v>9897.1956393371383</v>
      </c>
      <c r="L151" s="48">
        <f>'Kennzahlen Revision'!O130</f>
        <v>267.78538949228761</v>
      </c>
      <c r="M151" s="48">
        <f>'Kennzahlen Revision'!N130</f>
        <v>4195.3044353791729</v>
      </c>
      <c r="N151" s="80">
        <f>Funktional!AG130</f>
        <v>1593.9386556240563</v>
      </c>
      <c r="O151" s="43">
        <f>Funktional!AF130</f>
        <v>24971.705604776882</v>
      </c>
      <c r="P151" s="43">
        <f>Funktional!AL130</f>
        <v>1622.6589796301978</v>
      </c>
      <c r="Q151" s="43">
        <f>Funktional!AK130</f>
        <v>25421.657347539764</v>
      </c>
      <c r="R151" s="80">
        <f>Funktional!AU130</f>
        <v>1797.2830899668634</v>
      </c>
      <c r="S151" s="43">
        <f>Funktional!AT130</f>
        <v>28157.435076147525</v>
      </c>
      <c r="T151" s="80">
        <f>Funktional!AQ130</f>
        <v>32.229267361152424</v>
      </c>
      <c r="U151" s="43">
        <f>Funktional!AP130</f>
        <v>504.92518865805465</v>
      </c>
      <c r="V151" s="80">
        <f t="shared" ref="V151:W167" si="31">D151-F151-J151-N151-P151-R151-T151</f>
        <v>2584.5285195478177</v>
      </c>
      <c r="W151" s="183">
        <f t="shared" si="31"/>
        <v>40490.946806249143</v>
      </c>
      <c r="X151" s="172">
        <f>Funktional!S130</f>
        <v>0.44709635174761619</v>
      </c>
      <c r="Y151" s="42">
        <f>Funktional!X130</f>
        <v>4.2274661286120514E-2</v>
      </c>
      <c r="Z151" s="42">
        <f>'Kennzahlen Revision'!L130</f>
        <v>1.7919730038770041E-2</v>
      </c>
      <c r="AA151" s="42">
        <f>Funktional!AE130</f>
        <v>0.10666358781297801</v>
      </c>
      <c r="AB151" s="42">
        <f>Funktional!AJ130</f>
        <v>0.10858550167762851</v>
      </c>
      <c r="AC151" s="42">
        <f>Funktional!AS130</f>
        <v>0.1202710418089491</v>
      </c>
      <c r="AD151" s="42">
        <f>Funktional!AO130</f>
        <v>2.1567262185371301E-3</v>
      </c>
      <c r="AE151" s="202">
        <f>Funktional!AV130</f>
        <v>0.17295212944817051</v>
      </c>
      <c r="AF151" s="176"/>
      <c r="AG151" s="177"/>
      <c r="AH151" s="177">
        <f>Artengliederung!AN130</f>
        <v>0.28504499792276156</v>
      </c>
      <c r="AI151" s="178" t="str">
        <f t="shared" ref="AI151:AI167" si="32">A151</f>
        <v>Aadorf</v>
      </c>
    </row>
    <row r="152" spans="1:35" x14ac:dyDescent="0.25">
      <c r="A152" s="41" t="str">
        <f>Funktional!A131</f>
        <v>Affeltrangen</v>
      </c>
      <c r="B152" s="41" t="str">
        <f>Funktional!B131</f>
        <v>KiGa</v>
      </c>
      <c r="C152" s="352">
        <f>Funktional!D131</f>
        <v>20</v>
      </c>
      <c r="D152" s="348">
        <f>Funktional!G131</f>
        <v>17993.862346328195</v>
      </c>
      <c r="E152" s="186">
        <f>Funktional!F131</f>
        <v>359877.24692656391</v>
      </c>
      <c r="F152" s="48">
        <f>Funktional!U131</f>
        <v>7038.2700756602117</v>
      </c>
      <c r="G152" s="48">
        <f>Funktional!T131</f>
        <v>140765.40151320424</v>
      </c>
      <c r="H152" s="48">
        <f>Artengliederung!R131</f>
        <v>367.17695610673775</v>
      </c>
      <c r="I152" s="186">
        <f>Artengliederung!Q131</f>
        <v>7343.5391221347545</v>
      </c>
      <c r="J152" s="48">
        <f>Funktional!Z131</f>
        <v>717.64730612429889</v>
      </c>
      <c r="K152" s="48">
        <f>Funktional!Y131</f>
        <v>14352.946122485979</v>
      </c>
      <c r="L152" s="48">
        <f>'Kennzahlen Revision'!O131</f>
        <v>355.66020025062892</v>
      </c>
      <c r="M152" s="48">
        <f>'Kennzahlen Revision'!N131</f>
        <v>7113.2040050125779</v>
      </c>
      <c r="N152" s="80">
        <f>Funktional!AG131</f>
        <v>1409.6677715110732</v>
      </c>
      <c r="O152" s="43">
        <f>Funktional!AF131</f>
        <v>28193.355430221462</v>
      </c>
      <c r="P152" s="43">
        <f>Funktional!AL131</f>
        <v>1694.0446222632756</v>
      </c>
      <c r="Q152" s="43">
        <f>Funktional!AK131</f>
        <v>33880.892445265512</v>
      </c>
      <c r="R152" s="80">
        <f>Funktional!AU131</f>
        <v>1583.596386241594</v>
      </c>
      <c r="S152" s="43">
        <f>Funktional!AT131</f>
        <v>31671.927724831879</v>
      </c>
      <c r="T152" s="80">
        <f>Funktional!AQ131</f>
        <v>36.584964664252958</v>
      </c>
      <c r="U152" s="43">
        <f>Funktional!AP131</f>
        <v>731.69929328505918</v>
      </c>
      <c r="V152" s="80">
        <f t="shared" si="31"/>
        <v>5514.0512198634888</v>
      </c>
      <c r="W152" s="183">
        <f t="shared" si="31"/>
        <v>110281.02439726979</v>
      </c>
      <c r="X152" s="172">
        <f>Funktional!S131</f>
        <v>0.3911483782744638</v>
      </c>
      <c r="Y152" s="42">
        <f>Funktional!X131</f>
        <v>3.9882894084200947E-2</v>
      </c>
      <c r="Z152" s="42">
        <f>'Kennzahlen Revision'!L131</f>
        <v>1.9765639716767338E-2</v>
      </c>
      <c r="AA152" s="42">
        <f>Funktional!AE131</f>
        <v>7.8341589169638612E-2</v>
      </c>
      <c r="AB152" s="42">
        <f>Funktional!AJ131</f>
        <v>9.4145691995301956E-2</v>
      </c>
      <c r="AC152" s="42">
        <f>Funktional!AS131</f>
        <v>8.8007585906910116E-2</v>
      </c>
      <c r="AD152" s="42">
        <f>Funktional!AO131</f>
        <v>2.0331913160221791E-3</v>
      </c>
      <c r="AE152" s="202">
        <f>Funktional!AV131</f>
        <v>0.30644066925346231</v>
      </c>
      <c r="AF152" s="176"/>
      <c r="AG152" s="177"/>
      <c r="AH152" s="177">
        <f>Artengliederung!AN131</f>
        <v>0.27420943508348394</v>
      </c>
      <c r="AI152" s="178" t="str">
        <f t="shared" si="32"/>
        <v>Affeltrangen</v>
      </c>
    </row>
    <row r="153" spans="1:35" x14ac:dyDescent="0.25">
      <c r="A153" s="41" t="str">
        <f>Funktional!A132&amp;" (inkl. Altishausen)"</f>
        <v>Alterswilen (inkl. Altishausen)</v>
      </c>
      <c r="B153" s="41" t="str">
        <f>Funktional!B132</f>
        <v>KiGa</v>
      </c>
      <c r="C153" s="352">
        <f>Funktional!D132</f>
        <v>20</v>
      </c>
      <c r="D153" s="348">
        <f>Funktional!G132</f>
        <v>8635.5100586054741</v>
      </c>
      <c r="E153" s="186">
        <f>Funktional!F132</f>
        <v>172710.20117210949</v>
      </c>
      <c r="F153" s="48">
        <f>Funktional!U132</f>
        <v>4025.8127924106184</v>
      </c>
      <c r="G153" s="48">
        <f>Funktional!T132</f>
        <v>80516.255848212371</v>
      </c>
      <c r="H153" s="48">
        <f>Artengliederung!R132</f>
        <v>139.17936518473206</v>
      </c>
      <c r="I153" s="186">
        <f>Artengliederung!Q132</f>
        <v>2783.5873036946414</v>
      </c>
      <c r="J153" s="48">
        <f>Funktional!Z132</f>
        <v>292.57029231335844</v>
      </c>
      <c r="K153" s="48">
        <f>Funktional!Y132</f>
        <v>5851.4058462671683</v>
      </c>
      <c r="L153" s="48">
        <f>'Kennzahlen Revision'!O132</f>
        <v>133.22387723277768</v>
      </c>
      <c r="M153" s="48">
        <f>'Kennzahlen Revision'!N132</f>
        <v>2664.4775446555536</v>
      </c>
      <c r="N153" s="80">
        <f>Funktional!AG132</f>
        <v>742.59940768673368</v>
      </c>
      <c r="O153" s="43">
        <f>Funktional!AF132</f>
        <v>14851.988153734674</v>
      </c>
      <c r="P153" s="43">
        <f>Funktional!AL132</f>
        <v>32.878130342452501</v>
      </c>
      <c r="Q153" s="43">
        <f>Funktional!AK132</f>
        <v>657.56260684904998</v>
      </c>
      <c r="R153" s="80">
        <f>Funktional!AU132</f>
        <v>591.25746378994756</v>
      </c>
      <c r="S153" s="43">
        <f>Funktional!AT132</f>
        <v>11825.149275798951</v>
      </c>
      <c r="T153" s="80">
        <f>Funktional!AQ132</f>
        <v>42.592054190968263</v>
      </c>
      <c r="U153" s="43">
        <f>Funktional!AP132</f>
        <v>851.84108381936528</v>
      </c>
      <c r="V153" s="80">
        <f t="shared" si="31"/>
        <v>2907.7999178713953</v>
      </c>
      <c r="W153" s="183">
        <f t="shared" si="31"/>
        <v>58155.998357427918</v>
      </c>
      <c r="X153" s="172">
        <f>Funktional!S132</f>
        <v>0.46619282070070756</v>
      </c>
      <c r="Y153" s="42">
        <f>Funktional!X132</f>
        <v>3.3879908694195278E-2</v>
      </c>
      <c r="Z153" s="42">
        <f>'Kennzahlen Revision'!L132</f>
        <v>1.5427447403644347E-2</v>
      </c>
      <c r="AA153" s="42">
        <f>Funktional!AE132</f>
        <v>8.5993693788442432E-2</v>
      </c>
      <c r="AB153" s="42">
        <f>Funktional!AJ132</f>
        <v>3.8073177055348022E-3</v>
      </c>
      <c r="AC153" s="42">
        <f>Funktional!AS132</f>
        <v>6.8468157616323605E-2</v>
      </c>
      <c r="AD153" s="42">
        <f>Funktional!AO132</f>
        <v>4.9321990133662516E-3</v>
      </c>
      <c r="AE153" s="202">
        <f>Funktional!AV132</f>
        <v>0.33672590248142997</v>
      </c>
      <c r="AF153" s="176"/>
      <c r="AG153" s="177"/>
      <c r="AH153" s="177">
        <f>Artengliederung!AN132</f>
        <v>0.1582175973575515</v>
      </c>
      <c r="AI153" s="178" t="str">
        <f t="shared" si="32"/>
        <v>Alterswilen (inkl. Altishausen)</v>
      </c>
    </row>
    <row r="154" spans="1:35" hidden="1" x14ac:dyDescent="0.25">
      <c r="A154" s="41" t="str">
        <f>Funktional!A133</f>
        <v>Altishausen-Graltshausen</v>
      </c>
      <c r="B154" s="41" t="str">
        <f>Funktional!B133</f>
        <v>KiGa</v>
      </c>
      <c r="C154" s="352">
        <f>Funktional!D133</f>
        <v>0</v>
      </c>
      <c r="D154" s="348">
        <f>Funktional!G133</f>
        <v>0</v>
      </c>
      <c r="E154" s="186">
        <f>Funktional!F133</f>
        <v>0</v>
      </c>
      <c r="F154" s="48">
        <f>Funktional!U133</f>
        <v>0</v>
      </c>
      <c r="G154" s="48">
        <f>Funktional!T133</f>
        <v>0</v>
      </c>
      <c r="H154" s="48">
        <f>Artengliederung!R133</f>
        <v>0</v>
      </c>
      <c r="I154" s="186">
        <f>Artengliederung!Q133</f>
        <v>0</v>
      </c>
      <c r="J154" s="48">
        <f>Funktional!Z133</f>
        <v>0</v>
      </c>
      <c r="K154" s="48">
        <f>Funktional!Y133</f>
        <v>0</v>
      </c>
      <c r="L154" s="48">
        <f>'Kennzahlen Revision'!O133</f>
        <v>0</v>
      </c>
      <c r="M154" s="48">
        <f>'Kennzahlen Revision'!N133</f>
        <v>0</v>
      </c>
      <c r="N154" s="80">
        <f>Funktional!AG133</f>
        <v>0</v>
      </c>
      <c r="O154" s="43">
        <f>Funktional!AF133</f>
        <v>0</v>
      </c>
      <c r="P154" s="43">
        <f>Funktional!AL133</f>
        <v>0</v>
      </c>
      <c r="Q154" s="43">
        <f>Funktional!AK133</f>
        <v>0</v>
      </c>
      <c r="R154" s="80">
        <f>Funktional!AU133</f>
        <v>0</v>
      </c>
      <c r="S154" s="43">
        <f>Funktional!AT133</f>
        <v>0</v>
      </c>
      <c r="T154" s="80">
        <f>Funktional!AQ133</f>
        <v>0</v>
      </c>
      <c r="U154" s="43">
        <f>Funktional!AP133</f>
        <v>0</v>
      </c>
      <c r="V154" s="80">
        <f t="shared" si="31"/>
        <v>0</v>
      </c>
      <c r="W154" s="183">
        <f t="shared" si="31"/>
        <v>0</v>
      </c>
      <c r="X154" s="172">
        <f>Funktional!S133</f>
        <v>0</v>
      </c>
      <c r="Y154" s="42">
        <f>Funktional!X133</f>
        <v>0</v>
      </c>
      <c r="Z154" s="42">
        <f>'Kennzahlen Revision'!L133</f>
        <v>0</v>
      </c>
      <c r="AA154" s="42">
        <f>Funktional!AE133</f>
        <v>0</v>
      </c>
      <c r="AB154" s="42">
        <f>Funktional!AJ133</f>
        <v>0</v>
      </c>
      <c r="AC154" s="42">
        <f>Funktional!AS133</f>
        <v>0</v>
      </c>
      <c r="AD154" s="42">
        <f>Funktional!AO133</f>
        <v>0</v>
      </c>
      <c r="AE154" s="202">
        <f>Funktional!AV133</f>
        <v>0</v>
      </c>
      <c r="AF154" s="176"/>
      <c r="AG154" s="177"/>
      <c r="AH154" s="177">
        <f>Artengliederung!AN133</f>
        <v>0</v>
      </c>
      <c r="AI154" s="178" t="str">
        <f t="shared" si="32"/>
        <v>Altishausen-Graltshausen</v>
      </c>
    </row>
    <row r="155" spans="1:35" x14ac:dyDescent="0.25">
      <c r="A155" s="41" t="str">
        <f>Funktional!A134</f>
        <v>Altnau</v>
      </c>
      <c r="B155" s="41" t="str">
        <f>Funktional!B134</f>
        <v>KiGa</v>
      </c>
      <c r="C155" s="352">
        <f>Funktional!D134</f>
        <v>34</v>
      </c>
      <c r="D155" s="348">
        <f>Funktional!G134</f>
        <v>11146.011913965991</v>
      </c>
      <c r="E155" s="186">
        <f>Funktional!F134</f>
        <v>189482.20253742184</v>
      </c>
      <c r="F155" s="48">
        <f>Funktional!U134</f>
        <v>6178.1578379818056</v>
      </c>
      <c r="G155" s="48">
        <f>Funktional!T134</f>
        <v>105028.6832456907</v>
      </c>
      <c r="H155" s="48">
        <f>Artengliederung!R134</f>
        <v>292.04192582817404</v>
      </c>
      <c r="I155" s="186">
        <f>Artengliederung!Q134</f>
        <v>4964.7127390789583</v>
      </c>
      <c r="J155" s="48">
        <f>Funktional!Z134</f>
        <v>392.08396583822321</v>
      </c>
      <c r="K155" s="48">
        <f>Funktional!Y134</f>
        <v>6665.4274192497942</v>
      </c>
      <c r="L155" s="48">
        <f>'Kennzahlen Revision'!O134</f>
        <v>130.32740740818531</v>
      </c>
      <c r="M155" s="48">
        <f>'Kennzahlen Revision'!N134</f>
        <v>2215.5659259391505</v>
      </c>
      <c r="N155" s="80">
        <f>Funktional!AG134</f>
        <v>1529.8021890000025</v>
      </c>
      <c r="O155" s="43">
        <f>Funktional!AF134</f>
        <v>26006.637213000042</v>
      </c>
      <c r="P155" s="43">
        <f>Funktional!AL134</f>
        <v>940.40524167663273</v>
      </c>
      <c r="Q155" s="43">
        <f>Funktional!AK134</f>
        <v>15986.889108502757</v>
      </c>
      <c r="R155" s="80">
        <f>Funktional!AU134</f>
        <v>1169.868130248507</v>
      </c>
      <c r="S155" s="43">
        <f>Funktional!AT134</f>
        <v>19887.758214224617</v>
      </c>
      <c r="T155" s="80">
        <f>Funktional!AQ134</f>
        <v>70.189273828242747</v>
      </c>
      <c r="U155" s="43">
        <f>Funktional!AP134</f>
        <v>1193.2176550801266</v>
      </c>
      <c r="V155" s="80">
        <f t="shared" si="31"/>
        <v>865.50527539257735</v>
      </c>
      <c r="W155" s="183">
        <f t="shared" si="31"/>
        <v>14713.589681673799</v>
      </c>
      <c r="X155" s="172">
        <f>Funktional!S134</f>
        <v>0.55429313064348629</v>
      </c>
      <c r="Y155" s="42">
        <f>Funktional!X134</f>
        <v>3.5177063228053855E-2</v>
      </c>
      <c r="Z155" s="42">
        <f>'Kennzahlen Revision'!L134</f>
        <v>1.1692738928879544E-2</v>
      </c>
      <c r="AA155" s="42">
        <f>Funktional!AE134</f>
        <v>0.13725108144583581</v>
      </c>
      <c r="AB155" s="42">
        <f>Funktional!AJ134</f>
        <v>8.4371454914587155E-2</v>
      </c>
      <c r="AC155" s="42">
        <f>Funktional!AS134</f>
        <v>0.10495844964804481</v>
      </c>
      <c r="AD155" s="42">
        <f>Funktional!AO134</f>
        <v>6.2972545130958769E-3</v>
      </c>
      <c r="AE155" s="202">
        <f>Funktional!AV134</f>
        <v>7.765156560689622E-2</v>
      </c>
      <c r="AF155" s="176"/>
      <c r="AG155" s="177"/>
      <c r="AH155" s="177">
        <f>Artengliederung!AN134</f>
        <v>0.19499776147656755</v>
      </c>
      <c r="AI155" s="178" t="str">
        <f t="shared" si="32"/>
        <v>Altnau</v>
      </c>
    </row>
    <row r="156" spans="1:35" x14ac:dyDescent="0.25">
      <c r="A156" s="41" t="str">
        <f>Funktional!A135</f>
        <v>Amlikon</v>
      </c>
      <c r="B156" s="41" t="str">
        <f>Funktional!B135</f>
        <v>KiGa</v>
      </c>
      <c r="C156" s="352">
        <f>Funktional!D135</f>
        <v>19</v>
      </c>
      <c r="D156" s="348">
        <f>Funktional!G135</f>
        <v>13039.833027977267</v>
      </c>
      <c r="E156" s="186">
        <f>Funktional!F135</f>
        <v>247756.82753156807</v>
      </c>
      <c r="F156" s="48">
        <f>Funktional!U135</f>
        <v>6313.8319979515991</v>
      </c>
      <c r="G156" s="48">
        <f>Funktional!T135</f>
        <v>119962.80796108038</v>
      </c>
      <c r="H156" s="48">
        <f>Artengliederung!R135</f>
        <v>248.64923871155989</v>
      </c>
      <c r="I156" s="186">
        <f>Artengliederung!Q135</f>
        <v>4724.3355355196381</v>
      </c>
      <c r="J156" s="48">
        <f>Funktional!Z135</f>
        <v>610.12871912955541</v>
      </c>
      <c r="K156" s="48">
        <f>Funktional!Y135</f>
        <v>11592.445663461553</v>
      </c>
      <c r="L156" s="48">
        <f>'Kennzahlen Revision'!O135</f>
        <v>215.85036122636518</v>
      </c>
      <c r="M156" s="48">
        <f>'Kennzahlen Revision'!N135</f>
        <v>4101.1568633009383</v>
      </c>
      <c r="N156" s="80">
        <f>Funktional!AG135</f>
        <v>1884.4525219073855</v>
      </c>
      <c r="O156" s="43">
        <f>Funktional!AF135</f>
        <v>35804.597916240324</v>
      </c>
      <c r="P156" s="43">
        <f>Funktional!AL135</f>
        <v>2112.2722007606008</v>
      </c>
      <c r="Q156" s="43">
        <f>Funktional!AK135</f>
        <v>40133.171814451416</v>
      </c>
      <c r="R156" s="80">
        <f>Funktional!AU135</f>
        <v>1066.8860710146464</v>
      </c>
      <c r="S156" s="43">
        <f>Funktional!AT135</f>
        <v>20270.835349278281</v>
      </c>
      <c r="T156" s="80">
        <f>Funktional!AQ135</f>
        <v>66.537949332269633</v>
      </c>
      <c r="U156" s="43">
        <f>Funktional!AP135</f>
        <v>1264.2210373131231</v>
      </c>
      <c r="V156" s="80">
        <f t="shared" si="31"/>
        <v>985.72356788121056</v>
      </c>
      <c r="W156" s="183">
        <f t="shared" si="31"/>
        <v>18728.747789742989</v>
      </c>
      <c r="X156" s="172">
        <f>Funktional!S135</f>
        <v>0.48419577032966027</v>
      </c>
      <c r="Y156" s="42">
        <f>Funktional!X135</f>
        <v>4.6789611325582924E-2</v>
      </c>
      <c r="Z156" s="42">
        <f>'Kennzahlen Revision'!L135</f>
        <v>1.655315376839973E-2</v>
      </c>
      <c r="AA156" s="42">
        <f>Funktional!AE135</f>
        <v>0.14451508066585275</v>
      </c>
      <c r="AB156" s="42">
        <f>Funktional!AJ135</f>
        <v>0.16198613864369824</v>
      </c>
      <c r="AC156" s="42">
        <f>Funktional!AS135</f>
        <v>8.1817464128997458E-2</v>
      </c>
      <c r="AD156" s="42">
        <f>Funktional!AO135</f>
        <v>5.1026688140492988E-3</v>
      </c>
      <c r="AE156" s="202">
        <f>Funktional!AV135</f>
        <v>7.5593266092159106E-2</v>
      </c>
      <c r="AF156" s="176"/>
      <c r="AG156" s="177"/>
      <c r="AH156" s="177">
        <f>Artengliederung!AN135</f>
        <v>0.19195397883700516</v>
      </c>
      <c r="AI156" s="178" t="str">
        <f t="shared" si="32"/>
        <v>Amlikon</v>
      </c>
    </row>
    <row r="157" spans="1:35" x14ac:dyDescent="0.25">
      <c r="A157" s="41" t="str">
        <f>Funktional!A136</f>
        <v>Amriswil</v>
      </c>
      <c r="B157" s="41" t="str">
        <f>Funktional!B136</f>
        <v>KiGa</v>
      </c>
      <c r="C157" s="352">
        <f>Funktional!D136</f>
        <v>210</v>
      </c>
      <c r="D157" s="348">
        <f>Funktional!G136</f>
        <v>7631.0360564275798</v>
      </c>
      <c r="E157" s="186">
        <f>Funktional!F136</f>
        <v>152620.72112855161</v>
      </c>
      <c r="F157" s="48">
        <f>Funktional!U136</f>
        <v>4447.402747746276</v>
      </c>
      <c r="G157" s="48">
        <f>Funktional!T136</f>
        <v>88948.054954925523</v>
      </c>
      <c r="H157" s="48">
        <f>Artengliederung!R136</f>
        <v>84.965132723921215</v>
      </c>
      <c r="I157" s="186">
        <f>Artengliederung!Q136</f>
        <v>1699.3026544784243</v>
      </c>
      <c r="J157" s="48">
        <f>Funktional!Z136</f>
        <v>443.04358121575302</v>
      </c>
      <c r="K157" s="48">
        <f>Funktional!Y136</f>
        <v>8860.8716243150611</v>
      </c>
      <c r="L157" s="48">
        <f>'Kennzahlen Revision'!O136</f>
        <v>226.07389891522936</v>
      </c>
      <c r="M157" s="48">
        <f>'Kennzahlen Revision'!N136</f>
        <v>4521.4779783045869</v>
      </c>
      <c r="N157" s="80">
        <f>Funktional!AG136</f>
        <v>489.72736414090582</v>
      </c>
      <c r="O157" s="43">
        <f>Funktional!AF136</f>
        <v>9794.5472828181155</v>
      </c>
      <c r="P157" s="43">
        <f>Funktional!AL136</f>
        <v>737.72759787091275</v>
      </c>
      <c r="Q157" s="43">
        <f>Funktional!AK136</f>
        <v>14754.551957418254</v>
      </c>
      <c r="R157" s="80">
        <f>Funktional!AU136</f>
        <v>546.92051138519616</v>
      </c>
      <c r="S157" s="43">
        <f>Funktional!AT136</f>
        <v>10938.410227703924</v>
      </c>
      <c r="T157" s="80">
        <f>Funktional!AQ136</f>
        <v>36.486716732076147</v>
      </c>
      <c r="U157" s="43">
        <f>Funktional!AP136</f>
        <v>729.73433464152288</v>
      </c>
      <c r="V157" s="80">
        <f t="shared" si="31"/>
        <v>929.72753733646027</v>
      </c>
      <c r="W157" s="183">
        <f t="shared" si="31"/>
        <v>18594.550746729208</v>
      </c>
      <c r="X157" s="172">
        <f>Funktional!S136</f>
        <v>0.58280457789217921</v>
      </c>
      <c r="Y157" s="42">
        <f>Funktional!X136</f>
        <v>5.8058116609550001E-2</v>
      </c>
      <c r="Z157" s="42">
        <f>'Kennzahlen Revision'!L136</f>
        <v>2.9625583897589965E-2</v>
      </c>
      <c r="AA157" s="42">
        <f>Funktional!AE136</f>
        <v>6.4175737150188289E-2</v>
      </c>
      <c r="AB157" s="42">
        <f>Funktional!AJ136</f>
        <v>9.6674631388948662E-2</v>
      </c>
      <c r="AC157" s="42">
        <f>Funktional!AS136</f>
        <v>7.1670544778061701E-2</v>
      </c>
      <c r="AD157" s="42">
        <f>Funktional!AO136</f>
        <v>4.7813581880986637E-3</v>
      </c>
      <c r="AE157" s="202">
        <f>Funktional!AV136</f>
        <v>0.12183503399297346</v>
      </c>
      <c r="AF157" s="176"/>
      <c r="AG157" s="177"/>
      <c r="AH157" s="177">
        <f>Artengliederung!AN136</f>
        <v>0.2754143345052662</v>
      </c>
      <c r="AI157" s="178" t="str">
        <f t="shared" si="32"/>
        <v>Amriswil</v>
      </c>
    </row>
    <row r="158" spans="1:35" hidden="1" x14ac:dyDescent="0.25">
      <c r="A158" s="41" t="str">
        <f>Funktional!A137</f>
        <v>Au</v>
      </c>
      <c r="B158" s="41" t="str">
        <f>Funktional!B137</f>
        <v>KiGa</v>
      </c>
      <c r="C158" s="352">
        <f>Funktional!D137</f>
        <v>0</v>
      </c>
      <c r="D158" s="348">
        <f>Funktional!G137</f>
        <v>0</v>
      </c>
      <c r="E158" s="186">
        <f>Funktional!F137</f>
        <v>0</v>
      </c>
      <c r="F158" s="48">
        <f>Funktional!U137</f>
        <v>0</v>
      </c>
      <c r="G158" s="48">
        <f>Funktional!T137</f>
        <v>0</v>
      </c>
      <c r="H158" s="48">
        <f>Artengliederung!R137</f>
        <v>0</v>
      </c>
      <c r="I158" s="186">
        <f>Artengliederung!Q137</f>
        <v>0</v>
      </c>
      <c r="J158" s="48">
        <f>Funktional!Z137</f>
        <v>0</v>
      </c>
      <c r="K158" s="48">
        <f>Funktional!Y137</f>
        <v>0</v>
      </c>
      <c r="L158" s="48">
        <f>'Kennzahlen Revision'!O137</f>
        <v>0</v>
      </c>
      <c r="M158" s="48">
        <f>'Kennzahlen Revision'!N137</f>
        <v>0</v>
      </c>
      <c r="N158" s="80">
        <f>Funktional!AG137</f>
        <v>0</v>
      </c>
      <c r="O158" s="43">
        <f>Funktional!AF137</f>
        <v>0</v>
      </c>
      <c r="P158" s="43">
        <f>Funktional!AL137</f>
        <v>0</v>
      </c>
      <c r="Q158" s="43">
        <f>Funktional!AK137</f>
        <v>0</v>
      </c>
      <c r="R158" s="80">
        <f>Funktional!AU137</f>
        <v>0</v>
      </c>
      <c r="S158" s="43">
        <f>Funktional!AT137</f>
        <v>0</v>
      </c>
      <c r="T158" s="80">
        <f>Funktional!AQ137</f>
        <v>0</v>
      </c>
      <c r="U158" s="43">
        <f>Funktional!AP137</f>
        <v>0</v>
      </c>
      <c r="V158" s="80">
        <f t="shared" si="31"/>
        <v>0</v>
      </c>
      <c r="W158" s="183">
        <f t="shared" si="31"/>
        <v>0</v>
      </c>
      <c r="X158" s="172">
        <f>Funktional!S137</f>
        <v>0</v>
      </c>
      <c r="Y158" s="42">
        <f>Funktional!X137</f>
        <v>0</v>
      </c>
      <c r="Z158" s="42">
        <f>'Kennzahlen Revision'!L137</f>
        <v>0</v>
      </c>
      <c r="AA158" s="42">
        <f>Funktional!AE137</f>
        <v>0</v>
      </c>
      <c r="AB158" s="42">
        <f>Funktional!AJ137</f>
        <v>0</v>
      </c>
      <c r="AC158" s="42">
        <f>Funktional!AS137</f>
        <v>0</v>
      </c>
      <c r="AD158" s="42">
        <f>Funktional!AO137</f>
        <v>0</v>
      </c>
      <c r="AE158" s="202">
        <f>Funktional!AV137</f>
        <v>0</v>
      </c>
      <c r="AF158" s="176"/>
      <c r="AG158" s="177"/>
      <c r="AH158" s="177">
        <f>Artengliederung!AN137</f>
        <v>0</v>
      </c>
      <c r="AI158" s="178" t="str">
        <f t="shared" si="32"/>
        <v>Au</v>
      </c>
    </row>
    <row r="159" spans="1:35" x14ac:dyDescent="0.25">
      <c r="A159" s="41" t="str">
        <f>Funktional!A138</f>
        <v>Balterswil</v>
      </c>
      <c r="B159" s="41" t="str">
        <f>Funktional!B138</f>
        <v>KiGa</v>
      </c>
      <c r="C159" s="352">
        <f>Funktional!D138</f>
        <v>40</v>
      </c>
      <c r="D159" s="348">
        <f>Funktional!G138</f>
        <v>6362.3164504549768</v>
      </c>
      <c r="E159" s="186">
        <f>Funktional!F138</f>
        <v>127246.32900909953</v>
      </c>
      <c r="F159" s="48">
        <f>Funktional!U138</f>
        <v>3763.2225472294799</v>
      </c>
      <c r="G159" s="48">
        <f>Funktional!T138</f>
        <v>75264.450944589596</v>
      </c>
      <c r="H159" s="48">
        <f>Artengliederung!R138</f>
        <v>175.1311299227487</v>
      </c>
      <c r="I159" s="186">
        <f>Artengliederung!Q138</f>
        <v>3502.6225984549737</v>
      </c>
      <c r="J159" s="48">
        <f>Funktional!Z138</f>
        <v>341.4207325975641</v>
      </c>
      <c r="K159" s="48">
        <f>Funktional!Y138</f>
        <v>6828.4146519512815</v>
      </c>
      <c r="L159" s="48">
        <f>'Kennzahlen Revision'!O138</f>
        <v>147.90366113952558</v>
      </c>
      <c r="M159" s="48">
        <f>'Kennzahlen Revision'!N138</f>
        <v>2958.0732227905114</v>
      </c>
      <c r="N159" s="80">
        <f>Funktional!AG138</f>
        <v>941.53501258504002</v>
      </c>
      <c r="O159" s="43">
        <f>Funktional!AF138</f>
        <v>18830.7002517008</v>
      </c>
      <c r="P159" s="43">
        <f>Funktional!AL138</f>
        <v>567.92327462409378</v>
      </c>
      <c r="Q159" s="43">
        <f>Funktional!AK138</f>
        <v>11358.465492481875</v>
      </c>
      <c r="R159" s="80">
        <f>Funktional!AU138</f>
        <v>633.12791330369419</v>
      </c>
      <c r="S159" s="43">
        <f>Funktional!AT138</f>
        <v>12662.558266073884</v>
      </c>
      <c r="T159" s="80">
        <f>Funktional!AQ138</f>
        <v>14.09634147766003</v>
      </c>
      <c r="U159" s="43">
        <f>Funktional!AP138</f>
        <v>281.92682955320061</v>
      </c>
      <c r="V159" s="80">
        <f t="shared" si="31"/>
        <v>100.99062863744489</v>
      </c>
      <c r="W159" s="183">
        <f t="shared" si="31"/>
        <v>2019.8125727488928</v>
      </c>
      <c r="X159" s="172">
        <f>Funktional!S138</f>
        <v>0.59148622620938129</v>
      </c>
      <c r="Y159" s="42">
        <f>Funktional!X138</f>
        <v>5.3662959907181083E-2</v>
      </c>
      <c r="Z159" s="42">
        <f>'Kennzahlen Revision'!L138</f>
        <v>2.3246825632030423E-2</v>
      </c>
      <c r="AA159" s="42">
        <f>Funktional!AE138</f>
        <v>0.1479861965240207</v>
      </c>
      <c r="AB159" s="42">
        <f>Funktional!AJ138</f>
        <v>8.9263600615697283E-2</v>
      </c>
      <c r="AC159" s="42">
        <f>Funktional!AS138</f>
        <v>9.9512169542968668E-2</v>
      </c>
      <c r="AD159" s="42">
        <f>Funktional!AO138</f>
        <v>2.2155989233531423E-3</v>
      </c>
      <c r="AE159" s="202">
        <f>Funktional!AV138</f>
        <v>1.5873248277397861E-2</v>
      </c>
      <c r="AF159" s="176"/>
      <c r="AG159" s="177"/>
      <c r="AH159" s="177">
        <f>Artengliederung!AN138</f>
        <v>0.21634405995316092</v>
      </c>
      <c r="AI159" s="178" t="str">
        <f t="shared" si="32"/>
        <v>Balterswil</v>
      </c>
    </row>
    <row r="160" spans="1:35" x14ac:dyDescent="0.25">
      <c r="A160" s="41" t="str">
        <f>Funktional!A139</f>
        <v xml:space="preserve">Basadingen-Willisdorf </v>
      </c>
      <c r="B160" s="41" t="str">
        <f>Funktional!B139</f>
        <v>KiGa</v>
      </c>
      <c r="C160" s="352">
        <f>Funktional!D139</f>
        <v>33</v>
      </c>
      <c r="D160" s="348">
        <f>Funktional!G139</f>
        <v>6616.2512328157673</v>
      </c>
      <c r="E160" s="186">
        <f>Funktional!F139</f>
        <v>109168.14534146016</v>
      </c>
      <c r="F160" s="48">
        <f>Funktional!U139</f>
        <v>4807.5032226810654</v>
      </c>
      <c r="G160" s="48">
        <f>Funktional!T139</f>
        <v>79323.803174237575</v>
      </c>
      <c r="H160" s="48">
        <f>Artengliederung!R139</f>
        <v>224.35571940345875</v>
      </c>
      <c r="I160" s="186">
        <f>Artengliederung!Q139</f>
        <v>3701.8693701570692</v>
      </c>
      <c r="J160" s="48">
        <f>Funktional!Z139</f>
        <v>355.11816663998599</v>
      </c>
      <c r="K160" s="48">
        <f>Funktional!Y139</f>
        <v>5859.4497495597689</v>
      </c>
      <c r="L160" s="48">
        <f>'Kennzahlen Revision'!O139</f>
        <v>75.194489445644336</v>
      </c>
      <c r="M160" s="48">
        <f>'Kennzahlen Revision'!N139</f>
        <v>1240.7090758531315</v>
      </c>
      <c r="N160" s="80">
        <f>Funktional!AG139</f>
        <v>217.11446440619488</v>
      </c>
      <c r="O160" s="43">
        <f>Funktional!AF139</f>
        <v>3582.3886627022157</v>
      </c>
      <c r="P160" s="43">
        <f>Funktional!AL139</f>
        <v>517.15664539272893</v>
      </c>
      <c r="Q160" s="43">
        <f>Funktional!AK139</f>
        <v>8533.0846489800279</v>
      </c>
      <c r="R160" s="80">
        <f>Funktional!AU139</f>
        <v>350.26234774988001</v>
      </c>
      <c r="S160" s="43">
        <f>Funktional!AT139</f>
        <v>5779.3287378730201</v>
      </c>
      <c r="T160" s="80">
        <f>Funktional!AQ139</f>
        <v>65.193878985856387</v>
      </c>
      <c r="U160" s="43">
        <f>Funktional!AP139</f>
        <v>1075.6990032666304</v>
      </c>
      <c r="V160" s="80">
        <f t="shared" si="31"/>
        <v>303.90250696005575</v>
      </c>
      <c r="W160" s="183">
        <f t="shared" si="31"/>
        <v>5014.3913648409198</v>
      </c>
      <c r="X160" s="172">
        <f>Funktional!S139</f>
        <v>0.72662041592925897</v>
      </c>
      <c r="Y160" s="42">
        <f>Funktional!X139</f>
        <v>5.3673621835677116E-2</v>
      </c>
      <c r="Z160" s="42">
        <f>'Kennzahlen Revision'!L139</f>
        <v>1.1365120035449863E-2</v>
      </c>
      <c r="AA160" s="42">
        <f>Funktional!AE139</f>
        <v>3.2815329522152166E-2</v>
      </c>
      <c r="AB160" s="42">
        <f>Funktional!AJ139</f>
        <v>7.8164602158348764E-2</v>
      </c>
      <c r="AC160" s="42">
        <f>Funktional!AS139</f>
        <v>5.2939698845265004E-2</v>
      </c>
      <c r="AD160" s="42">
        <f>Funktional!AO139</f>
        <v>9.8535978595406127E-3</v>
      </c>
      <c r="AE160" s="202">
        <f>Funktional!AV139</f>
        <v>4.5932733849757365E-2</v>
      </c>
      <c r="AF160" s="176"/>
      <c r="AG160" s="177"/>
      <c r="AH160" s="177">
        <f>Artengliederung!AN139</f>
        <v>0.10064919272349934</v>
      </c>
      <c r="AI160" s="178" t="str">
        <f t="shared" si="32"/>
        <v xml:space="preserve">Basadingen-Willisdorf </v>
      </c>
    </row>
    <row r="161" spans="1:35" x14ac:dyDescent="0.25">
      <c r="A161" s="41" t="str">
        <f>Funktional!A140</f>
        <v>Berg</v>
      </c>
      <c r="B161" s="41" t="str">
        <f>Funktional!B140</f>
        <v>KiGa</v>
      </c>
      <c r="C161" s="352">
        <f>Funktional!D140</f>
        <v>55</v>
      </c>
      <c r="D161" s="348">
        <f>Funktional!G140</f>
        <v>6663.4127366699258</v>
      </c>
      <c r="E161" s="186">
        <f>Funktional!F140</f>
        <v>91621.925129211479</v>
      </c>
      <c r="F161" s="48">
        <f>Funktional!U140</f>
        <v>4546.5573081431303</v>
      </c>
      <c r="G161" s="48">
        <f>Funktional!T140</f>
        <v>62515.162986968047</v>
      </c>
      <c r="H161" s="48">
        <f>Artengliederung!R140</f>
        <v>224.77511138120445</v>
      </c>
      <c r="I161" s="186">
        <f>Artengliederung!Q140</f>
        <v>3090.6577814915613</v>
      </c>
      <c r="J161" s="48">
        <f>Funktional!Z140</f>
        <v>305.74478141980819</v>
      </c>
      <c r="K161" s="48">
        <f>Funktional!Y140</f>
        <v>4203.9907445223625</v>
      </c>
      <c r="L161" s="48">
        <f>'Kennzahlen Revision'!O140</f>
        <v>128.0398401548396</v>
      </c>
      <c r="M161" s="48">
        <f>'Kennzahlen Revision'!N140</f>
        <v>1760.5478021290444</v>
      </c>
      <c r="N161" s="80">
        <f>Funktional!AG140</f>
        <v>816.87894432589007</v>
      </c>
      <c r="O161" s="43">
        <f>Funktional!AF140</f>
        <v>11232.085484480989</v>
      </c>
      <c r="P161" s="43">
        <f>Funktional!AL140</f>
        <v>525.40225465898857</v>
      </c>
      <c r="Q161" s="43">
        <f>Funktional!AK140</f>
        <v>7224.281001561093</v>
      </c>
      <c r="R161" s="80">
        <f>Funktional!AU140</f>
        <v>179.61850693098981</v>
      </c>
      <c r="S161" s="43">
        <f>Funktional!AT140</f>
        <v>2469.7544703011099</v>
      </c>
      <c r="T161" s="80">
        <f>Funktional!AQ140</f>
        <v>37.155725925939578</v>
      </c>
      <c r="U161" s="43">
        <f>Funktional!AP140</f>
        <v>510.89123148166919</v>
      </c>
      <c r="V161" s="80">
        <f t="shared" si="31"/>
        <v>252.05521526517941</v>
      </c>
      <c r="W161" s="183">
        <f t="shared" si="31"/>
        <v>3465.7592098962082</v>
      </c>
      <c r="X161" s="172">
        <f>Funktional!S140</f>
        <v>0.68231662780284208</v>
      </c>
      <c r="Y161" s="42">
        <f>Funktional!X140</f>
        <v>4.5884112766606991E-2</v>
      </c>
      <c r="Z161" s="42">
        <f>'Kennzahlen Revision'!L140</f>
        <v>1.9215354836150843E-2</v>
      </c>
      <c r="AA161" s="42">
        <f>Funktional!AE140</f>
        <v>0.12259167735933006</v>
      </c>
      <c r="AB161" s="42">
        <f>Funktional!AJ140</f>
        <v>7.8848823481638478E-2</v>
      </c>
      <c r="AC161" s="42">
        <f>Funktional!AS140</f>
        <v>2.6955932947469657E-2</v>
      </c>
      <c r="AD161" s="42">
        <f>Funktional!AO140</f>
        <v>5.5760805152388531E-3</v>
      </c>
      <c r="AE161" s="202">
        <f>Funktional!AV140</f>
        <v>3.7826745126873909E-2</v>
      </c>
      <c r="AF161" s="176"/>
      <c r="AG161" s="177"/>
      <c r="AH161" s="177">
        <f>Artengliederung!AN140</f>
        <v>3.5446833289736024E-2</v>
      </c>
      <c r="AI161" s="178" t="str">
        <f t="shared" si="32"/>
        <v>Berg</v>
      </c>
    </row>
    <row r="162" spans="1:35" x14ac:dyDescent="0.25">
      <c r="A162" s="41" t="str">
        <f>Funktional!A141</f>
        <v>Berlingen</v>
      </c>
      <c r="B162" s="41" t="str">
        <f>Funktional!B141</f>
        <v>KiGa</v>
      </c>
      <c r="C162" s="352">
        <f>Funktional!D141</f>
        <v>12</v>
      </c>
      <c r="D162" s="348">
        <f>Funktional!G141</f>
        <v>15952.782111108805</v>
      </c>
      <c r="E162" s="186">
        <f>Funktional!F141</f>
        <v>191433.38533330566</v>
      </c>
      <c r="F162" s="48">
        <f>Funktional!U141</f>
        <v>9845.3734169938525</v>
      </c>
      <c r="G162" s="48">
        <f>Funktional!T141</f>
        <v>118144.48100392622</v>
      </c>
      <c r="H162" s="48">
        <f>Artengliederung!R141</f>
        <v>410.92470343230389</v>
      </c>
      <c r="I162" s="186">
        <f>Artengliederung!Q141</f>
        <v>4931.0964411876466</v>
      </c>
      <c r="J162" s="48">
        <f>Funktional!Z141</f>
        <v>1045.7149798884443</v>
      </c>
      <c r="K162" s="48">
        <f>Funktional!Y141</f>
        <v>12548.579758661332</v>
      </c>
      <c r="L162" s="48">
        <f>'Kennzahlen Revision'!O141</f>
        <v>332.96090647824491</v>
      </c>
      <c r="M162" s="48">
        <f>'Kennzahlen Revision'!N141</f>
        <v>3995.5308777389387</v>
      </c>
      <c r="N162" s="80">
        <f>Funktional!AG141</f>
        <v>62.177362971934365</v>
      </c>
      <c r="O162" s="43">
        <f>Funktional!AF141</f>
        <v>746.12835566321235</v>
      </c>
      <c r="P162" s="43">
        <f>Funktional!AL141</f>
        <v>894.01499555700332</v>
      </c>
      <c r="Q162" s="43">
        <f>Funktional!AK141</f>
        <v>10728.17994668404</v>
      </c>
      <c r="R162" s="80">
        <f>Funktional!AU141</f>
        <v>771.53461261058362</v>
      </c>
      <c r="S162" s="43">
        <f>Funktional!AT141</f>
        <v>9258.415351327003</v>
      </c>
      <c r="T162" s="80">
        <f>Funktional!AQ141</f>
        <v>160.65968970673168</v>
      </c>
      <c r="U162" s="43">
        <f>Funktional!AP141</f>
        <v>1927.9162764807802</v>
      </c>
      <c r="V162" s="80">
        <f t="shared" si="31"/>
        <v>3173.3070533802556</v>
      </c>
      <c r="W162" s="183">
        <f t="shared" si="31"/>
        <v>38079.684640563071</v>
      </c>
      <c r="X162" s="172">
        <f>Funktional!S141</f>
        <v>0.61715714214751127</v>
      </c>
      <c r="Y162" s="42">
        <f>Funktional!X141</f>
        <v>6.5550633902299399E-2</v>
      </c>
      <c r="Z162" s="42">
        <f>'Kennzahlen Revision'!L141</f>
        <v>2.08716513620772E-2</v>
      </c>
      <c r="AA162" s="42">
        <f>Funktional!AE141</f>
        <v>3.8975874263735368E-3</v>
      </c>
      <c r="AB162" s="42">
        <f>Funktional!AJ141</f>
        <v>5.6041321778879639E-2</v>
      </c>
      <c r="AC162" s="42">
        <f>Funktional!AS141</f>
        <v>4.8363640099699054E-2</v>
      </c>
      <c r="AD162" s="42">
        <f>Funktional!AO141</f>
        <v>1.0070951172514006E-2</v>
      </c>
      <c r="AE162" s="202">
        <f>Funktional!AV141</f>
        <v>0.19891872347272305</v>
      </c>
      <c r="AF162" s="176"/>
      <c r="AG162" s="177"/>
      <c r="AH162" s="177">
        <f>Artengliederung!AN141</f>
        <v>1.8266347457241299E-2</v>
      </c>
      <c r="AI162" s="178" t="str">
        <f t="shared" si="32"/>
        <v>Berlingen</v>
      </c>
    </row>
    <row r="163" spans="1:35" x14ac:dyDescent="0.25">
      <c r="A163" s="41" t="str">
        <f>Funktional!A142</f>
        <v>Bettwiesen</v>
      </c>
      <c r="B163" s="41" t="str">
        <f>Funktional!B142</f>
        <v>KiGa</v>
      </c>
      <c r="C163" s="352">
        <f>Funktional!D142</f>
        <v>32</v>
      </c>
      <c r="D163" s="348">
        <f>Funktional!G142</f>
        <v>8651.6873951522794</v>
      </c>
      <c r="E163" s="186">
        <f>Funktional!F142</f>
        <v>138426.99832243647</v>
      </c>
      <c r="F163" s="48">
        <f>Funktional!U142</f>
        <v>4741.7285337095718</v>
      </c>
      <c r="G163" s="48">
        <f>Funktional!T142</f>
        <v>75867.656539353149</v>
      </c>
      <c r="H163" s="48">
        <f>Artengliederung!R142</f>
        <v>253.12227854153369</v>
      </c>
      <c r="I163" s="186">
        <f>Artengliederung!Q142</f>
        <v>4049.956456664539</v>
      </c>
      <c r="J163" s="48">
        <f>Funktional!Z142</f>
        <v>304.72276713842251</v>
      </c>
      <c r="K163" s="48">
        <f>Funktional!Y142</f>
        <v>4875.5642742147602</v>
      </c>
      <c r="L163" s="48">
        <f>'Kennzahlen Revision'!O142</f>
        <v>112.33228978890774</v>
      </c>
      <c r="M163" s="48">
        <f>'Kennzahlen Revision'!N142</f>
        <v>1797.3166366225239</v>
      </c>
      <c r="N163" s="80">
        <f>Funktional!AG142</f>
        <v>1113.1027747943085</v>
      </c>
      <c r="O163" s="43">
        <f>Funktional!AF142</f>
        <v>17809.644396708936</v>
      </c>
      <c r="P163" s="43">
        <f>Funktional!AL142</f>
        <v>822.11900374322477</v>
      </c>
      <c r="Q163" s="43">
        <f>Funktional!AK142</f>
        <v>13153.904059891596</v>
      </c>
      <c r="R163" s="80">
        <f>Funktional!AU142</f>
        <v>1242.6550813553663</v>
      </c>
      <c r="S163" s="43">
        <f>Funktional!AT142</f>
        <v>19882.481301685861</v>
      </c>
      <c r="T163" s="80">
        <f>Funktional!AQ142</f>
        <v>15.313763420405088</v>
      </c>
      <c r="U163" s="43">
        <f>Funktional!AP142</f>
        <v>245.02021472648141</v>
      </c>
      <c r="V163" s="80">
        <f t="shared" si="31"/>
        <v>412.04547099098028</v>
      </c>
      <c r="W163" s="183">
        <f t="shared" si="31"/>
        <v>6592.7275358556844</v>
      </c>
      <c r="X163" s="172">
        <f>Funktional!S142</f>
        <v>0.54806979461214245</v>
      </c>
      <c r="Y163" s="42">
        <f>Funktional!X142</f>
        <v>3.5221194805208175E-2</v>
      </c>
      <c r="Z163" s="42">
        <f>'Kennzahlen Revision'!L142</f>
        <v>1.2983859062204428E-2</v>
      </c>
      <c r="AA163" s="42">
        <f>Funktional!AE142</f>
        <v>0.12865730394026986</v>
      </c>
      <c r="AB163" s="42">
        <f>Funktional!AJ142</f>
        <v>9.5024122601086489E-2</v>
      </c>
      <c r="AC163" s="42">
        <f>Funktional!AS142</f>
        <v>0.14363152811689103</v>
      </c>
      <c r="AD163" s="42">
        <f>Funktional!AO142</f>
        <v>1.7700319857818381E-3</v>
      </c>
      <c r="AE163" s="202">
        <f>Funktional!AV142</f>
        <v>4.7626023938620116E-2</v>
      </c>
      <c r="AF163" s="176"/>
      <c r="AG163" s="177"/>
      <c r="AH163" s="177">
        <f>Artengliederung!AN142</f>
        <v>0.46358473089166652</v>
      </c>
      <c r="AI163" s="178" t="str">
        <f t="shared" si="32"/>
        <v>Bettwiesen</v>
      </c>
    </row>
    <row r="164" spans="1:35" x14ac:dyDescent="0.25">
      <c r="A164" s="41" t="str">
        <f>Funktional!A143</f>
        <v>Bichelsee</v>
      </c>
      <c r="B164" s="41" t="str">
        <f>Funktional!B143</f>
        <v>KiGa</v>
      </c>
      <c r="C164" s="352">
        <f>Funktional!D143</f>
        <v>38</v>
      </c>
      <c r="D164" s="348">
        <f>Funktional!G143</f>
        <v>7706.4531086879369</v>
      </c>
      <c r="E164" s="186">
        <f>Funktional!F143</f>
        <v>146422.60906507081</v>
      </c>
      <c r="F164" s="48">
        <f>Funktional!U143</f>
        <v>4521.0936395772569</v>
      </c>
      <c r="G164" s="48">
        <f>Funktional!T143</f>
        <v>85900.779151967887</v>
      </c>
      <c r="H164" s="48">
        <f>Artengliederung!R143</f>
        <v>244.37166403634205</v>
      </c>
      <c r="I164" s="186">
        <f>Artengliederung!Q143</f>
        <v>4643.0616166904992</v>
      </c>
      <c r="J164" s="48">
        <f>Funktional!Z143</f>
        <v>526.61437712879444</v>
      </c>
      <c r="K164" s="48">
        <f>Funktional!Y143</f>
        <v>10005.673165447095</v>
      </c>
      <c r="L164" s="48">
        <f>'Kennzahlen Revision'!O143</f>
        <v>180.27065220307361</v>
      </c>
      <c r="M164" s="48">
        <f>'Kennzahlen Revision'!N143</f>
        <v>3425.1423918583987</v>
      </c>
      <c r="N164" s="80">
        <f>Funktional!AG143</f>
        <v>495.47839736536162</v>
      </c>
      <c r="O164" s="43">
        <f>Funktional!AF143</f>
        <v>9414.0895499418712</v>
      </c>
      <c r="P164" s="43">
        <f>Funktional!AL143</f>
        <v>1123.6151921487121</v>
      </c>
      <c r="Q164" s="43">
        <f>Funktional!AK143</f>
        <v>21348.68865082553</v>
      </c>
      <c r="R164" s="80">
        <f>Funktional!AU143</f>
        <v>654.60188410680075</v>
      </c>
      <c r="S164" s="43">
        <f>Funktional!AT143</f>
        <v>12437.435798029213</v>
      </c>
      <c r="T164" s="80">
        <f>Funktional!AQ143</f>
        <v>11.600737402489491</v>
      </c>
      <c r="U164" s="43">
        <f>Funktional!AP143</f>
        <v>220.41401064730033</v>
      </c>
      <c r="V164" s="80">
        <f t="shared" si="31"/>
        <v>373.44888095852173</v>
      </c>
      <c r="W164" s="183">
        <f t="shared" si="31"/>
        <v>7095.5287382119132</v>
      </c>
      <c r="X164" s="172">
        <f>Funktional!S143</f>
        <v>0.58666335547806847</v>
      </c>
      <c r="Y164" s="42">
        <f>Funktional!X143</f>
        <v>6.8334208967691143E-2</v>
      </c>
      <c r="Z164" s="42">
        <f>'Kennzahlen Revision'!L143</f>
        <v>2.3392168830540721E-2</v>
      </c>
      <c r="AA164" s="42">
        <f>Funktional!AE143</f>
        <v>6.4293961226699711E-2</v>
      </c>
      <c r="AB164" s="42">
        <f>Funktional!AJ143</f>
        <v>0.14580185933811687</v>
      </c>
      <c r="AC164" s="42">
        <f>Funktional!AS143</f>
        <v>8.4942044657201579E-2</v>
      </c>
      <c r="AD164" s="42">
        <f>Funktional!AO143</f>
        <v>1.5053277089834361E-3</v>
      </c>
      <c r="AE164" s="202">
        <f>Funktional!AV143</f>
        <v>4.8459242623238794E-2</v>
      </c>
      <c r="AF164" s="176"/>
      <c r="AG164" s="177"/>
      <c r="AH164" s="177">
        <f>Artengliederung!AN143</f>
        <v>0.18164126975469533</v>
      </c>
      <c r="AI164" s="178" t="str">
        <f t="shared" si="32"/>
        <v>Bichelsee</v>
      </c>
    </row>
    <row r="165" spans="1:35" x14ac:dyDescent="0.25">
      <c r="A165" s="41" t="str">
        <f>Funktional!A144</f>
        <v>Bischofszell</v>
      </c>
      <c r="B165" s="41" t="str">
        <f>Funktional!B144</f>
        <v>KiGa</v>
      </c>
      <c r="C165" s="352">
        <f>Funktional!D144</f>
        <v>85</v>
      </c>
      <c r="D165" s="348">
        <f>Funktional!G144</f>
        <v>7286.6993070858916</v>
      </c>
      <c r="E165" s="186">
        <f>Funktional!F144</f>
        <v>154842.36027557519</v>
      </c>
      <c r="F165" s="48">
        <f>Funktional!U144</f>
        <v>4418.8876438687903</v>
      </c>
      <c r="G165" s="48">
        <f>Funktional!T144</f>
        <v>93901.362432211798</v>
      </c>
      <c r="H165" s="48">
        <f>Artengliederung!R144</f>
        <v>172.91771394306201</v>
      </c>
      <c r="I165" s="186">
        <f>Artengliederung!Q144</f>
        <v>3674.5014212900678</v>
      </c>
      <c r="J165" s="48">
        <f>Funktional!Z144</f>
        <v>393.95648237111567</v>
      </c>
      <c r="K165" s="48">
        <f>Funktional!Y144</f>
        <v>8371.5752503862077</v>
      </c>
      <c r="L165" s="48">
        <f>'Kennzahlen Revision'!O144</f>
        <v>112.65016514109126</v>
      </c>
      <c r="M165" s="48">
        <f>'Kennzahlen Revision'!N144</f>
        <v>2393.8160092481894</v>
      </c>
      <c r="N165" s="80">
        <f>Funktional!AG144</f>
        <v>848.69301441234336</v>
      </c>
      <c r="O165" s="43">
        <f>Funktional!AF144</f>
        <v>18034.726556262296</v>
      </c>
      <c r="P165" s="43">
        <f>Funktional!AL144</f>
        <v>165.64833529641527</v>
      </c>
      <c r="Q165" s="43">
        <f>Funktional!AK144</f>
        <v>3520.0271250488245</v>
      </c>
      <c r="R165" s="80">
        <f>Funktional!AU144</f>
        <v>802.75436603816752</v>
      </c>
      <c r="S165" s="43">
        <f>Funktional!AT144</f>
        <v>17058.53027831106</v>
      </c>
      <c r="T165" s="80">
        <f>Funktional!AQ144</f>
        <v>12.26889437023315</v>
      </c>
      <c r="U165" s="43">
        <f>Funktional!AP144</f>
        <v>260.71400536745443</v>
      </c>
      <c r="V165" s="80">
        <f t="shared" si="31"/>
        <v>644.49057072882613</v>
      </c>
      <c r="W165" s="183">
        <f t="shared" si="31"/>
        <v>13695.424627987546</v>
      </c>
      <c r="X165" s="172">
        <f>Funktional!S144</f>
        <v>0.60643200132763531</v>
      </c>
      <c r="Y165" s="42">
        <f>Funktional!X144</f>
        <v>5.4065148809971597E-2</v>
      </c>
      <c r="Z165" s="42">
        <f>'Kennzahlen Revision'!L144</f>
        <v>1.545969723651771E-2</v>
      </c>
      <c r="AA165" s="42">
        <f>Funktional!AE144</f>
        <v>0.11647152965225815</v>
      </c>
      <c r="AB165" s="42">
        <f>Funktional!AJ144</f>
        <v>2.2732972545653405E-2</v>
      </c>
      <c r="AC165" s="42">
        <f>Funktional!AS144</f>
        <v>0.11016707732917366</v>
      </c>
      <c r="AD165" s="42">
        <f>Funktional!AO144</f>
        <v>1.6837382542054897E-3</v>
      </c>
      <c r="AE165" s="202">
        <f>Funktional!AV144</f>
        <v>8.844753208110237E-2</v>
      </c>
      <c r="AF165" s="176"/>
      <c r="AG165" s="177"/>
      <c r="AH165" s="177">
        <f>Artengliederung!AN144</f>
        <v>4.7101620145275858E-2</v>
      </c>
      <c r="AI165" s="178" t="str">
        <f t="shared" si="32"/>
        <v>Bischofszell</v>
      </c>
    </row>
    <row r="166" spans="1:35" hidden="1" x14ac:dyDescent="0.25">
      <c r="A166" s="41" t="str">
        <f>Funktional!A145</f>
        <v>Blidegg</v>
      </c>
      <c r="B166" s="41" t="str">
        <f>Funktional!B145</f>
        <v>KiGa</v>
      </c>
      <c r="C166" s="352">
        <f>Funktional!D145</f>
        <v>0</v>
      </c>
      <c r="D166" s="348">
        <f>Funktional!G145</f>
        <v>0</v>
      </c>
      <c r="E166" s="186">
        <f>Funktional!F145</f>
        <v>0</v>
      </c>
      <c r="F166" s="48">
        <f>Funktional!U145</f>
        <v>0</v>
      </c>
      <c r="G166" s="48">
        <f>Funktional!T145</f>
        <v>0</v>
      </c>
      <c r="H166" s="48">
        <f>Artengliederung!R145</f>
        <v>0</v>
      </c>
      <c r="I166" s="186">
        <f>Artengliederung!Q145</f>
        <v>0</v>
      </c>
      <c r="J166" s="48">
        <f>Funktional!Z145</f>
        <v>0</v>
      </c>
      <c r="K166" s="48">
        <f>Funktional!Y145</f>
        <v>0</v>
      </c>
      <c r="L166" s="48">
        <f>'Kennzahlen Revision'!O145</f>
        <v>0</v>
      </c>
      <c r="M166" s="48">
        <f>'Kennzahlen Revision'!N145</f>
        <v>0</v>
      </c>
      <c r="N166" s="80">
        <f>Funktional!AG145</f>
        <v>0</v>
      </c>
      <c r="O166" s="43">
        <f>Funktional!AF145</f>
        <v>0</v>
      </c>
      <c r="P166" s="43">
        <f>Funktional!AL145</f>
        <v>0</v>
      </c>
      <c r="Q166" s="43">
        <f>Funktional!AK145</f>
        <v>0</v>
      </c>
      <c r="R166" s="80">
        <f>Funktional!AU145</f>
        <v>0</v>
      </c>
      <c r="S166" s="43">
        <f>Funktional!AT145</f>
        <v>0</v>
      </c>
      <c r="T166" s="80">
        <f>Funktional!AQ145</f>
        <v>0</v>
      </c>
      <c r="U166" s="43">
        <f>Funktional!AP145</f>
        <v>0</v>
      </c>
      <c r="V166" s="80">
        <f t="shared" si="31"/>
        <v>0</v>
      </c>
      <c r="W166" s="183">
        <f t="shared" si="31"/>
        <v>0</v>
      </c>
      <c r="X166" s="172">
        <f>Funktional!S145</f>
        <v>0</v>
      </c>
      <c r="Y166" s="42">
        <f>Funktional!X145</f>
        <v>0</v>
      </c>
      <c r="Z166" s="42">
        <f>'Kennzahlen Revision'!L145</f>
        <v>0</v>
      </c>
      <c r="AA166" s="42">
        <f>Funktional!AE145</f>
        <v>0</v>
      </c>
      <c r="AB166" s="42">
        <f>Funktional!AJ145</f>
        <v>0</v>
      </c>
      <c r="AC166" s="42">
        <f>Funktional!AS145</f>
        <v>0</v>
      </c>
      <c r="AD166" s="42">
        <f>Funktional!AO145</f>
        <v>0</v>
      </c>
      <c r="AE166" s="202">
        <f>Funktional!AV145</f>
        <v>0</v>
      </c>
      <c r="AF166" s="176"/>
      <c r="AG166" s="177"/>
      <c r="AH166" s="177">
        <f>Artengliederung!AN145</f>
        <v>0</v>
      </c>
      <c r="AI166" s="178" t="str">
        <f t="shared" si="32"/>
        <v>Blidegg</v>
      </c>
    </row>
    <row r="167" spans="1:35" x14ac:dyDescent="0.25">
      <c r="A167" s="41" t="str">
        <f>Funktional!A146</f>
        <v>Bottighofen</v>
      </c>
      <c r="B167" s="41" t="str">
        <f>Funktional!B146</f>
        <v>KiGa</v>
      </c>
      <c r="C167" s="352">
        <f>Funktional!D146</f>
        <v>31</v>
      </c>
      <c r="D167" s="348">
        <f>Funktional!G146</f>
        <v>59023.859505874927</v>
      </c>
      <c r="E167" s="186">
        <f>Funktional!F146</f>
        <v>914869.82234106131</v>
      </c>
      <c r="F167" s="48">
        <f>Funktional!U146</f>
        <v>5535.6797869445609</v>
      </c>
      <c r="G167" s="48">
        <f>Funktional!T146</f>
        <v>85803.036697640695</v>
      </c>
      <c r="H167" s="48">
        <f>Artengliederung!R146</f>
        <v>337.27775220337861</v>
      </c>
      <c r="I167" s="186">
        <f>Artengliederung!Q146</f>
        <v>5227.8051591523681</v>
      </c>
      <c r="J167" s="48">
        <f>Funktional!Z146</f>
        <v>777.2780514845615</v>
      </c>
      <c r="K167" s="48">
        <f>Funktional!Y146</f>
        <v>12047.809798010703</v>
      </c>
      <c r="L167" s="48">
        <f>'Kennzahlen Revision'!O146</f>
        <v>177.2936776486639</v>
      </c>
      <c r="M167" s="48">
        <f>'Kennzahlen Revision'!N146</f>
        <v>2748.0520035542904</v>
      </c>
      <c r="N167" s="80">
        <f>Funktional!AG146</f>
        <v>1991.3534840195803</v>
      </c>
      <c r="O167" s="43">
        <f>Funktional!AF146</f>
        <v>30865.979002303495</v>
      </c>
      <c r="P167" s="43">
        <f>Funktional!AL146</f>
        <v>1734.1050674604028</v>
      </c>
      <c r="Q167" s="43">
        <f>Funktional!AK146</f>
        <v>26878.628545636242</v>
      </c>
      <c r="R167" s="80">
        <f>Funktional!AU146</f>
        <v>530.86955181125154</v>
      </c>
      <c r="S167" s="43">
        <f>Funktional!AT146</f>
        <v>8228.4780530743992</v>
      </c>
      <c r="T167" s="80">
        <f>Funktional!AQ146</f>
        <v>127.8667037360249</v>
      </c>
      <c r="U167" s="43">
        <f>Funktional!AP146</f>
        <v>1981.9339079083859</v>
      </c>
      <c r="V167" s="80">
        <f t="shared" si="31"/>
        <v>48326.706860418548</v>
      </c>
      <c r="W167" s="183">
        <f t="shared" si="31"/>
        <v>749063.95633648743</v>
      </c>
      <c r="X167" s="172">
        <f>Funktional!S146</f>
        <v>9.3787153759295736E-2</v>
      </c>
      <c r="Y167" s="42">
        <f>Funktional!X146</f>
        <v>1.3168878788876816E-2</v>
      </c>
      <c r="Z167" s="42">
        <f>'Kennzahlen Revision'!L146</f>
        <v>3.0037628703527431E-3</v>
      </c>
      <c r="AA167" s="42">
        <f>Funktional!AE146</f>
        <v>3.3738110328440513E-2</v>
      </c>
      <c r="AB167" s="42">
        <f>Funktional!AJ146</f>
        <v>2.9379730196867234E-2</v>
      </c>
      <c r="AC167" s="42">
        <f>Funktional!AS146</f>
        <v>8.994151793113624E-3</v>
      </c>
      <c r="AD167" s="42">
        <f>Funktional!AO146</f>
        <v>2.1663561957228116E-3</v>
      </c>
      <c r="AE167" s="202">
        <f>Funktional!AV146</f>
        <v>0.81876561893768329</v>
      </c>
      <c r="AF167" s="176"/>
      <c r="AG167" s="177"/>
      <c r="AH167" s="177">
        <f>Artengliederung!AN146</f>
        <v>2.2269402024125964E-3</v>
      </c>
      <c r="AI167" s="178" t="str">
        <f t="shared" si="32"/>
        <v>Bottighofen</v>
      </c>
    </row>
    <row r="168" spans="1:35" x14ac:dyDescent="0.25">
      <c r="A168" s="41" t="str">
        <f>Funktional!A147</f>
        <v>Braunau</v>
      </c>
      <c r="B168" s="41" t="str">
        <f>Funktional!B147</f>
        <v>KiGa</v>
      </c>
      <c r="C168" s="352">
        <f>Funktional!D147</f>
        <v>16</v>
      </c>
      <c r="D168" s="348">
        <f>Funktional!G147</f>
        <v>8935.5837004838304</v>
      </c>
      <c r="E168" s="186">
        <f>Funktional!F147</f>
        <v>142969.33920774129</v>
      </c>
      <c r="F168" s="48">
        <f>Funktional!U147</f>
        <v>6005.4236431410936</v>
      </c>
      <c r="G168" s="48">
        <f>Funktional!T147</f>
        <v>96086.778290257498</v>
      </c>
      <c r="H168" s="48">
        <f>Artengliederung!R147</f>
        <v>196.1446063803327</v>
      </c>
      <c r="I168" s="186">
        <f>Artengliederung!Q147</f>
        <v>3138.3137020853233</v>
      </c>
      <c r="J168" s="48">
        <f>Funktional!Z147</f>
        <v>407.4486783268643</v>
      </c>
      <c r="K168" s="48">
        <f>Funktional!Y147</f>
        <v>6519.1788532298287</v>
      </c>
      <c r="L168" s="48">
        <f>'Kennzahlen Revision'!O147</f>
        <v>160.42608499194372</v>
      </c>
      <c r="M168" s="48">
        <f>'Kennzahlen Revision'!N147</f>
        <v>2566.8173598710996</v>
      </c>
      <c r="N168" s="80">
        <f>Funktional!AG147</f>
        <v>708.03866069235073</v>
      </c>
      <c r="O168" s="43">
        <f>Funktional!AF147</f>
        <v>11328.618571077612</v>
      </c>
      <c r="P168" s="43">
        <f>Funktional!AL147</f>
        <v>500.60613386668786</v>
      </c>
      <c r="Q168" s="43">
        <f>Funktional!AK147</f>
        <v>8009.6981418670057</v>
      </c>
      <c r="R168" s="80">
        <f>Funktional!AU147</f>
        <v>464.6285856433949</v>
      </c>
      <c r="S168" s="43">
        <f>Funktional!AT147</f>
        <v>7434.0573702943184</v>
      </c>
      <c r="T168" s="80">
        <f>Funktional!AQ147</f>
        <v>-19.319884235458368</v>
      </c>
      <c r="U168" s="43">
        <f>Funktional!AP147</f>
        <v>-309.11814776733388</v>
      </c>
      <c r="V168" s="80">
        <f t="shared" ref="V168:W170" si="33">D168-F168-J168-N168-P168-R168-T168</f>
        <v>868.75788304889738</v>
      </c>
      <c r="W168" s="183">
        <f t="shared" si="33"/>
        <v>13900.126128782358</v>
      </c>
      <c r="X168" s="172">
        <f>Funktional!S147</f>
        <v>0.67207961387188631</v>
      </c>
      <c r="Y168" s="42">
        <f>Funktional!X147</f>
        <v>4.5598440122585654E-2</v>
      </c>
      <c r="Z168" s="42">
        <f>'Kennzahlen Revision'!L147</f>
        <v>1.795362120364417E-2</v>
      </c>
      <c r="AA168" s="42">
        <f>Funktional!AE147</f>
        <v>7.9238098419246297E-2</v>
      </c>
      <c r="AB168" s="42">
        <f>Funktional!AJ147</f>
        <v>5.6023887263188167E-2</v>
      </c>
      <c r="AC168" s="42">
        <f>Funktional!AS147</f>
        <v>5.1997564033588191E-2</v>
      </c>
      <c r="AD168" s="42">
        <f>Funktional!AO147</f>
        <v>-2.1621289535245767E-3</v>
      </c>
      <c r="AE168" s="202">
        <f>Funktional!AV147</f>
        <v>9.7224525243029991E-2</v>
      </c>
      <c r="AF168" s="176"/>
      <c r="AG168" s="177"/>
      <c r="AH168" s="177">
        <f>Artengliederung!AN147</f>
        <v>0.382896760116955</v>
      </c>
      <c r="AI168" s="178" t="str">
        <f t="shared" ref="AI168:AI182" si="34">A168</f>
        <v>Braunau</v>
      </c>
    </row>
    <row r="169" spans="1:35" hidden="1" x14ac:dyDescent="0.25">
      <c r="A169" s="41" t="str">
        <f>Funktional!A148</f>
        <v>Buch bei Frauenfeld</v>
      </c>
      <c r="B169" s="41" t="str">
        <f>Funktional!B148</f>
        <v>KiGa</v>
      </c>
      <c r="C169" s="352">
        <f>Funktional!D148</f>
        <v>0</v>
      </c>
      <c r="D169" s="348">
        <f>Funktional!G148</f>
        <v>0</v>
      </c>
      <c r="E169" s="186">
        <f>Funktional!F148</f>
        <v>0</v>
      </c>
      <c r="F169" s="48">
        <f>Funktional!U148</f>
        <v>0</v>
      </c>
      <c r="G169" s="48">
        <f>Funktional!T148</f>
        <v>0</v>
      </c>
      <c r="H169" s="48">
        <f>Artengliederung!R148</f>
        <v>0</v>
      </c>
      <c r="I169" s="186">
        <f>Artengliederung!Q148</f>
        <v>0</v>
      </c>
      <c r="J169" s="48">
        <f>Funktional!Z148</f>
        <v>0</v>
      </c>
      <c r="K169" s="48">
        <f>Funktional!Y148</f>
        <v>0</v>
      </c>
      <c r="L169" s="48">
        <f>'Kennzahlen Revision'!O148</f>
        <v>0</v>
      </c>
      <c r="M169" s="48">
        <f>'Kennzahlen Revision'!N148</f>
        <v>0</v>
      </c>
      <c r="N169" s="80">
        <f>Funktional!AG148</f>
        <v>0</v>
      </c>
      <c r="O169" s="43">
        <f>Funktional!AF148</f>
        <v>0</v>
      </c>
      <c r="P169" s="43">
        <f>Funktional!AL148</f>
        <v>0</v>
      </c>
      <c r="Q169" s="43">
        <f>Funktional!AK148</f>
        <v>0</v>
      </c>
      <c r="R169" s="80">
        <f>Funktional!AU148</f>
        <v>0</v>
      </c>
      <c r="S169" s="43">
        <f>Funktional!AT148</f>
        <v>0</v>
      </c>
      <c r="T169" s="80">
        <f>Funktional!AQ148</f>
        <v>0</v>
      </c>
      <c r="U169" s="43">
        <f>Funktional!AP148</f>
        <v>0</v>
      </c>
      <c r="V169" s="80">
        <f t="shared" si="33"/>
        <v>0</v>
      </c>
      <c r="W169" s="183">
        <f t="shared" si="33"/>
        <v>0</v>
      </c>
      <c r="X169" s="172">
        <f>Funktional!S148</f>
        <v>0</v>
      </c>
      <c r="Y169" s="42">
        <f>Funktional!X148</f>
        <v>0</v>
      </c>
      <c r="Z169" s="42">
        <f>'Kennzahlen Revision'!L148</f>
        <v>0</v>
      </c>
      <c r="AA169" s="42">
        <f>Funktional!AE148</f>
        <v>0</v>
      </c>
      <c r="AB169" s="42">
        <f>Funktional!AJ148</f>
        <v>0</v>
      </c>
      <c r="AC169" s="42">
        <f>Funktional!AS148</f>
        <v>0</v>
      </c>
      <c r="AD169" s="42">
        <f>Funktional!AO148</f>
        <v>0</v>
      </c>
      <c r="AE169" s="202">
        <f>Funktional!AV148</f>
        <v>0</v>
      </c>
      <c r="AF169" s="176"/>
      <c r="AG169" s="177"/>
      <c r="AH169" s="177">
        <f>Artengliederung!AN148</f>
        <v>0</v>
      </c>
      <c r="AI169" s="178" t="str">
        <f t="shared" si="34"/>
        <v>Buch bei Frauenfeld</v>
      </c>
    </row>
    <row r="170" spans="1:35" x14ac:dyDescent="0.25">
      <c r="A170" s="41" t="str">
        <f>Funktional!A149</f>
        <v>Buhwil-Neukirch an der Thur</v>
      </c>
      <c r="B170" s="41" t="str">
        <f>Funktional!B149</f>
        <v>KiGa</v>
      </c>
      <c r="C170" s="352">
        <f>Funktional!D149</f>
        <v>18</v>
      </c>
      <c r="D170" s="348">
        <f>Funktional!G149</f>
        <v>9680.7413756935075</v>
      </c>
      <c r="E170" s="186">
        <f>Funktional!F149</f>
        <v>174253.34476248315</v>
      </c>
      <c r="F170" s="48">
        <f>Funktional!U149</f>
        <v>5786.1410899261728</v>
      </c>
      <c r="G170" s="48">
        <f>Funktional!T149</f>
        <v>104150.53961867112</v>
      </c>
      <c r="H170" s="48">
        <f>Artengliederung!R149</f>
        <v>214.40478612049986</v>
      </c>
      <c r="I170" s="186">
        <f>Artengliederung!Q149</f>
        <v>3859.2861501689977</v>
      </c>
      <c r="J170" s="48">
        <f>Funktional!Z149</f>
        <v>363.16525607077489</v>
      </c>
      <c r="K170" s="48">
        <f>Funktional!Y149</f>
        <v>6536.9746092739479</v>
      </c>
      <c r="L170" s="48">
        <f>'Kennzahlen Revision'!O149</f>
        <v>189.3894490496611</v>
      </c>
      <c r="M170" s="48">
        <f>'Kennzahlen Revision'!N149</f>
        <v>3409.0100828938998</v>
      </c>
      <c r="N170" s="80">
        <f>Funktional!AG149</f>
        <v>430.71491732501943</v>
      </c>
      <c r="O170" s="43">
        <f>Funktional!AF149</f>
        <v>7752.8685118503499</v>
      </c>
      <c r="P170" s="43">
        <f>Funktional!AL149</f>
        <v>1277.0333363462537</v>
      </c>
      <c r="Q170" s="43">
        <f>Funktional!AK149</f>
        <v>22986.600054232567</v>
      </c>
      <c r="R170" s="80">
        <f>Funktional!AU149</f>
        <v>405.31943738832342</v>
      </c>
      <c r="S170" s="43">
        <f>Funktional!AT149</f>
        <v>7295.7498729898216</v>
      </c>
      <c r="T170" s="80">
        <f>Funktional!AQ149</f>
        <v>31.707198638575562</v>
      </c>
      <c r="U170" s="43">
        <f>Funktional!AP149</f>
        <v>570.72957549436012</v>
      </c>
      <c r="V170" s="80">
        <f t="shared" si="33"/>
        <v>1386.6601399983876</v>
      </c>
      <c r="W170" s="183">
        <f t="shared" si="33"/>
        <v>24959.882519970986</v>
      </c>
      <c r="X170" s="172">
        <f>Funktional!S149</f>
        <v>0.5976960715482047</v>
      </c>
      <c r="Y170" s="42">
        <f>Funktional!X149</f>
        <v>3.751419875574958E-2</v>
      </c>
      <c r="Z170" s="42">
        <f>'Kennzahlen Revision'!L149</f>
        <v>1.9563527389047063E-2</v>
      </c>
      <c r="AA170" s="42">
        <f>Funktional!AE149</f>
        <v>4.4491935132825913E-2</v>
      </c>
      <c r="AB170" s="42">
        <f>Funktional!AJ149</f>
        <v>0.13191482829534529</v>
      </c>
      <c r="AC170" s="42">
        <f>Funktional!AS149</f>
        <v>4.1868636053639767E-2</v>
      </c>
      <c r="AD170" s="42">
        <f>Funktional!AO149</f>
        <v>3.2752862005162413E-3</v>
      </c>
      <c r="AE170" s="202">
        <f>Funktional!AV149</f>
        <v>0.14323904401371854</v>
      </c>
      <c r="AF170" s="176"/>
      <c r="AG170" s="177"/>
      <c r="AH170" s="177">
        <f>Artengliederung!AN149</f>
        <v>0.58171097197394683</v>
      </c>
      <c r="AI170" s="178" t="str">
        <f t="shared" si="34"/>
        <v>Buhwil-Neukirch an der Thur</v>
      </c>
    </row>
    <row r="171" spans="1:35" x14ac:dyDescent="0.25">
      <c r="A171" s="41" t="str">
        <f>Funktional!A150</f>
        <v>Bürglen</v>
      </c>
      <c r="B171" s="41" t="str">
        <f>Funktional!B150</f>
        <v>KiGa</v>
      </c>
      <c r="C171" s="352">
        <f>Funktional!D150</f>
        <v>66</v>
      </c>
      <c r="D171" s="348">
        <f>Funktional!G150</f>
        <v>5779.2977594498816</v>
      </c>
      <c r="E171" s="186">
        <f>Funktional!F150</f>
        <v>127144.5507078974</v>
      </c>
      <c r="F171" s="48">
        <f>Funktional!U150</f>
        <v>3940.3545116687478</v>
      </c>
      <c r="G171" s="48">
        <f>Funktional!T150</f>
        <v>86687.799256712446</v>
      </c>
      <c r="H171" s="48">
        <f>Artengliederung!R150</f>
        <v>154.73056209957701</v>
      </c>
      <c r="I171" s="186">
        <f>Artengliederung!Q150</f>
        <v>3404.0723661906941</v>
      </c>
      <c r="J171" s="48">
        <f>Funktional!Z150</f>
        <v>230.74579876898892</v>
      </c>
      <c r="K171" s="48">
        <f>Funktional!Y150</f>
        <v>5076.4075729177557</v>
      </c>
      <c r="L171" s="48">
        <f>'Kennzahlen Revision'!O150</f>
        <v>117.57375750726933</v>
      </c>
      <c r="M171" s="48">
        <f>'Kennzahlen Revision'!N150</f>
        <v>2586.6226651599254</v>
      </c>
      <c r="N171" s="80">
        <f>Funktional!AG150</f>
        <v>484.03080001378072</v>
      </c>
      <c r="O171" s="43">
        <f>Funktional!AF150</f>
        <v>10648.677600303175</v>
      </c>
      <c r="P171" s="43">
        <f>Funktional!AL150</f>
        <v>409.67087003432357</v>
      </c>
      <c r="Q171" s="43">
        <f>Funktional!AK150</f>
        <v>9012.759140755119</v>
      </c>
      <c r="R171" s="80">
        <f>Funktional!AU150</f>
        <v>304.302807399286</v>
      </c>
      <c r="S171" s="43">
        <f>Funktional!AT150</f>
        <v>6694.6617627842925</v>
      </c>
      <c r="T171" s="80">
        <f>Funktional!AQ150</f>
        <v>17.590569988299318</v>
      </c>
      <c r="U171" s="43">
        <f>Funktional!AP150</f>
        <v>386.992539742585</v>
      </c>
      <c r="V171" s="80">
        <f t="shared" ref="V171:W190" si="35">D171-F171-J171-N171-P171-R171-T171</f>
        <v>392.60240157645541</v>
      </c>
      <c r="W171" s="183">
        <f t="shared" si="35"/>
        <v>8637.2528346820272</v>
      </c>
      <c r="X171" s="172">
        <f>Funktional!S150</f>
        <v>0.68180506969480337</v>
      </c>
      <c r="Y171" s="42">
        <f>Funktional!X150</f>
        <v>3.9926269310434886E-2</v>
      </c>
      <c r="Z171" s="42">
        <f>'Kennzahlen Revision'!L150</f>
        <v>2.0343952224129894E-2</v>
      </c>
      <c r="AA171" s="42">
        <f>Funktional!AE150</f>
        <v>8.3752528449036773E-2</v>
      </c>
      <c r="AB171" s="42">
        <f>Funktional!AJ150</f>
        <v>7.0885925433494049E-2</v>
      </c>
      <c r="AC171" s="42">
        <f>Funktional!AS150</f>
        <v>5.2653941718388268E-2</v>
      </c>
      <c r="AD171" s="42">
        <f>Funktional!AO150</f>
        <v>3.04372100564234E-3</v>
      </c>
      <c r="AE171" s="202">
        <f>Funktional!AV150</f>
        <v>6.7932544388200344E-2</v>
      </c>
      <c r="AF171" s="176"/>
      <c r="AG171" s="177"/>
      <c r="AH171" s="177">
        <f>Artengliederung!AN150</f>
        <v>0.33287663372812359</v>
      </c>
      <c r="AI171" s="178" t="str">
        <f t="shared" si="34"/>
        <v>Bürglen</v>
      </c>
    </row>
    <row r="172" spans="1:35" x14ac:dyDescent="0.25">
      <c r="A172" s="41" t="str">
        <f>Funktional!A151</f>
        <v>Bussnang-Rothenhausen</v>
      </c>
      <c r="B172" s="41" t="str">
        <f>Funktional!B151</f>
        <v>KiGa</v>
      </c>
      <c r="C172" s="352">
        <f>Funktional!D151</f>
        <v>28</v>
      </c>
      <c r="D172" s="348">
        <f>Funktional!G151</f>
        <v>8874.4287896195146</v>
      </c>
      <c r="E172" s="186">
        <f>Funktional!F151</f>
        <v>124242.00305467322</v>
      </c>
      <c r="F172" s="48">
        <f>Funktional!U151</f>
        <v>5968.2383719548534</v>
      </c>
      <c r="G172" s="48">
        <f>Funktional!T151</f>
        <v>83555.337207367949</v>
      </c>
      <c r="H172" s="48">
        <f>Artengliederung!R151</f>
        <v>332.51326526156839</v>
      </c>
      <c r="I172" s="186">
        <f>Artengliederung!Q151</f>
        <v>4655.1857136619574</v>
      </c>
      <c r="J172" s="48">
        <f>Funktional!Z151</f>
        <v>453.51912749566253</v>
      </c>
      <c r="K172" s="48">
        <f>Funktional!Y151</f>
        <v>6349.2677849392758</v>
      </c>
      <c r="L172" s="48">
        <f>'Kennzahlen Revision'!O151</f>
        <v>216.43048937149476</v>
      </c>
      <c r="M172" s="48">
        <f>'Kennzahlen Revision'!N151</f>
        <v>3030.0268512009266</v>
      </c>
      <c r="N172" s="80">
        <f>Funktional!AG151</f>
        <v>945.1222409397177</v>
      </c>
      <c r="O172" s="43">
        <f>Funktional!AF151</f>
        <v>13231.711373156048</v>
      </c>
      <c r="P172" s="43">
        <f>Funktional!AL151</f>
        <v>765.1291683033578</v>
      </c>
      <c r="Q172" s="43">
        <f>Funktional!AK151</f>
        <v>10711.808356247009</v>
      </c>
      <c r="R172" s="80">
        <f>Funktional!AU151</f>
        <v>388.60660197996646</v>
      </c>
      <c r="S172" s="43">
        <f>Funktional!AT151</f>
        <v>5440.4924277195305</v>
      </c>
      <c r="T172" s="80">
        <f>Funktional!AQ151</f>
        <v>25.400876355550626</v>
      </c>
      <c r="U172" s="43">
        <f>Funktional!AP151</f>
        <v>355.61226897770877</v>
      </c>
      <c r="V172" s="80">
        <f t="shared" si="35"/>
        <v>328.4124025904062</v>
      </c>
      <c r="W172" s="183">
        <f t="shared" si="35"/>
        <v>4597.7736362656942</v>
      </c>
      <c r="X172" s="172">
        <f>Funktional!S151</f>
        <v>0.67252084764440789</v>
      </c>
      <c r="Y172" s="42">
        <f>Funktional!X151</f>
        <v>5.1104035904389389E-2</v>
      </c>
      <c r="Z172" s="42">
        <f>'Kennzahlen Revision'!L151</f>
        <v>2.4388103674306914E-2</v>
      </c>
      <c r="AA172" s="42">
        <f>Funktional!AE151</f>
        <v>0.10649950135891947</v>
      </c>
      <c r="AB172" s="42">
        <f>Funktional!AJ151</f>
        <v>8.6217286367584023E-2</v>
      </c>
      <c r="AC172" s="42">
        <f>Funktional!AS151</f>
        <v>4.3789477744699747E-2</v>
      </c>
      <c r="AD172" s="42">
        <f>Funktional!AO151</f>
        <v>2.8622547949522358E-3</v>
      </c>
      <c r="AE172" s="202">
        <f>Funktional!AV151</f>
        <v>3.7006596185047237E-2</v>
      </c>
      <c r="AF172" s="176"/>
      <c r="AG172" s="177"/>
      <c r="AH172" s="177">
        <f>Artengliederung!AN151</f>
        <v>0.10785200501693576</v>
      </c>
      <c r="AI172" s="178" t="str">
        <f t="shared" si="34"/>
        <v>Bussnang-Rothenhausen</v>
      </c>
    </row>
    <row r="173" spans="1:35" x14ac:dyDescent="0.25">
      <c r="A173" s="41" t="str">
        <f>Funktional!A152</f>
        <v>Busswil</v>
      </c>
      <c r="B173" s="41" t="str">
        <f>Funktional!B152</f>
        <v>KiGa</v>
      </c>
      <c r="C173" s="352">
        <f>Funktional!D152</f>
        <v>15</v>
      </c>
      <c r="D173" s="348">
        <f>Funktional!G152</f>
        <v>9708.0396421286896</v>
      </c>
      <c r="E173" s="186">
        <f>Funktional!F152</f>
        <v>145620.59463193035</v>
      </c>
      <c r="F173" s="48">
        <f>Funktional!U152</f>
        <v>5515.7655745761003</v>
      </c>
      <c r="G173" s="48">
        <f>Funktional!T152</f>
        <v>82736.483618641505</v>
      </c>
      <c r="H173" s="48">
        <f>Artengliederung!R152</f>
        <v>231.36065852466265</v>
      </c>
      <c r="I173" s="186">
        <f>Artengliederung!Q152</f>
        <v>3470.4098778699399</v>
      </c>
      <c r="J173" s="48">
        <f>Funktional!Z152</f>
        <v>386.17157768724519</v>
      </c>
      <c r="K173" s="48">
        <f>Funktional!Y152</f>
        <v>5792.5736653086778</v>
      </c>
      <c r="L173" s="48">
        <f>'Kennzahlen Revision'!O152</f>
        <v>184.05935789678128</v>
      </c>
      <c r="M173" s="48">
        <f>'Kennzahlen Revision'!N152</f>
        <v>2760.890368451719</v>
      </c>
      <c r="N173" s="80">
        <f>Funktional!AG152</f>
        <v>1196.7545719123634</v>
      </c>
      <c r="O173" s="43">
        <f>Funktional!AF152</f>
        <v>17951.318578685452</v>
      </c>
      <c r="P173" s="43">
        <f>Funktional!AL152</f>
        <v>1427.807327874983</v>
      </c>
      <c r="Q173" s="43">
        <f>Funktional!AK152</f>
        <v>21417.109918124745</v>
      </c>
      <c r="R173" s="80">
        <f>Funktional!AU152</f>
        <v>846.02820248642399</v>
      </c>
      <c r="S173" s="43">
        <f>Funktional!AT152</f>
        <v>12690.423037296359</v>
      </c>
      <c r="T173" s="80">
        <f>Funktional!AQ152</f>
        <v>30.490189485911511</v>
      </c>
      <c r="U173" s="43">
        <f>Funktional!AP152</f>
        <v>457.35284228867266</v>
      </c>
      <c r="V173" s="80">
        <f t="shared" si="35"/>
        <v>305.02219810566191</v>
      </c>
      <c r="W173" s="183">
        <f t="shared" si="35"/>
        <v>4575.332971584935</v>
      </c>
      <c r="X173" s="172">
        <f>Funktional!S152</f>
        <v>0.56816471480401309</v>
      </c>
      <c r="Y173" s="42">
        <f>Funktional!X152</f>
        <v>3.9778533249022564E-2</v>
      </c>
      <c r="Z173" s="42">
        <f>'Kennzahlen Revision'!L152</f>
        <v>1.8959477369462248E-2</v>
      </c>
      <c r="AA173" s="42">
        <f>Funktional!AE152</f>
        <v>0.12327458642823899</v>
      </c>
      <c r="AB173" s="42">
        <f>Funktional!AJ152</f>
        <v>0.14707473192413814</v>
      </c>
      <c r="AC173" s="42">
        <f>Funktional!AS152</f>
        <v>8.7147172207149598E-2</v>
      </c>
      <c r="AD173" s="42">
        <f>Funktional!AO152</f>
        <v>3.1407153874400437E-3</v>
      </c>
      <c r="AE173" s="202">
        <f>Funktional!AV152</f>
        <v>3.141954599999755E-2</v>
      </c>
      <c r="AF173" s="176"/>
      <c r="AG173" s="177"/>
      <c r="AH173" s="177">
        <f>Artengliederung!AN152</f>
        <v>0.33122584900541557</v>
      </c>
      <c r="AI173" s="178" t="str">
        <f t="shared" si="34"/>
        <v>Busswil</v>
      </c>
    </row>
    <row r="174" spans="1:35" x14ac:dyDescent="0.25">
      <c r="A174" s="41" t="str">
        <f>Funktional!A153</f>
        <v>Dettighofen-Lanzenneunforn</v>
      </c>
      <c r="B174" s="41" t="str">
        <f>Funktional!B153</f>
        <v>KiGa</v>
      </c>
      <c r="C174" s="352">
        <f>Funktional!D153</f>
        <v>25</v>
      </c>
      <c r="D174" s="348">
        <f>Funktional!G153</f>
        <v>7127.0024003034969</v>
      </c>
      <c r="E174" s="186">
        <f>Funktional!F153</f>
        <v>178175.06000758742</v>
      </c>
      <c r="F174" s="48">
        <f>Funktional!U153</f>
        <v>3952.4601741514839</v>
      </c>
      <c r="G174" s="48">
        <f>Funktional!T153</f>
        <v>98811.504353787095</v>
      </c>
      <c r="H174" s="48">
        <f>Artengliederung!R153</f>
        <v>217.5381066318007</v>
      </c>
      <c r="I174" s="186">
        <f>Artengliederung!Q153</f>
        <v>5438.4526657950173</v>
      </c>
      <c r="J174" s="48">
        <f>Funktional!Z153</f>
        <v>285.36735520194799</v>
      </c>
      <c r="K174" s="48">
        <f>Funktional!Y153</f>
        <v>7134.1838800486994</v>
      </c>
      <c r="L174" s="48">
        <f>'Kennzahlen Revision'!O153</f>
        <v>112.04487416348483</v>
      </c>
      <c r="M174" s="48">
        <f>'Kennzahlen Revision'!N153</f>
        <v>2801.1218540871209</v>
      </c>
      <c r="N174" s="80">
        <f>Funktional!AG153</f>
        <v>998.85684860772938</v>
      </c>
      <c r="O174" s="43">
        <f>Funktional!AF153</f>
        <v>24971.421215193233</v>
      </c>
      <c r="P174" s="43">
        <f>Funktional!AL153</f>
        <v>364.19457060677553</v>
      </c>
      <c r="Q174" s="43">
        <f>Funktional!AK153</f>
        <v>9104.8642651693881</v>
      </c>
      <c r="R174" s="80">
        <f>Funktional!AU153</f>
        <v>0</v>
      </c>
      <c r="S174" s="43">
        <f>Funktional!AT153</f>
        <v>0</v>
      </c>
      <c r="T174" s="80">
        <f>Funktional!AQ153</f>
        <v>31.79720820898115</v>
      </c>
      <c r="U174" s="43">
        <f>Funktional!AP153</f>
        <v>794.93020522452878</v>
      </c>
      <c r="V174" s="80">
        <f t="shared" si="35"/>
        <v>1494.326243526579</v>
      </c>
      <c r="W174" s="183">
        <f t="shared" si="35"/>
        <v>37358.156088164484</v>
      </c>
      <c r="X174" s="172">
        <f>Funktional!S153</f>
        <v>0.55457539539809497</v>
      </c>
      <c r="Y174" s="42">
        <f>Funktional!X153</f>
        <v>4.0040305751797678E-2</v>
      </c>
      <c r="Z174" s="42">
        <f>'Kennzahlen Revision'!L153</f>
        <v>1.5721178115320054E-2</v>
      </c>
      <c r="AA174" s="42">
        <f>Funktional!AE153</f>
        <v>0.14015104703278813</v>
      </c>
      <c r="AB174" s="42">
        <f>Funktional!AJ153</f>
        <v>5.1100666191899506E-2</v>
      </c>
      <c r="AC174" s="42">
        <f>Funktional!AS153</f>
        <v>0</v>
      </c>
      <c r="AD174" s="42">
        <f>Funktional!AO153</f>
        <v>4.461512207099453E-3</v>
      </c>
      <c r="AE174" s="202">
        <f>Funktional!AV153</f>
        <v>0.20967107341832025</v>
      </c>
      <c r="AF174" s="176"/>
      <c r="AG174" s="177"/>
      <c r="AH174" s="177">
        <f>Artengliederung!AN153</f>
        <v>0.49832650849704102</v>
      </c>
      <c r="AI174" s="178" t="str">
        <f t="shared" si="34"/>
        <v>Dettighofen-Lanzenneunforn</v>
      </c>
    </row>
    <row r="175" spans="1:35" x14ac:dyDescent="0.25">
      <c r="A175" s="41" t="str">
        <f>Funktional!A154</f>
        <v>Diessenhofen</v>
      </c>
      <c r="B175" s="41" t="str">
        <f>Funktional!B154</f>
        <v>KiGa</v>
      </c>
      <c r="C175" s="352">
        <f>Funktional!D154</f>
        <v>66</v>
      </c>
      <c r="D175" s="348">
        <f>Funktional!G154</f>
        <v>7460.3387123916464</v>
      </c>
      <c r="E175" s="186">
        <f>Funktional!F154</f>
        <v>164127.45167261621</v>
      </c>
      <c r="F175" s="48">
        <f>Funktional!U154</f>
        <v>5340.4991597973685</v>
      </c>
      <c r="G175" s="48">
        <f>Funktional!T154</f>
        <v>117490.98151554209</v>
      </c>
      <c r="H175" s="48">
        <f>Artengliederung!R154</f>
        <v>93.370381967248605</v>
      </c>
      <c r="I175" s="186">
        <f>Artengliederung!Q154</f>
        <v>2054.1484032794692</v>
      </c>
      <c r="J175" s="48">
        <f>Funktional!Z154</f>
        <v>373.52047288892237</v>
      </c>
      <c r="K175" s="48">
        <f>Funktional!Y154</f>
        <v>8217.4504035562913</v>
      </c>
      <c r="L175" s="48">
        <f>'Kennzahlen Revision'!O154</f>
        <v>117.03888418735228</v>
      </c>
      <c r="M175" s="48">
        <f>'Kennzahlen Revision'!N154</f>
        <v>2574.8554521217502</v>
      </c>
      <c r="N175" s="80">
        <f>Funktional!AG154</f>
        <v>226.61391284208659</v>
      </c>
      <c r="O175" s="43">
        <f>Funktional!AF154</f>
        <v>4985.5060825259052</v>
      </c>
      <c r="P175" s="43">
        <f>Funktional!AL154</f>
        <v>540.16815434561533</v>
      </c>
      <c r="Q175" s="43">
        <f>Funktional!AK154</f>
        <v>11883.699395603537</v>
      </c>
      <c r="R175" s="80">
        <f>Funktional!AU154</f>
        <v>194.48584861413417</v>
      </c>
      <c r="S175" s="43">
        <f>Funktional!AT154</f>
        <v>4278.6886695109515</v>
      </c>
      <c r="T175" s="80">
        <f>Funktional!AQ154</f>
        <v>31.348921181293235</v>
      </c>
      <c r="U175" s="43">
        <f>Funktional!AP154</f>
        <v>689.67626598845118</v>
      </c>
      <c r="V175" s="80">
        <f t="shared" si="35"/>
        <v>753.70224272222617</v>
      </c>
      <c r="W175" s="183">
        <f t="shared" si="35"/>
        <v>16581.449339888979</v>
      </c>
      <c r="X175" s="172">
        <f>Funktional!S154</f>
        <v>0.71585210346103745</v>
      </c>
      <c r="Y175" s="42">
        <f>Funktional!X154</f>
        <v>5.0067495228936949E-2</v>
      </c>
      <c r="Z175" s="42">
        <f>'Kennzahlen Revision'!L154</f>
        <v>1.5688146168611663E-2</v>
      </c>
      <c r="AA175" s="42">
        <f>Funktional!AE154</f>
        <v>3.0375820935003951E-2</v>
      </c>
      <c r="AB175" s="42">
        <f>Funktional!AJ154</f>
        <v>7.2405312301490318E-2</v>
      </c>
      <c r="AC175" s="42">
        <f>Funktional!AS154</f>
        <v>2.6069305444683437E-2</v>
      </c>
      <c r="AD175" s="42">
        <f>Funktional!AO154</f>
        <v>4.2020774645556746E-3</v>
      </c>
      <c r="AE175" s="202">
        <f>Funktional!AV154</f>
        <v>0.1010278851642922</v>
      </c>
      <c r="AF175" s="176"/>
      <c r="AG175" s="177"/>
      <c r="AH175" s="177">
        <f>Artengliederung!AN154</f>
        <v>2.9353216217140547E-2</v>
      </c>
      <c r="AI175" s="178" t="str">
        <f t="shared" si="34"/>
        <v>Diessenhofen</v>
      </c>
    </row>
    <row r="176" spans="1:35" hidden="1" x14ac:dyDescent="0.25">
      <c r="A176" s="41" t="str">
        <f>Funktional!A155</f>
        <v>Dingetswil</v>
      </c>
      <c r="B176" s="41" t="str">
        <f>Funktional!B155</f>
        <v>KiGa</v>
      </c>
      <c r="C176" s="352">
        <f>Funktional!D155</f>
        <v>0</v>
      </c>
      <c r="D176" s="348">
        <f>Funktional!G155</f>
        <v>0</v>
      </c>
      <c r="E176" s="186">
        <f>Funktional!F155</f>
        <v>0</v>
      </c>
      <c r="F176" s="48">
        <f>Funktional!U155</f>
        <v>0</v>
      </c>
      <c r="G176" s="48">
        <f>Funktional!T155</f>
        <v>0</v>
      </c>
      <c r="H176" s="48">
        <f>Artengliederung!R155</f>
        <v>0</v>
      </c>
      <c r="I176" s="186">
        <f>Artengliederung!Q155</f>
        <v>0</v>
      </c>
      <c r="J176" s="48">
        <f>Funktional!Z155</f>
        <v>0</v>
      </c>
      <c r="K176" s="48">
        <f>Funktional!Y155</f>
        <v>0</v>
      </c>
      <c r="L176" s="48">
        <f>'Kennzahlen Revision'!O155</f>
        <v>0</v>
      </c>
      <c r="M176" s="48">
        <f>'Kennzahlen Revision'!N155</f>
        <v>0</v>
      </c>
      <c r="N176" s="80">
        <f>Funktional!AG155</f>
        <v>0</v>
      </c>
      <c r="O176" s="43">
        <f>Funktional!AF155</f>
        <v>0</v>
      </c>
      <c r="P176" s="43">
        <f>Funktional!AL155</f>
        <v>0</v>
      </c>
      <c r="Q176" s="43">
        <f>Funktional!AK155</f>
        <v>0</v>
      </c>
      <c r="R176" s="80">
        <f>Funktional!AU155</f>
        <v>0</v>
      </c>
      <c r="S176" s="43">
        <f>Funktional!AT155</f>
        <v>0</v>
      </c>
      <c r="T176" s="80">
        <f>Funktional!AQ155</f>
        <v>0</v>
      </c>
      <c r="U176" s="43">
        <f>Funktional!AP155</f>
        <v>0</v>
      </c>
      <c r="V176" s="80">
        <f t="shared" si="35"/>
        <v>0</v>
      </c>
      <c r="W176" s="183">
        <f t="shared" si="35"/>
        <v>0</v>
      </c>
      <c r="X176" s="172">
        <f>Funktional!S155</f>
        <v>0</v>
      </c>
      <c r="Y176" s="42">
        <f>Funktional!X155</f>
        <v>0</v>
      </c>
      <c r="Z176" s="42">
        <f>'Kennzahlen Revision'!L155</f>
        <v>0</v>
      </c>
      <c r="AA176" s="42">
        <f>Funktional!AE155</f>
        <v>0</v>
      </c>
      <c r="AB176" s="42">
        <f>Funktional!AJ155</f>
        <v>0</v>
      </c>
      <c r="AC176" s="42">
        <f>Funktional!AS155</f>
        <v>0</v>
      </c>
      <c r="AD176" s="42">
        <f>Funktional!AO155</f>
        <v>0</v>
      </c>
      <c r="AE176" s="202">
        <f>Funktional!AV155</f>
        <v>0</v>
      </c>
      <c r="AF176" s="176"/>
      <c r="AG176" s="177"/>
      <c r="AH176" s="177">
        <f>Artengliederung!AN155</f>
        <v>0</v>
      </c>
      <c r="AI176" s="178" t="str">
        <f t="shared" si="34"/>
        <v>Dingetswil</v>
      </c>
    </row>
    <row r="177" spans="1:35" x14ac:dyDescent="0.25">
      <c r="A177" s="41" t="str">
        <f>Funktional!A156</f>
        <v>Donzhausen</v>
      </c>
      <c r="B177" s="41" t="str">
        <f>Funktional!B156</f>
        <v>KiGa</v>
      </c>
      <c r="C177" s="352">
        <f>Funktional!D156</f>
        <v>11</v>
      </c>
      <c r="D177" s="348">
        <f>Funktional!G156</f>
        <v>8916.627938354517</v>
      </c>
      <c r="E177" s="186">
        <f>Funktional!F156</f>
        <v>196165.81464379939</v>
      </c>
      <c r="F177" s="48">
        <f>Funktional!U156</f>
        <v>4941.4638281608486</v>
      </c>
      <c r="G177" s="48">
        <f>Funktional!T156</f>
        <v>108712.20421953867</v>
      </c>
      <c r="H177" s="48">
        <f>Artengliederung!R156</f>
        <v>75.357348681264881</v>
      </c>
      <c r="I177" s="186">
        <f>Artengliederung!Q156</f>
        <v>1657.8616709878274</v>
      </c>
      <c r="J177" s="48">
        <f>Funktional!Z156</f>
        <v>384.53978876629265</v>
      </c>
      <c r="K177" s="48">
        <f>Funktional!Y156</f>
        <v>8459.8753528584384</v>
      </c>
      <c r="L177" s="48">
        <f>'Kennzahlen Revision'!O156</f>
        <v>173.90541164113299</v>
      </c>
      <c r="M177" s="48">
        <f>'Kennzahlen Revision'!N156</f>
        <v>3825.9190561049259</v>
      </c>
      <c r="N177" s="80">
        <f>Funktional!AG156</f>
        <v>816.78525303581307</v>
      </c>
      <c r="O177" s="43">
        <f>Funktional!AF156</f>
        <v>17969.275566787888</v>
      </c>
      <c r="P177" s="43">
        <f>Funktional!AL156</f>
        <v>261.42829913921139</v>
      </c>
      <c r="Q177" s="43">
        <f>Funktional!AK156</f>
        <v>5751.4225810626504</v>
      </c>
      <c r="R177" s="80">
        <f>Funktional!AU156</f>
        <v>812.55664316996547</v>
      </c>
      <c r="S177" s="43">
        <f>Funktional!AT156</f>
        <v>17876.24614973924</v>
      </c>
      <c r="T177" s="80">
        <f>Funktional!AQ156</f>
        <v>50.205209432020688</v>
      </c>
      <c r="U177" s="43">
        <f>Funktional!AP156</f>
        <v>1104.5146075044552</v>
      </c>
      <c r="V177" s="80">
        <f t="shared" si="35"/>
        <v>1649.6489166503652</v>
      </c>
      <c r="W177" s="183">
        <f t="shared" si="35"/>
        <v>36292.276166308038</v>
      </c>
      <c r="X177" s="172">
        <f>Funktional!S156</f>
        <v>0.55418526626027986</v>
      </c>
      <c r="Y177" s="42">
        <f>Funktional!X156</f>
        <v>4.3126144931113497E-2</v>
      </c>
      <c r="Z177" s="42">
        <f>'Kennzahlen Revision'!L156</f>
        <v>1.9503495362084788E-2</v>
      </c>
      <c r="AA177" s="42">
        <f>Funktional!AE156</f>
        <v>9.1602482315365441E-2</v>
      </c>
      <c r="AB177" s="42">
        <f>Funktional!AJ156</f>
        <v>2.9319188929560248E-2</v>
      </c>
      <c r="AC177" s="42">
        <f>Funktional!AS156</f>
        <v>9.1128243635106229E-2</v>
      </c>
      <c r="AD177" s="42">
        <f>Funktional!AO156</f>
        <v>5.6305152327894041E-3</v>
      </c>
      <c r="AE177" s="202">
        <f>Funktional!AV156</f>
        <v>0.1850081586957853</v>
      </c>
      <c r="AF177" s="176"/>
      <c r="AG177" s="177"/>
      <c r="AH177" s="177">
        <f>Artengliederung!AN156</f>
        <v>0.60999100121513172</v>
      </c>
      <c r="AI177" s="178" t="str">
        <f t="shared" si="34"/>
        <v>Donzhausen</v>
      </c>
    </row>
    <row r="178" spans="1:35" hidden="1" x14ac:dyDescent="0.25">
      <c r="A178" s="41" t="str">
        <f>Funktional!A157</f>
        <v>Dozwil</v>
      </c>
      <c r="B178" s="41" t="str">
        <f>Funktional!B157</f>
        <v>KiGa</v>
      </c>
      <c r="C178" s="352">
        <f>Funktional!D157</f>
        <v>0</v>
      </c>
      <c r="D178" s="348">
        <f>Funktional!G157</f>
        <v>0</v>
      </c>
      <c r="E178" s="186">
        <f>Funktional!F157</f>
        <v>0</v>
      </c>
      <c r="F178" s="48">
        <f>Funktional!U157</f>
        <v>0</v>
      </c>
      <c r="G178" s="48">
        <f>Funktional!T157</f>
        <v>0</v>
      </c>
      <c r="H178" s="48">
        <f>Artengliederung!R157</f>
        <v>0</v>
      </c>
      <c r="I178" s="186">
        <f>Artengliederung!Q157</f>
        <v>0</v>
      </c>
      <c r="J178" s="48">
        <f>Funktional!Z157</f>
        <v>0</v>
      </c>
      <c r="K178" s="48">
        <f>Funktional!Y157</f>
        <v>0</v>
      </c>
      <c r="L178" s="48">
        <f>'Kennzahlen Revision'!O157</f>
        <v>0</v>
      </c>
      <c r="M178" s="48">
        <f>'Kennzahlen Revision'!N157</f>
        <v>0</v>
      </c>
      <c r="N178" s="80">
        <f>Funktional!AG157</f>
        <v>0</v>
      </c>
      <c r="O178" s="43">
        <f>Funktional!AF157</f>
        <v>0</v>
      </c>
      <c r="P178" s="43">
        <f>Funktional!AL157</f>
        <v>0</v>
      </c>
      <c r="Q178" s="43">
        <f>Funktional!AK157</f>
        <v>0</v>
      </c>
      <c r="R178" s="80">
        <f>Funktional!AU157</f>
        <v>0</v>
      </c>
      <c r="S178" s="43">
        <f>Funktional!AT157</f>
        <v>0</v>
      </c>
      <c r="T178" s="80">
        <f>Funktional!AQ157</f>
        <v>0</v>
      </c>
      <c r="U178" s="43">
        <f>Funktional!AP157</f>
        <v>0</v>
      </c>
      <c r="V178" s="80">
        <f t="shared" si="35"/>
        <v>0</v>
      </c>
      <c r="W178" s="183">
        <f t="shared" si="35"/>
        <v>0</v>
      </c>
      <c r="X178" s="172">
        <f>Funktional!S157</f>
        <v>0</v>
      </c>
      <c r="Y178" s="42">
        <f>Funktional!X157</f>
        <v>0</v>
      </c>
      <c r="Z178" s="42">
        <f>'Kennzahlen Revision'!L157</f>
        <v>0</v>
      </c>
      <c r="AA178" s="42">
        <f>Funktional!AE157</f>
        <v>0</v>
      </c>
      <c r="AB178" s="42">
        <f>Funktional!AJ157</f>
        <v>0</v>
      </c>
      <c r="AC178" s="42">
        <f>Funktional!AS157</f>
        <v>0</v>
      </c>
      <c r="AD178" s="42">
        <f>Funktional!AO157</f>
        <v>0</v>
      </c>
      <c r="AE178" s="202">
        <f>Funktional!AV157</f>
        <v>0</v>
      </c>
      <c r="AF178" s="176"/>
      <c r="AG178" s="177"/>
      <c r="AH178" s="177">
        <f>Artengliederung!AN157</f>
        <v>0</v>
      </c>
      <c r="AI178" s="178" t="str">
        <f t="shared" si="34"/>
        <v>Dozwil</v>
      </c>
    </row>
    <row r="179" spans="1:35" x14ac:dyDescent="0.25">
      <c r="A179" s="41" t="str">
        <f>Funktional!A158&amp;" (Schurten)"</f>
        <v>Dussnang-Oberwangen (Schurten)</v>
      </c>
      <c r="B179" s="41" t="str">
        <f>Funktional!B158</f>
        <v>KiGa</v>
      </c>
      <c r="C179" s="352">
        <f>Funktional!D158</f>
        <v>33</v>
      </c>
      <c r="D179" s="348">
        <f>Funktional!G158</f>
        <v>7727.6396070811707</v>
      </c>
      <c r="E179" s="186">
        <f>Funktional!F158</f>
        <v>127506.05351683931</v>
      </c>
      <c r="F179" s="48">
        <f>Funktional!U158</f>
        <v>5386.8525403605918</v>
      </c>
      <c r="G179" s="48">
        <f>Funktional!T158</f>
        <v>88883.066915949763</v>
      </c>
      <c r="H179" s="48">
        <f>Artengliederung!R158</f>
        <v>175.80569464826439</v>
      </c>
      <c r="I179" s="186">
        <f>Artengliederung!Q158</f>
        <v>2900.7939616963627</v>
      </c>
      <c r="J179" s="48">
        <f>Funktional!Z158</f>
        <v>299.72451971339302</v>
      </c>
      <c r="K179" s="48">
        <f>Funktional!Y158</f>
        <v>4945.4545752709846</v>
      </c>
      <c r="L179" s="48">
        <f>'Kennzahlen Revision'!O158</f>
        <v>124.14790537565425</v>
      </c>
      <c r="M179" s="48">
        <f>'Kennzahlen Revision'!N158</f>
        <v>2048.4404386982951</v>
      </c>
      <c r="N179" s="80">
        <f>Funktional!AG158</f>
        <v>585.68235240879426</v>
      </c>
      <c r="O179" s="43">
        <f>Funktional!AF158</f>
        <v>9663.7588147451061</v>
      </c>
      <c r="P179" s="43">
        <f>Funktional!AL158</f>
        <v>664.02961109926957</v>
      </c>
      <c r="Q179" s="43">
        <f>Funktional!AK158</f>
        <v>10956.488583137949</v>
      </c>
      <c r="R179" s="80">
        <f>Funktional!AU158</f>
        <v>432.74507476878955</v>
      </c>
      <c r="S179" s="43">
        <f>Funktional!AT158</f>
        <v>7140.2937336850273</v>
      </c>
      <c r="T179" s="80">
        <f>Funktional!AQ158</f>
        <v>38.032529770271715</v>
      </c>
      <c r="U179" s="43">
        <f>Funktional!AP158</f>
        <v>627.53674120948335</v>
      </c>
      <c r="V179" s="80">
        <f t="shared" si="35"/>
        <v>320.57297896006082</v>
      </c>
      <c r="W179" s="183">
        <f t="shared" si="35"/>
        <v>5289.4541528410009</v>
      </c>
      <c r="X179" s="172">
        <f>Funktional!S158</f>
        <v>0.69708899667427371</v>
      </c>
      <c r="Y179" s="42">
        <f>Funktional!X158</f>
        <v>3.878603751639019E-2</v>
      </c>
      <c r="Z179" s="42">
        <f>'Kennzahlen Revision'!L158</f>
        <v>1.6065436755344047E-2</v>
      </c>
      <c r="AA179" s="42">
        <f>Funktional!AE158</f>
        <v>7.5790588354056818E-2</v>
      </c>
      <c r="AB179" s="42">
        <f>Funktional!AJ158</f>
        <v>8.5929163996052632E-2</v>
      </c>
      <c r="AC179" s="42">
        <f>Funktional!AS158</f>
        <v>5.5999645010909475E-2</v>
      </c>
      <c r="AD179" s="42">
        <f>Funktional!AO158</f>
        <v>4.9216231222042068E-3</v>
      </c>
      <c r="AE179" s="202">
        <f>Funktional!AV158</f>
        <v>4.1483945326112957E-2</v>
      </c>
      <c r="AF179" s="176"/>
      <c r="AG179" s="177"/>
      <c r="AH179" s="177">
        <f>Artengliederung!AN158</f>
        <v>0.51993468794547604</v>
      </c>
      <c r="AI179" s="178" t="str">
        <f t="shared" si="34"/>
        <v>Dussnang-Oberwangen (Schurten)</v>
      </c>
    </row>
    <row r="180" spans="1:35" x14ac:dyDescent="0.25">
      <c r="A180" s="41" t="str">
        <f>Funktional!A159</f>
        <v>Egg</v>
      </c>
      <c r="B180" s="41" t="str">
        <f>Funktional!B159</f>
        <v>KiGa</v>
      </c>
      <c r="C180" s="352">
        <f>Funktional!D159</f>
        <v>21</v>
      </c>
      <c r="D180" s="348">
        <f>Funktional!G159</f>
        <v>5238.0349509445023</v>
      </c>
      <c r="E180" s="186">
        <f>Funktional!F159</f>
        <v>109998.73396983455</v>
      </c>
      <c r="F180" s="48">
        <f>Funktional!U159</f>
        <v>3546.2705920558592</v>
      </c>
      <c r="G180" s="48">
        <f>Funktional!T159</f>
        <v>74471.682433173046</v>
      </c>
      <c r="H180" s="48">
        <f>Artengliederung!R159</f>
        <v>156.38374849018786</v>
      </c>
      <c r="I180" s="186">
        <f>Artengliederung!Q159</f>
        <v>3284.0587182939448</v>
      </c>
      <c r="J180" s="48">
        <f>Funktional!Z159</f>
        <v>345.88695661971724</v>
      </c>
      <c r="K180" s="48">
        <f>Funktional!Y159</f>
        <v>7263.626089014062</v>
      </c>
      <c r="L180" s="48">
        <f>'Kennzahlen Revision'!O159</f>
        <v>120.7200679218796</v>
      </c>
      <c r="M180" s="48">
        <f>'Kennzahlen Revision'!N159</f>
        <v>2535.1214263594716</v>
      </c>
      <c r="N180" s="80">
        <f>Funktional!AG159</f>
        <v>119.62812760901836</v>
      </c>
      <c r="O180" s="43">
        <f>Funktional!AF159</f>
        <v>2512.1906797893857</v>
      </c>
      <c r="P180" s="43">
        <f>Funktional!AL159</f>
        <v>861.98678247525618</v>
      </c>
      <c r="Q180" s="43">
        <f>Funktional!AK159</f>
        <v>18101.722431980379</v>
      </c>
      <c r="R180" s="80">
        <f>Funktional!AU159</f>
        <v>182.71952893587908</v>
      </c>
      <c r="S180" s="43">
        <f>Funktional!AT159</f>
        <v>3837.110107653461</v>
      </c>
      <c r="T180" s="80">
        <f>Funktional!AQ159</f>
        <v>19.253637566525505</v>
      </c>
      <c r="U180" s="43">
        <f>Funktional!AP159</f>
        <v>404.3263888970356</v>
      </c>
      <c r="V180" s="80">
        <f t="shared" si="35"/>
        <v>162.28932568224678</v>
      </c>
      <c r="W180" s="183">
        <f t="shared" si="35"/>
        <v>3408.0758393271763</v>
      </c>
      <c r="X180" s="172">
        <f>Funktional!S159</f>
        <v>0.677023086952944</v>
      </c>
      <c r="Y180" s="42">
        <f>Funktional!X159</f>
        <v>6.6033724451828688E-2</v>
      </c>
      <c r="Z180" s="42">
        <f>'Kennzahlen Revision'!L159</f>
        <v>2.3046823675758756E-2</v>
      </c>
      <c r="AA180" s="42">
        <f>Funktional!AE159</f>
        <v>2.283835994401822E-2</v>
      </c>
      <c r="AB180" s="42">
        <f>Funktional!AJ159</f>
        <v>0.16456300703374002</v>
      </c>
      <c r="AC180" s="42">
        <f>Funktional!AS159</f>
        <v>3.4883220644209678E-2</v>
      </c>
      <c r="AD180" s="42">
        <f>Funktional!AO159</f>
        <v>3.6757367499149207E-3</v>
      </c>
      <c r="AE180" s="202">
        <f>Funktional!AV159</f>
        <v>3.0982864223344453E-2</v>
      </c>
      <c r="AF180" s="176"/>
      <c r="AG180" s="177"/>
      <c r="AH180" s="177">
        <f>Artengliederung!AN159</f>
        <v>0.51129662066972337</v>
      </c>
      <c r="AI180" s="178" t="str">
        <f t="shared" si="34"/>
        <v>Egg</v>
      </c>
    </row>
    <row r="181" spans="1:35" hidden="1" x14ac:dyDescent="0.25">
      <c r="A181" s="41" t="str">
        <f>Funktional!A160</f>
        <v>Eggethof</v>
      </c>
      <c r="B181" s="41" t="str">
        <f>Funktional!B160</f>
        <v>KiGa</v>
      </c>
      <c r="C181" s="352">
        <f>Funktional!D160</f>
        <v>0</v>
      </c>
      <c r="D181" s="348">
        <f>Funktional!G160</f>
        <v>0</v>
      </c>
      <c r="E181" s="186">
        <f>Funktional!F160</f>
        <v>0</v>
      </c>
      <c r="F181" s="48">
        <f>Funktional!U160</f>
        <v>0</v>
      </c>
      <c r="G181" s="48">
        <f>Funktional!T160</f>
        <v>0</v>
      </c>
      <c r="H181" s="48">
        <f>Artengliederung!R160</f>
        <v>0</v>
      </c>
      <c r="I181" s="186">
        <f>Artengliederung!Q160</f>
        <v>0</v>
      </c>
      <c r="J181" s="48">
        <f>Funktional!Z160</f>
        <v>0</v>
      </c>
      <c r="K181" s="48">
        <f>Funktional!Y160</f>
        <v>0</v>
      </c>
      <c r="L181" s="48">
        <f>'Kennzahlen Revision'!O160</f>
        <v>0</v>
      </c>
      <c r="M181" s="48">
        <f>'Kennzahlen Revision'!N160</f>
        <v>0</v>
      </c>
      <c r="N181" s="80">
        <f>Funktional!AG160</f>
        <v>0</v>
      </c>
      <c r="O181" s="43">
        <f>Funktional!AF160</f>
        <v>0</v>
      </c>
      <c r="P181" s="43">
        <f>Funktional!AL160</f>
        <v>0</v>
      </c>
      <c r="Q181" s="43">
        <f>Funktional!AK160</f>
        <v>0</v>
      </c>
      <c r="R181" s="80">
        <f>Funktional!AU160</f>
        <v>0</v>
      </c>
      <c r="S181" s="43">
        <f>Funktional!AT160</f>
        <v>0</v>
      </c>
      <c r="T181" s="80">
        <f>Funktional!AQ160</f>
        <v>0</v>
      </c>
      <c r="U181" s="43">
        <f>Funktional!AP160</f>
        <v>0</v>
      </c>
      <c r="V181" s="80">
        <f t="shared" si="35"/>
        <v>0</v>
      </c>
      <c r="W181" s="183">
        <f t="shared" si="35"/>
        <v>0</v>
      </c>
      <c r="X181" s="172">
        <f>Funktional!S160</f>
        <v>0</v>
      </c>
      <c r="Y181" s="42">
        <f>Funktional!X160</f>
        <v>0</v>
      </c>
      <c r="Z181" s="42">
        <f>'Kennzahlen Revision'!L160</f>
        <v>0</v>
      </c>
      <c r="AA181" s="42">
        <f>Funktional!AE160</f>
        <v>0</v>
      </c>
      <c r="AB181" s="42">
        <f>Funktional!AJ160</f>
        <v>0</v>
      </c>
      <c r="AC181" s="42">
        <f>Funktional!AS160</f>
        <v>0</v>
      </c>
      <c r="AD181" s="42">
        <f>Funktional!AO160</f>
        <v>0</v>
      </c>
      <c r="AE181" s="202">
        <f>Funktional!AV160</f>
        <v>0</v>
      </c>
      <c r="AF181" s="176"/>
      <c r="AG181" s="177"/>
      <c r="AH181" s="177">
        <f>Artengliederung!AN160</f>
        <v>0</v>
      </c>
      <c r="AI181" s="178" t="str">
        <f t="shared" si="34"/>
        <v>Eggethof</v>
      </c>
    </row>
    <row r="182" spans="1:35" x14ac:dyDescent="0.25">
      <c r="A182" s="41" t="str">
        <f>Funktional!A161</f>
        <v>Egnach</v>
      </c>
      <c r="B182" s="41" t="str">
        <f>Funktional!B161</f>
        <v>KiGa</v>
      </c>
      <c r="C182" s="352">
        <f>Funktional!D161</f>
        <v>32</v>
      </c>
      <c r="D182" s="348">
        <f>Funktional!G161</f>
        <v>7284.4090026726099</v>
      </c>
      <c r="E182" s="186">
        <f>Funktional!F161</f>
        <v>116550.54404276176</v>
      </c>
      <c r="F182" s="48">
        <f>Funktional!U161</f>
        <v>4830.219009487083</v>
      </c>
      <c r="G182" s="48">
        <f>Funktional!T161</f>
        <v>77283.504151793328</v>
      </c>
      <c r="H182" s="48">
        <f>Artengliederung!R161</f>
        <v>213.23506627083339</v>
      </c>
      <c r="I182" s="186">
        <f>Artengliederung!Q161</f>
        <v>3411.7610603333342</v>
      </c>
      <c r="J182" s="48">
        <f>Funktional!Z161</f>
        <v>289.34056788152509</v>
      </c>
      <c r="K182" s="48">
        <f>Funktional!Y161</f>
        <v>4629.4490861044014</v>
      </c>
      <c r="L182" s="48">
        <f>'Kennzahlen Revision'!O161</f>
        <v>114.05395494067234</v>
      </c>
      <c r="M182" s="48">
        <f>'Kennzahlen Revision'!N161</f>
        <v>1824.8632790507575</v>
      </c>
      <c r="N182" s="80">
        <f>Funktional!AG161</f>
        <v>466.79911964119418</v>
      </c>
      <c r="O182" s="43">
        <f>Funktional!AF161</f>
        <v>7468.7859142591069</v>
      </c>
      <c r="P182" s="43">
        <f>Funktional!AL161</f>
        <v>832.88207700109956</v>
      </c>
      <c r="Q182" s="43">
        <f>Funktional!AK161</f>
        <v>13326.113232017593</v>
      </c>
      <c r="R182" s="80">
        <f>Funktional!AU161</f>
        <v>256.31429393253831</v>
      </c>
      <c r="S182" s="43">
        <f>Funktional!AT161</f>
        <v>4101.0287029206129</v>
      </c>
      <c r="T182" s="80">
        <f>Funktional!AQ161</f>
        <v>46.875986493118504</v>
      </c>
      <c r="U182" s="43">
        <f>Funktional!AP161</f>
        <v>750.01578388989606</v>
      </c>
      <c r="V182" s="80">
        <f t="shared" si="35"/>
        <v>561.97794823605113</v>
      </c>
      <c r="W182" s="183">
        <f t="shared" si="35"/>
        <v>8991.6471717768181</v>
      </c>
      <c r="X182" s="172">
        <f>Funktional!S161</f>
        <v>0.66309003348314211</v>
      </c>
      <c r="Y182" s="42">
        <f>Funktional!X161</f>
        <v>3.9720527468373568E-2</v>
      </c>
      <c r="Z182" s="42">
        <f>'Kennzahlen Revision'!L161</f>
        <v>1.5657269505161855E-2</v>
      </c>
      <c r="AA182" s="42">
        <f>Funktional!AE161</f>
        <v>6.4081948099005442E-2</v>
      </c>
      <c r="AB182" s="42">
        <f>Funktional!AJ161</f>
        <v>0.11433763215320826</v>
      </c>
      <c r="AC182" s="42">
        <f>Funktional!AS161</f>
        <v>3.518669721023325E-2</v>
      </c>
      <c r="AD182" s="42">
        <f>Funktional!AO161</f>
        <v>6.4351118225129808E-3</v>
      </c>
      <c r="AE182" s="202">
        <f>Funktional!AV161</f>
        <v>7.7148049763524407E-2</v>
      </c>
      <c r="AF182" s="176"/>
      <c r="AG182" s="177"/>
      <c r="AH182" s="177">
        <f>Artengliederung!AN161</f>
        <v>6.4469163918996403E-2</v>
      </c>
      <c r="AI182" s="178" t="str">
        <f t="shared" si="34"/>
        <v>Egnach</v>
      </c>
    </row>
    <row r="183" spans="1:35" hidden="1" x14ac:dyDescent="0.25">
      <c r="A183" s="41" t="str">
        <f>Funktional!A162</f>
        <v>Engelswilen-Dotnacht</v>
      </c>
      <c r="B183" s="41" t="str">
        <f>Funktional!B162</f>
        <v>KiGa</v>
      </c>
      <c r="C183" s="352">
        <f>Funktional!D162</f>
        <v>0</v>
      </c>
      <c r="D183" s="348">
        <f>Funktional!G162</f>
        <v>0</v>
      </c>
      <c r="E183" s="186">
        <f>Funktional!F162</f>
        <v>0</v>
      </c>
      <c r="F183" s="48">
        <f>Funktional!U162</f>
        <v>0</v>
      </c>
      <c r="G183" s="48">
        <f>Funktional!T162</f>
        <v>0</v>
      </c>
      <c r="H183" s="48">
        <f>Artengliederung!R162</f>
        <v>0</v>
      </c>
      <c r="I183" s="186">
        <f>Artengliederung!Q162</f>
        <v>0</v>
      </c>
      <c r="J183" s="48">
        <f>Funktional!Z162</f>
        <v>0</v>
      </c>
      <c r="K183" s="48">
        <f>Funktional!Y162</f>
        <v>0</v>
      </c>
      <c r="L183" s="48">
        <f>'Kennzahlen Revision'!O162</f>
        <v>0</v>
      </c>
      <c r="M183" s="48">
        <f>'Kennzahlen Revision'!N162</f>
        <v>0</v>
      </c>
      <c r="N183" s="80">
        <f>Funktional!AG162</f>
        <v>0</v>
      </c>
      <c r="O183" s="43">
        <f>Funktional!AF162</f>
        <v>0</v>
      </c>
      <c r="P183" s="43">
        <f>Funktional!AL162</f>
        <v>0</v>
      </c>
      <c r="Q183" s="43">
        <f>Funktional!AK162</f>
        <v>0</v>
      </c>
      <c r="R183" s="80">
        <f>Funktional!AU162</f>
        <v>0</v>
      </c>
      <c r="S183" s="43">
        <f>Funktional!AT162</f>
        <v>0</v>
      </c>
      <c r="T183" s="80">
        <f>Funktional!AQ162</f>
        <v>0</v>
      </c>
      <c r="U183" s="43">
        <f>Funktional!AP162</f>
        <v>0</v>
      </c>
      <c r="V183" s="80">
        <f t="shared" si="35"/>
        <v>0</v>
      </c>
      <c r="W183" s="183">
        <f t="shared" si="35"/>
        <v>0</v>
      </c>
      <c r="X183" s="172">
        <f>Funktional!S162</f>
        <v>0</v>
      </c>
      <c r="Y183" s="42">
        <f>Funktional!X162</f>
        <v>0</v>
      </c>
      <c r="Z183" s="42">
        <f>'Kennzahlen Revision'!L162</f>
        <v>0</v>
      </c>
      <c r="AA183" s="42">
        <f>Funktional!AE162</f>
        <v>0</v>
      </c>
      <c r="AB183" s="42">
        <f>Funktional!AJ162</f>
        <v>0</v>
      </c>
      <c r="AC183" s="42">
        <f>Funktional!AS162</f>
        <v>0</v>
      </c>
      <c r="AD183" s="42">
        <f>Funktional!AO162</f>
        <v>0</v>
      </c>
      <c r="AE183" s="202">
        <f>Funktional!AV162</f>
        <v>0</v>
      </c>
      <c r="AF183" s="176"/>
      <c r="AG183" s="177"/>
      <c r="AH183" s="177">
        <f>Artengliederung!AN162</f>
        <v>0</v>
      </c>
      <c r="AI183" s="178" t="str">
        <f t="shared" ref="AI183:AI214" si="36">A183</f>
        <v>Engelswilen-Dotnacht</v>
      </c>
    </row>
    <row r="184" spans="1:35" hidden="1" x14ac:dyDescent="0.25">
      <c r="A184" s="41" t="str">
        <f>Funktional!A163</f>
        <v>Engwang-Wagerswil</v>
      </c>
      <c r="B184" s="41" t="str">
        <f>Funktional!B163</f>
        <v>KiGa</v>
      </c>
      <c r="C184" s="352">
        <f>Funktional!D163</f>
        <v>0</v>
      </c>
      <c r="D184" s="348">
        <f>Funktional!G163</f>
        <v>0</v>
      </c>
      <c r="E184" s="186">
        <f>Funktional!F163</f>
        <v>0</v>
      </c>
      <c r="F184" s="48">
        <f>Funktional!U163</f>
        <v>0</v>
      </c>
      <c r="G184" s="48">
        <f>Funktional!T163</f>
        <v>0</v>
      </c>
      <c r="H184" s="48">
        <f>Artengliederung!R163</f>
        <v>0</v>
      </c>
      <c r="I184" s="186">
        <f>Artengliederung!Q163</f>
        <v>0</v>
      </c>
      <c r="J184" s="48">
        <f>Funktional!Z163</f>
        <v>0</v>
      </c>
      <c r="K184" s="48">
        <f>Funktional!Y163</f>
        <v>0</v>
      </c>
      <c r="L184" s="48">
        <f>'Kennzahlen Revision'!O163</f>
        <v>0</v>
      </c>
      <c r="M184" s="48">
        <f>'Kennzahlen Revision'!N163</f>
        <v>0</v>
      </c>
      <c r="N184" s="80">
        <f>Funktional!AG163</f>
        <v>0</v>
      </c>
      <c r="O184" s="43">
        <f>Funktional!AF163</f>
        <v>0</v>
      </c>
      <c r="P184" s="43">
        <f>Funktional!AL163</f>
        <v>0</v>
      </c>
      <c r="Q184" s="43">
        <f>Funktional!AK163</f>
        <v>0</v>
      </c>
      <c r="R184" s="80">
        <f>Funktional!AU163</f>
        <v>0</v>
      </c>
      <c r="S184" s="43">
        <f>Funktional!AT163</f>
        <v>0</v>
      </c>
      <c r="T184" s="80">
        <f>Funktional!AQ163</f>
        <v>0</v>
      </c>
      <c r="U184" s="43">
        <f>Funktional!AP163</f>
        <v>0</v>
      </c>
      <c r="V184" s="80">
        <f t="shared" si="35"/>
        <v>0</v>
      </c>
      <c r="W184" s="183">
        <f t="shared" si="35"/>
        <v>0</v>
      </c>
      <c r="X184" s="172">
        <f>Funktional!S163</f>
        <v>0</v>
      </c>
      <c r="Y184" s="42">
        <f>Funktional!X163</f>
        <v>0</v>
      </c>
      <c r="Z184" s="42">
        <f>'Kennzahlen Revision'!L163</f>
        <v>0</v>
      </c>
      <c r="AA184" s="42">
        <f>Funktional!AE163</f>
        <v>0</v>
      </c>
      <c r="AB184" s="42">
        <f>Funktional!AJ163</f>
        <v>0</v>
      </c>
      <c r="AC184" s="42">
        <f>Funktional!AS163</f>
        <v>0</v>
      </c>
      <c r="AD184" s="42">
        <f>Funktional!AO163</f>
        <v>0</v>
      </c>
      <c r="AE184" s="202">
        <f>Funktional!AV163</f>
        <v>0</v>
      </c>
      <c r="AF184" s="176"/>
      <c r="AG184" s="177"/>
      <c r="AH184" s="177">
        <f>Artengliederung!AN163</f>
        <v>0</v>
      </c>
      <c r="AI184" s="178" t="str">
        <f t="shared" si="36"/>
        <v>Engwang-Wagerswil</v>
      </c>
    </row>
    <row r="185" spans="1:35" x14ac:dyDescent="0.25">
      <c r="A185" s="41" t="str">
        <f>Funktional!A164&amp;" (inkl. Wäldi)"</f>
        <v>Ermatingen (inkl. Wäldi)</v>
      </c>
      <c r="B185" s="41" t="str">
        <f>Funktional!B164</f>
        <v>KiGa</v>
      </c>
      <c r="C185" s="352">
        <f>Funktional!D164</f>
        <v>55</v>
      </c>
      <c r="D185" s="348">
        <f>Funktional!G164</f>
        <v>8711.5127809280511</v>
      </c>
      <c r="E185" s="186">
        <f>Funktional!F164</f>
        <v>159711.0676503476</v>
      </c>
      <c r="F185" s="48">
        <f>Funktional!U164</f>
        <v>5051.4055562092644</v>
      </c>
      <c r="G185" s="48">
        <f>Funktional!T164</f>
        <v>92609.10186383652</v>
      </c>
      <c r="H185" s="48">
        <f>Artengliederung!R164</f>
        <v>197.99919556272044</v>
      </c>
      <c r="I185" s="186">
        <f>Artengliederung!Q164</f>
        <v>3629.9852519832079</v>
      </c>
      <c r="J185" s="48">
        <f>Funktional!Z164</f>
        <v>348.53745087468712</v>
      </c>
      <c r="K185" s="48">
        <f>Funktional!Y164</f>
        <v>6389.8532660359306</v>
      </c>
      <c r="L185" s="48">
        <f>'Kennzahlen Revision'!O164</f>
        <v>115.76365858659382</v>
      </c>
      <c r="M185" s="48">
        <f>'Kennzahlen Revision'!N164</f>
        <v>2122.3337407542199</v>
      </c>
      <c r="N185" s="80">
        <f>Funktional!AG164</f>
        <v>1261.0096453982169</v>
      </c>
      <c r="O185" s="43">
        <f>Funktional!AF164</f>
        <v>23118.510165633979</v>
      </c>
      <c r="P185" s="43">
        <f>Funktional!AL164</f>
        <v>1041.5944609662768</v>
      </c>
      <c r="Q185" s="43">
        <f>Funktional!AK164</f>
        <v>19095.898451048404</v>
      </c>
      <c r="R185" s="80">
        <f>Funktional!AU164</f>
        <v>451.08159077701185</v>
      </c>
      <c r="S185" s="43">
        <f>Funktional!AT164</f>
        <v>8269.8291642452168</v>
      </c>
      <c r="T185" s="80">
        <f>Funktional!AQ164</f>
        <v>28.612053706086542</v>
      </c>
      <c r="U185" s="43">
        <f>Funktional!AP164</f>
        <v>524.55431794491994</v>
      </c>
      <c r="V185" s="80">
        <f t="shared" si="35"/>
        <v>529.27202299650753</v>
      </c>
      <c r="W185" s="183">
        <f t="shared" si="35"/>
        <v>9703.3204216026206</v>
      </c>
      <c r="X185" s="172">
        <f>Funktional!S164</f>
        <v>0.57985400277070254</v>
      </c>
      <c r="Y185" s="42">
        <f>Funktional!X164</f>
        <v>4.0008831949111472E-2</v>
      </c>
      <c r="Z185" s="42">
        <f>'Kennzahlen Revision'!L164</f>
        <v>1.3288582763723081E-2</v>
      </c>
      <c r="AA185" s="42">
        <f>Funktional!AE164</f>
        <v>0.14475208578685914</v>
      </c>
      <c r="AB185" s="42">
        <f>Funktional!AJ164</f>
        <v>0.11956527955128753</v>
      </c>
      <c r="AC185" s="42">
        <f>Funktional!AS164</f>
        <v>5.1779937896039845E-2</v>
      </c>
      <c r="AD185" s="42">
        <f>Funktional!AO164</f>
        <v>3.2843955379054674E-3</v>
      </c>
      <c r="AE185" s="202">
        <f>Funktional!AV164</f>
        <v>6.0755466508093998E-2</v>
      </c>
      <c r="AF185" s="176"/>
      <c r="AG185" s="177"/>
      <c r="AH185" s="177">
        <f>Artengliederung!AN164</f>
        <v>1.9636690808363333E-2</v>
      </c>
      <c r="AI185" s="178" t="str">
        <f t="shared" si="36"/>
        <v>Ermatingen (inkl. Wäldi)</v>
      </c>
    </row>
    <row r="186" spans="1:35" x14ac:dyDescent="0.25">
      <c r="A186" s="41" t="str">
        <f>Funktional!A165</f>
        <v>Eschenz</v>
      </c>
      <c r="B186" s="41" t="str">
        <f>Funktional!B165</f>
        <v>KiGa</v>
      </c>
      <c r="C186" s="352">
        <f>Funktional!D165</f>
        <v>48</v>
      </c>
      <c r="D186" s="348">
        <f>Funktional!G165</f>
        <v>5143.947201033593</v>
      </c>
      <c r="E186" s="186">
        <f>Funktional!F165</f>
        <v>123454.73282480624</v>
      </c>
      <c r="F186" s="48">
        <f>Funktional!U165</f>
        <v>3587.109938396894</v>
      </c>
      <c r="G186" s="48">
        <f>Funktional!T165</f>
        <v>86090.638521525456</v>
      </c>
      <c r="H186" s="48">
        <f>Artengliederung!R165</f>
        <v>119.35700952640126</v>
      </c>
      <c r="I186" s="186">
        <f>Artengliederung!Q165</f>
        <v>2864.56822863363</v>
      </c>
      <c r="J186" s="48">
        <f>Funktional!Z165</f>
        <v>217.25711530992325</v>
      </c>
      <c r="K186" s="48">
        <f>Funktional!Y165</f>
        <v>5214.1707674381578</v>
      </c>
      <c r="L186" s="48">
        <f>'Kennzahlen Revision'!O165</f>
        <v>107.94436153414004</v>
      </c>
      <c r="M186" s="48">
        <f>'Kennzahlen Revision'!N165</f>
        <v>2590.6646768193609</v>
      </c>
      <c r="N186" s="80">
        <f>Funktional!AG165</f>
        <v>243.92463818746725</v>
      </c>
      <c r="O186" s="43">
        <f>Funktional!AF165</f>
        <v>5854.1913164992138</v>
      </c>
      <c r="P186" s="43">
        <f>Funktional!AL165</f>
        <v>492.82310902141694</v>
      </c>
      <c r="Q186" s="43">
        <f>Funktional!AK165</f>
        <v>11827.754616514007</v>
      </c>
      <c r="R186" s="80">
        <f>Funktional!AU165</f>
        <v>277.80337097335297</v>
      </c>
      <c r="S186" s="43">
        <f>Funktional!AT165</f>
        <v>6667.2809033604708</v>
      </c>
      <c r="T186" s="80">
        <f>Funktional!AQ165</f>
        <v>22.755527067921079</v>
      </c>
      <c r="U186" s="43">
        <f>Funktional!AP165</f>
        <v>546.1326496301059</v>
      </c>
      <c r="V186" s="80">
        <f t="shared" si="35"/>
        <v>302.2735020766176</v>
      </c>
      <c r="W186" s="183">
        <f t="shared" si="35"/>
        <v>7254.5640498388284</v>
      </c>
      <c r="X186" s="172">
        <f>Funktional!S165</f>
        <v>0.69734579267767793</v>
      </c>
      <c r="Y186" s="42">
        <f>Funktional!X165</f>
        <v>4.2235487033433959E-2</v>
      </c>
      <c r="Z186" s="42">
        <f>'Kennzahlen Revision'!L165</f>
        <v>2.0984733574335748E-2</v>
      </c>
      <c r="AA186" s="42">
        <f>Funktional!AE165</f>
        <v>4.74197398718351E-2</v>
      </c>
      <c r="AB186" s="42">
        <f>Funktional!AJ165</f>
        <v>9.580640892316937E-2</v>
      </c>
      <c r="AC186" s="42">
        <f>Funktional!AS165</f>
        <v>5.400587527755589E-2</v>
      </c>
      <c r="AD186" s="42">
        <f>Funktional!AO165</f>
        <v>4.4237481798702601E-3</v>
      </c>
      <c r="AE186" s="202">
        <f>Funktional!AV165</f>
        <v>5.8762948036457499E-2</v>
      </c>
      <c r="AF186" s="176"/>
      <c r="AG186" s="177"/>
      <c r="AH186" s="177">
        <f>Artengliederung!AN165</f>
        <v>0.26279325805294751</v>
      </c>
      <c r="AI186" s="178" t="str">
        <f t="shared" si="36"/>
        <v>Eschenz</v>
      </c>
    </row>
    <row r="187" spans="1:35" x14ac:dyDescent="0.25">
      <c r="A187" s="41" t="str">
        <f>Funktional!A166</f>
        <v>Ettenhausen</v>
      </c>
      <c r="B187" s="41" t="str">
        <f>Funktional!B166</f>
        <v>KiGa</v>
      </c>
      <c r="C187" s="352">
        <f>Funktional!D166</f>
        <v>28</v>
      </c>
      <c r="D187" s="348">
        <f>Funktional!G166</f>
        <v>6343.0860929921928</v>
      </c>
      <c r="E187" s="186">
        <f>Funktional!F166</f>
        <v>118404.27373585427</v>
      </c>
      <c r="F187" s="48">
        <f>Funktional!U166</f>
        <v>3982.5391353719492</v>
      </c>
      <c r="G187" s="48">
        <f>Funktional!T166</f>
        <v>74340.730526943051</v>
      </c>
      <c r="H187" s="48">
        <f>Artengliederung!R166</f>
        <v>248.36367140427907</v>
      </c>
      <c r="I187" s="186">
        <f>Artengliederung!Q166</f>
        <v>4636.1218662132096</v>
      </c>
      <c r="J187" s="48">
        <f>Funktional!Z166</f>
        <v>245.99454210508813</v>
      </c>
      <c r="K187" s="48">
        <f>Funktional!Y166</f>
        <v>4591.8981192949786</v>
      </c>
      <c r="L187" s="48">
        <f>'Kennzahlen Revision'!O166</f>
        <v>107.21084549823597</v>
      </c>
      <c r="M187" s="48">
        <f>'Kennzahlen Revision'!N166</f>
        <v>2001.2691159670715</v>
      </c>
      <c r="N187" s="80">
        <f>Funktional!AG166</f>
        <v>419.1948269697059</v>
      </c>
      <c r="O187" s="43">
        <f>Funktional!AF166</f>
        <v>7824.9701034345098</v>
      </c>
      <c r="P187" s="43">
        <f>Funktional!AL166</f>
        <v>811.70845179893604</v>
      </c>
      <c r="Q187" s="43">
        <f>Funktional!AK166</f>
        <v>15151.891100246807</v>
      </c>
      <c r="R187" s="80">
        <f>Funktional!AU166</f>
        <v>222.74958501263268</v>
      </c>
      <c r="S187" s="43">
        <f>Funktional!AT166</f>
        <v>4157.992253569143</v>
      </c>
      <c r="T187" s="80">
        <f>Funktional!AQ166</f>
        <v>26.289304784014501</v>
      </c>
      <c r="U187" s="43">
        <f>Funktional!AP166</f>
        <v>490.73368930160404</v>
      </c>
      <c r="V187" s="80">
        <f t="shared" si="35"/>
        <v>634.61024694986656</v>
      </c>
      <c r="W187" s="183">
        <f t="shared" si="35"/>
        <v>11846.057943064174</v>
      </c>
      <c r="X187" s="172">
        <f>Funktional!S166</f>
        <v>0.6278551287159474</v>
      </c>
      <c r="Y187" s="42">
        <f>Funktional!X166</f>
        <v>3.8781523456990687E-2</v>
      </c>
      <c r="Z187" s="42">
        <f>'Kennzahlen Revision'!L166</f>
        <v>1.6902000686492641E-2</v>
      </c>
      <c r="AA187" s="42">
        <f>Funktional!AE166</f>
        <v>6.6086889066952773E-2</v>
      </c>
      <c r="AB187" s="42">
        <f>Funktional!AJ166</f>
        <v>0.12796743413205555</v>
      </c>
      <c r="AC187" s="42">
        <f>Funktional!AS166</f>
        <v>3.5116910246374429E-2</v>
      </c>
      <c r="AD187" s="42">
        <f>Funktional!AO166</f>
        <v>4.1445606127053494E-3</v>
      </c>
      <c r="AE187" s="202">
        <f>Funktional!AV166</f>
        <v>0.10004755376897378</v>
      </c>
      <c r="AF187" s="176"/>
      <c r="AG187" s="177"/>
      <c r="AH187" s="177">
        <f>Artengliederung!AN166</f>
        <v>0.24974524427933475</v>
      </c>
      <c r="AI187" s="178" t="str">
        <f t="shared" si="36"/>
        <v>Ettenhausen</v>
      </c>
    </row>
    <row r="188" spans="1:35" x14ac:dyDescent="0.25">
      <c r="A188" s="41" t="str">
        <f>Funktional!A167</f>
        <v>Felben-Wellhausen</v>
      </c>
      <c r="B188" s="41" t="str">
        <f>Funktional!B167</f>
        <v>KiGa</v>
      </c>
      <c r="C188" s="352">
        <f>Funktional!D167</f>
        <v>60</v>
      </c>
      <c r="D188" s="348">
        <f>Funktional!G167</f>
        <v>5634.1946597384558</v>
      </c>
      <c r="E188" s="186">
        <f>Funktional!F167</f>
        <v>112683.89319476912</v>
      </c>
      <c r="F188" s="48">
        <f>Funktional!U167</f>
        <v>3726.5607331322358</v>
      </c>
      <c r="G188" s="48">
        <f>Funktional!T167</f>
        <v>74531.214662644707</v>
      </c>
      <c r="H188" s="48">
        <f>Artengliederung!R167</f>
        <v>167.3817543924666</v>
      </c>
      <c r="I188" s="186">
        <f>Artengliederung!Q167</f>
        <v>3347.6350878493322</v>
      </c>
      <c r="J188" s="48">
        <f>Funktional!Z167</f>
        <v>374.1758185577346</v>
      </c>
      <c r="K188" s="48">
        <f>Funktional!Y167</f>
        <v>7483.516371154692</v>
      </c>
      <c r="L188" s="48">
        <f>'Kennzahlen Revision'!O167</f>
        <v>97.514369034487942</v>
      </c>
      <c r="M188" s="48">
        <f>'Kennzahlen Revision'!N167</f>
        <v>1950.2873806897587</v>
      </c>
      <c r="N188" s="80">
        <f>Funktional!AG167</f>
        <v>417.03211221672501</v>
      </c>
      <c r="O188" s="43">
        <f>Funktional!AF167</f>
        <v>8340.6422443345</v>
      </c>
      <c r="P188" s="43">
        <f>Funktional!AL167</f>
        <v>570.15959296113056</v>
      </c>
      <c r="Q188" s="43">
        <f>Funktional!AK167</f>
        <v>11403.191859222612</v>
      </c>
      <c r="R188" s="80">
        <f>Funktional!AU167</f>
        <v>269.9037885179344</v>
      </c>
      <c r="S188" s="43">
        <f>Funktional!AT167</f>
        <v>5398.0757703586887</v>
      </c>
      <c r="T188" s="80">
        <f>Funktional!AQ167</f>
        <v>28.775594174997781</v>
      </c>
      <c r="U188" s="43">
        <f>Funktional!AP167</f>
        <v>575.51188349995562</v>
      </c>
      <c r="V188" s="80">
        <f t="shared" si="35"/>
        <v>247.58702017769772</v>
      </c>
      <c r="W188" s="183">
        <f t="shared" si="35"/>
        <v>4951.7404035539612</v>
      </c>
      <c r="X188" s="172">
        <f>Funktional!S167</f>
        <v>0.66141852708106919</v>
      </c>
      <c r="Y188" s="42">
        <f>Funktional!X167</f>
        <v>6.6411588728300011E-2</v>
      </c>
      <c r="Z188" s="42">
        <f>'Kennzahlen Revision'!L167</f>
        <v>1.7307596723861621E-2</v>
      </c>
      <c r="AA188" s="42">
        <f>Funktional!AE167</f>
        <v>7.4018051807262897E-2</v>
      </c>
      <c r="AB188" s="42">
        <f>Funktional!AJ167</f>
        <v>0.1011962893358033</v>
      </c>
      <c r="AC188" s="42">
        <f>Funktional!AS167</f>
        <v>4.7904590596886398E-2</v>
      </c>
      <c r="AD188" s="42">
        <f>Funktional!AO167</f>
        <v>5.1073127417172997E-3</v>
      </c>
      <c r="AE188" s="202">
        <f>Funktional!AV167</f>
        <v>4.3943639708960924E-2</v>
      </c>
      <c r="AF188" s="176"/>
      <c r="AG188" s="177"/>
      <c r="AH188" s="177">
        <f>Artengliederung!AN167</f>
        <v>6.2086055276663173E-2</v>
      </c>
      <c r="AI188" s="178" t="str">
        <f t="shared" si="36"/>
        <v>Felben-Wellhausen</v>
      </c>
    </row>
    <row r="189" spans="1:35" x14ac:dyDescent="0.25">
      <c r="A189" s="41" t="str">
        <f>Funktional!A168</f>
        <v>Fimmelsberg-Holzhäusern</v>
      </c>
      <c r="B189" s="41" t="str">
        <f>Funktional!B168</f>
        <v>KiGa</v>
      </c>
      <c r="C189" s="352">
        <f>Funktional!D168</f>
        <v>15</v>
      </c>
      <c r="D189" s="348">
        <f>Funktional!G168</f>
        <v>9675.4301199312358</v>
      </c>
      <c r="E189" s="186">
        <f>Funktional!F168</f>
        <v>290262.90359793708</v>
      </c>
      <c r="F189" s="48">
        <f>Funktional!U168</f>
        <v>6730.2451677214995</v>
      </c>
      <c r="G189" s="48">
        <f>Funktional!T168</f>
        <v>201907.35503164498</v>
      </c>
      <c r="H189" s="48">
        <f>Artengliederung!R168</f>
        <v>234.04156754080316</v>
      </c>
      <c r="I189" s="186">
        <f>Artengliederung!Q168</f>
        <v>7021.247026224095</v>
      </c>
      <c r="J189" s="48">
        <f>Funktional!Z168</f>
        <v>385.82534397876873</v>
      </c>
      <c r="K189" s="48">
        <f>Funktional!Y168</f>
        <v>11574.760319363062</v>
      </c>
      <c r="L189" s="48">
        <f>'Kennzahlen Revision'!O168</f>
        <v>142.84763643847847</v>
      </c>
      <c r="M189" s="48">
        <f>'Kennzahlen Revision'!N168</f>
        <v>4285.4290931543546</v>
      </c>
      <c r="N189" s="80">
        <f>Funktional!AG168</f>
        <v>632.61096137040477</v>
      </c>
      <c r="O189" s="43">
        <f>Funktional!AF168</f>
        <v>18978.328841112143</v>
      </c>
      <c r="P189" s="43">
        <f>Funktional!AL168</f>
        <v>603.4911305690008</v>
      </c>
      <c r="Q189" s="43">
        <f>Funktional!AK168</f>
        <v>18104.733917070025</v>
      </c>
      <c r="R189" s="80">
        <f>Funktional!AU168</f>
        <v>524.52903850685095</v>
      </c>
      <c r="S189" s="43">
        <f>Funktional!AT168</f>
        <v>15735.87115520553</v>
      </c>
      <c r="T189" s="80">
        <f>Funktional!AQ168</f>
        <v>49.257946405028484</v>
      </c>
      <c r="U189" s="43">
        <f>Funktional!AP168</f>
        <v>1477.7383921508545</v>
      </c>
      <c r="V189" s="80">
        <f t="shared" si="35"/>
        <v>749.47053137968282</v>
      </c>
      <c r="W189" s="183">
        <f t="shared" si="35"/>
        <v>22484.115941390472</v>
      </c>
      <c r="X189" s="172">
        <f>Funktional!S168</f>
        <v>0.69560165122347362</v>
      </c>
      <c r="Y189" s="42">
        <f>Funktional!X168</f>
        <v>3.9876815727703359E-2</v>
      </c>
      <c r="Z189" s="42">
        <f>'Kennzahlen Revision'!L168</f>
        <v>1.4763957226481805E-2</v>
      </c>
      <c r="AA189" s="42">
        <f>Funktional!AE168</f>
        <v>6.5383239145847996E-2</v>
      </c>
      <c r="AB189" s="42">
        <f>Funktional!AJ168</f>
        <v>6.2373571312950571E-2</v>
      </c>
      <c r="AC189" s="42">
        <f>Funktional!AS168</f>
        <v>5.4212477585500754E-2</v>
      </c>
      <c r="AD189" s="42">
        <f>Funktional!AO168</f>
        <v>5.0910342790402539E-3</v>
      </c>
      <c r="AE189" s="202">
        <f>Funktional!AV168</f>
        <v>7.7461210725483468E-2</v>
      </c>
      <c r="AF189" s="176"/>
      <c r="AG189" s="177"/>
      <c r="AH189" s="177">
        <f>Artengliederung!AN168</f>
        <v>0.44739149278849594</v>
      </c>
      <c r="AI189" s="178" t="str">
        <f t="shared" si="36"/>
        <v>Fimmelsberg-Holzhäusern</v>
      </c>
    </row>
    <row r="190" spans="1:35" x14ac:dyDescent="0.25">
      <c r="A190" s="41" t="str">
        <f>Funktional!A169&amp;" (inkl. Au, Dingetswil)"</f>
        <v>Fischingen (inkl. Au, Dingetswil)</v>
      </c>
      <c r="B190" s="41" t="str">
        <f>Funktional!B169</f>
        <v>KiGa</v>
      </c>
      <c r="C190" s="352">
        <f>Funktional!D169</f>
        <v>20</v>
      </c>
      <c r="D190" s="348">
        <f>Funktional!G169</f>
        <v>7860.1325048242288</v>
      </c>
      <c r="E190" s="186">
        <f>Funktional!F169</f>
        <v>157202.65009648458</v>
      </c>
      <c r="F190" s="48">
        <f>Funktional!U169</f>
        <v>5060.2476497989937</v>
      </c>
      <c r="G190" s="48">
        <f>Funktional!T169</f>
        <v>101204.95299597988</v>
      </c>
      <c r="H190" s="48">
        <f>Artengliederung!R169</f>
        <v>197.8501631720832</v>
      </c>
      <c r="I190" s="186">
        <f>Artengliederung!Q169</f>
        <v>3957.0032634416639</v>
      </c>
      <c r="J190" s="48">
        <f>Funktional!Z169</f>
        <v>211.75967894988958</v>
      </c>
      <c r="K190" s="48">
        <f>Funktional!Y169</f>
        <v>4235.1935789977915</v>
      </c>
      <c r="L190" s="48">
        <f>'Kennzahlen Revision'!O169</f>
        <v>105.69540864594521</v>
      </c>
      <c r="M190" s="48">
        <f>'Kennzahlen Revision'!N169</f>
        <v>2113.9081729189043</v>
      </c>
      <c r="N190" s="80">
        <f>Funktional!AG169</f>
        <v>205.12874728399728</v>
      </c>
      <c r="O190" s="43">
        <f>Funktional!AF169</f>
        <v>4102.5749456799458</v>
      </c>
      <c r="P190" s="43">
        <f>Funktional!AL169</f>
        <v>1379.0818302079474</v>
      </c>
      <c r="Q190" s="43">
        <f>Funktional!AK169</f>
        <v>27581.63660415895</v>
      </c>
      <c r="R190" s="80">
        <f>Funktional!AU169</f>
        <v>176.54687060511378</v>
      </c>
      <c r="S190" s="43">
        <f>Funktional!AT169</f>
        <v>3530.9374121022756</v>
      </c>
      <c r="T190" s="80">
        <f>Funktional!AQ169</f>
        <v>17.951675840631321</v>
      </c>
      <c r="U190" s="43">
        <f>Funktional!AP169</f>
        <v>359.03351681262643</v>
      </c>
      <c r="V190" s="80">
        <f t="shared" si="35"/>
        <v>809.41605213765604</v>
      </c>
      <c r="W190" s="183">
        <f t="shared" si="35"/>
        <v>16188.321042753101</v>
      </c>
      <c r="X190" s="172">
        <f>Funktional!S169</f>
        <v>0.64378655788477113</v>
      </c>
      <c r="Y190" s="42">
        <f>Funktional!X169</f>
        <v>2.6940980806611101E-2</v>
      </c>
      <c r="Z190" s="42">
        <f>'Kennzahlen Revision'!L169</f>
        <v>1.3447026316804923E-2</v>
      </c>
      <c r="AA190" s="42">
        <f>Funktional!AE169</f>
        <v>2.6097365045448996E-2</v>
      </c>
      <c r="AB190" s="42">
        <f>Funktional!AJ169</f>
        <v>0.17545274578533165</v>
      </c>
      <c r="AC190" s="42">
        <f>Funktional!AS169</f>
        <v>2.2461055268057695E-2</v>
      </c>
      <c r="AD190" s="42">
        <f>Funktional!AO169</f>
        <v>2.2838897219115981E-3</v>
      </c>
      <c r="AE190" s="202">
        <f>Funktional!AV169</f>
        <v>0.10297740548786782</v>
      </c>
      <c r="AF190" s="176"/>
      <c r="AG190" s="177"/>
      <c r="AH190" s="177">
        <f>Artengliederung!AN169</f>
        <v>0.61164091528646258</v>
      </c>
      <c r="AI190" s="178" t="str">
        <f t="shared" si="36"/>
        <v>Fischingen (inkl. Au, Dingetswil)</v>
      </c>
    </row>
    <row r="191" spans="1:35" x14ac:dyDescent="0.25">
      <c r="A191" s="41" t="str">
        <f>Funktional!A170</f>
        <v>Frauenfeld</v>
      </c>
      <c r="B191" s="41" t="str">
        <f>Funktional!B170</f>
        <v>KiGa</v>
      </c>
      <c r="C191" s="352">
        <f>Funktional!D170</f>
        <v>476</v>
      </c>
      <c r="D191" s="348">
        <f>Funktional!G170</f>
        <v>7064.061561510327</v>
      </c>
      <c r="E191" s="186">
        <f>Funktional!F170</f>
        <v>152840.60469449617</v>
      </c>
      <c r="F191" s="48">
        <f>Funktional!U170</f>
        <v>4628.9305630839817</v>
      </c>
      <c r="G191" s="48">
        <f>Funktional!T170</f>
        <v>100153.22491036252</v>
      </c>
      <c r="H191" s="48">
        <f>Artengliederung!R170</f>
        <v>160.72535924691587</v>
      </c>
      <c r="I191" s="186">
        <f>Artengliederung!Q170</f>
        <v>3477.5123182514526</v>
      </c>
      <c r="J191" s="48">
        <f>Funktional!Z170</f>
        <v>403.36978201089948</v>
      </c>
      <c r="K191" s="48">
        <f>Funktional!Y170</f>
        <v>8727.4552835085524</v>
      </c>
      <c r="L191" s="48">
        <f>'Kennzahlen Revision'!O170</f>
        <v>0</v>
      </c>
      <c r="M191" s="48">
        <f>'Kennzahlen Revision'!N170</f>
        <v>0</v>
      </c>
      <c r="N191" s="80">
        <f>Funktional!AG170</f>
        <v>467.89799371047735</v>
      </c>
      <c r="O191" s="43">
        <f>Funktional!AF170</f>
        <v>10123.611136644873</v>
      </c>
      <c r="P191" s="43">
        <f>Funktional!AL170</f>
        <v>550.5072597765469</v>
      </c>
      <c r="Q191" s="43">
        <f>Funktional!AK170</f>
        <v>11910.975256983469</v>
      </c>
      <c r="R191" s="80">
        <f>Funktional!AU170</f>
        <v>472.84724635021166</v>
      </c>
      <c r="S191" s="43">
        <f>Funktional!AT170</f>
        <v>10230.694966486397</v>
      </c>
      <c r="T191" s="80">
        <f>Funktional!AQ170</f>
        <v>-23.602275023944248</v>
      </c>
      <c r="U191" s="43">
        <f>Funktional!AP170</f>
        <v>-510.66740506352102</v>
      </c>
      <c r="V191" s="80">
        <f t="shared" ref="V191:W207" si="37">D191-F191-J191-N191-P191-R191-T191</f>
        <v>564.11099160215406</v>
      </c>
      <c r="W191" s="183">
        <f t="shared" si="37"/>
        <v>12205.310545573882</v>
      </c>
      <c r="X191" s="172">
        <f>Funktional!S170</f>
        <v>0.65527891040834818</v>
      </c>
      <c r="Y191" s="42">
        <f>Funktional!X170</f>
        <v>5.710167989032322E-2</v>
      </c>
      <c r="Z191" s="42">
        <f>'Kennzahlen Revision'!L170</f>
        <v>0</v>
      </c>
      <c r="AA191" s="42">
        <f>Funktional!AE170</f>
        <v>6.6236398088586126E-2</v>
      </c>
      <c r="AB191" s="42">
        <f>Funktional!AJ170</f>
        <v>7.7930699638303555E-2</v>
      </c>
      <c r="AC191" s="42">
        <f>Funktional!AS170</f>
        <v>6.6937022311158181E-2</v>
      </c>
      <c r="AD191" s="42">
        <f>Funktional!AO170</f>
        <v>-3.3411762933303175E-3</v>
      </c>
      <c r="AE191" s="202">
        <f>Funktional!AV170</f>
        <v>7.9856465956611042E-2</v>
      </c>
      <c r="AF191" s="176"/>
      <c r="AG191" s="177"/>
      <c r="AH191" s="177">
        <f>Artengliederung!AN170</f>
        <v>3.5294488632482642E-2</v>
      </c>
      <c r="AI191" s="178" t="str">
        <f t="shared" si="36"/>
        <v>Frauenfeld</v>
      </c>
    </row>
    <row r="192" spans="1:35" hidden="1" x14ac:dyDescent="0.25">
      <c r="A192" s="41" t="str">
        <f>Funktional!A171</f>
        <v>Friltschen</v>
      </c>
      <c r="B192" s="41" t="str">
        <f>Funktional!B171</f>
        <v>KiGa</v>
      </c>
      <c r="C192" s="352">
        <f>Funktional!D171</f>
        <v>0</v>
      </c>
      <c r="D192" s="348">
        <f>Funktional!G171</f>
        <v>0</v>
      </c>
      <c r="E192" s="186">
        <f>Funktional!F171</f>
        <v>0</v>
      </c>
      <c r="F192" s="48">
        <f>Funktional!U171</f>
        <v>0</v>
      </c>
      <c r="G192" s="48">
        <f>Funktional!T171</f>
        <v>0</v>
      </c>
      <c r="H192" s="48">
        <f>Artengliederung!R171</f>
        <v>0</v>
      </c>
      <c r="I192" s="186">
        <f>Artengliederung!Q171</f>
        <v>0</v>
      </c>
      <c r="J192" s="48">
        <f>Funktional!Z171</f>
        <v>0</v>
      </c>
      <c r="K192" s="48">
        <f>Funktional!Y171</f>
        <v>0</v>
      </c>
      <c r="L192" s="48">
        <f>'Kennzahlen Revision'!O171</f>
        <v>0</v>
      </c>
      <c r="M192" s="48">
        <f>'Kennzahlen Revision'!N171</f>
        <v>0</v>
      </c>
      <c r="N192" s="80">
        <f>Funktional!AG171</f>
        <v>0</v>
      </c>
      <c r="O192" s="43">
        <f>Funktional!AF171</f>
        <v>0</v>
      </c>
      <c r="P192" s="43">
        <f>Funktional!AL171</f>
        <v>0</v>
      </c>
      <c r="Q192" s="43">
        <f>Funktional!AK171</f>
        <v>0</v>
      </c>
      <c r="R192" s="80">
        <f>Funktional!AU171</f>
        <v>0</v>
      </c>
      <c r="S192" s="43">
        <f>Funktional!AT171</f>
        <v>0</v>
      </c>
      <c r="T192" s="80">
        <f>Funktional!AQ171</f>
        <v>0</v>
      </c>
      <c r="U192" s="43">
        <f>Funktional!AP171</f>
        <v>0</v>
      </c>
      <c r="V192" s="80">
        <f t="shared" si="37"/>
        <v>0</v>
      </c>
      <c r="W192" s="183">
        <f t="shared" si="37"/>
        <v>0</v>
      </c>
      <c r="X192" s="172">
        <f>Funktional!S171</f>
        <v>0</v>
      </c>
      <c r="Y192" s="42">
        <f>Funktional!X171</f>
        <v>0</v>
      </c>
      <c r="Z192" s="42">
        <f>'Kennzahlen Revision'!L171</f>
        <v>0</v>
      </c>
      <c r="AA192" s="42">
        <f>Funktional!AE171</f>
        <v>0</v>
      </c>
      <c r="AB192" s="42">
        <f>Funktional!AJ171</f>
        <v>0</v>
      </c>
      <c r="AC192" s="42">
        <f>Funktional!AS171</f>
        <v>0</v>
      </c>
      <c r="AD192" s="42">
        <f>Funktional!AO171</f>
        <v>0</v>
      </c>
      <c r="AE192" s="202">
        <f>Funktional!AV171</f>
        <v>0</v>
      </c>
      <c r="AF192" s="176"/>
      <c r="AG192" s="177"/>
      <c r="AH192" s="177">
        <f>Artengliederung!AN171</f>
        <v>0</v>
      </c>
      <c r="AI192" s="178" t="str">
        <f t="shared" si="36"/>
        <v>Friltschen</v>
      </c>
    </row>
    <row r="193" spans="1:35" x14ac:dyDescent="0.25">
      <c r="A193" s="41" t="str">
        <f>Funktional!A172</f>
        <v>Gachnang</v>
      </c>
      <c r="B193" s="41" t="str">
        <f>Funktional!B172</f>
        <v>KiGa</v>
      </c>
      <c r="C193" s="352">
        <f>Funktional!D172</f>
        <v>87</v>
      </c>
      <c r="D193" s="348">
        <f>Funktional!G172</f>
        <v>6347.7241388493912</v>
      </c>
      <c r="E193" s="186">
        <f>Funktional!F172</f>
        <v>138063.00001997425</v>
      </c>
      <c r="F193" s="48">
        <f>Funktional!U172</f>
        <v>4325.9749468280434</v>
      </c>
      <c r="G193" s="48">
        <f>Funktional!T172</f>
        <v>94089.95509350994</v>
      </c>
      <c r="H193" s="48">
        <f>Artengliederung!R172</f>
        <v>152.4286799007586</v>
      </c>
      <c r="I193" s="186">
        <f>Artengliederung!Q172</f>
        <v>3315.3237878414993</v>
      </c>
      <c r="J193" s="48">
        <f>Funktional!Z172</f>
        <v>385.01850757500716</v>
      </c>
      <c r="K193" s="48">
        <f>Funktional!Y172</f>
        <v>8374.1525397564055</v>
      </c>
      <c r="L193" s="48">
        <f>'Kennzahlen Revision'!O172</f>
        <v>187.40502672331797</v>
      </c>
      <c r="M193" s="48">
        <f>'Kennzahlen Revision'!N172</f>
        <v>4076.0593312321662</v>
      </c>
      <c r="N193" s="80">
        <f>Funktional!AG172</f>
        <v>395.37630612158154</v>
      </c>
      <c r="O193" s="43">
        <f>Funktional!AF172</f>
        <v>8599.4346581443988</v>
      </c>
      <c r="P193" s="43">
        <f>Funktional!AL172</f>
        <v>750.06958915582027</v>
      </c>
      <c r="Q193" s="43">
        <f>Funktional!AK172</f>
        <v>16314.01356413909</v>
      </c>
      <c r="R193" s="80">
        <f>Funktional!AU172</f>
        <v>283.14619765403313</v>
      </c>
      <c r="S193" s="43">
        <f>Funktional!AT172</f>
        <v>6158.4297989752204</v>
      </c>
      <c r="T193" s="80">
        <f>Funktional!AQ172</f>
        <v>16.315442986320367</v>
      </c>
      <c r="U193" s="43">
        <f>Funktional!AP172</f>
        <v>354.86088495246798</v>
      </c>
      <c r="V193" s="80">
        <f t="shared" si="37"/>
        <v>191.82314852858542</v>
      </c>
      <c r="W193" s="183">
        <f t="shared" si="37"/>
        <v>4172.1534804967314</v>
      </c>
      <c r="X193" s="172">
        <f>Funktional!S172</f>
        <v>0.68150014906164202</v>
      </c>
      <c r="Y193" s="42">
        <f>Funktional!X172</f>
        <v>6.0654574640163376E-2</v>
      </c>
      <c r="Z193" s="42">
        <f>'Kennzahlen Revision'!L172</f>
        <v>2.9523183841017962E-2</v>
      </c>
      <c r="AA193" s="42">
        <f>Funktional!AE172</f>
        <v>6.2286308836547635E-2</v>
      </c>
      <c r="AB193" s="42">
        <f>Funktional!AJ172</f>
        <v>0.11816354535088229</v>
      </c>
      <c r="AC193" s="42">
        <f>Funktional!AS172</f>
        <v>4.4605939303682014E-2</v>
      </c>
      <c r="AD193" s="42">
        <f>Funktional!AO172</f>
        <v>2.5702822979446231E-3</v>
      </c>
      <c r="AE193" s="202">
        <f>Funktional!AV172</f>
        <v>3.0219200509138018E-2</v>
      </c>
      <c r="AF193" s="176"/>
      <c r="AG193" s="177"/>
      <c r="AH193" s="177">
        <f>Artengliederung!AN172</f>
        <v>8.206650721103767E-2</v>
      </c>
      <c r="AI193" s="178" t="str">
        <f t="shared" si="36"/>
        <v>Gachnang</v>
      </c>
    </row>
    <row r="194" spans="1:35" x14ac:dyDescent="0.25">
      <c r="A194" s="41" t="str">
        <f>Funktional!A173</f>
        <v>Götighofen</v>
      </c>
      <c r="B194" s="41" t="str">
        <f>Funktional!B173</f>
        <v>KiGa</v>
      </c>
      <c r="C194" s="352">
        <f>Funktional!D173</f>
        <v>18</v>
      </c>
      <c r="D194" s="348">
        <f>Funktional!G173</f>
        <v>9573.8696984724011</v>
      </c>
      <c r="E194" s="186">
        <f>Funktional!F173</f>
        <v>172329.65457250323</v>
      </c>
      <c r="F194" s="48">
        <f>Funktional!U173</f>
        <v>5756.1572522691777</v>
      </c>
      <c r="G194" s="48">
        <f>Funktional!T173</f>
        <v>103610.8305408452</v>
      </c>
      <c r="H194" s="48">
        <f>Artengliederung!R173</f>
        <v>216.96024628879641</v>
      </c>
      <c r="I194" s="186">
        <f>Artengliederung!Q173</f>
        <v>3905.2844331983356</v>
      </c>
      <c r="J194" s="48">
        <f>Funktional!Z173</f>
        <v>358.25292543269302</v>
      </c>
      <c r="K194" s="48">
        <f>Funktional!Y173</f>
        <v>6448.5526577884739</v>
      </c>
      <c r="L194" s="48">
        <f>'Kennzahlen Revision'!O173</f>
        <v>154.17900543382359</v>
      </c>
      <c r="M194" s="48">
        <f>'Kennzahlen Revision'!N173</f>
        <v>2775.2220978088244</v>
      </c>
      <c r="N194" s="80">
        <f>Funktional!AG173</f>
        <v>1124.0853667920003</v>
      </c>
      <c r="O194" s="43">
        <f>Funktional!AF173</f>
        <v>20233.536602256005</v>
      </c>
      <c r="P194" s="43">
        <f>Funktional!AL173</f>
        <v>753.50487328980284</v>
      </c>
      <c r="Q194" s="43">
        <f>Funktional!AK173</f>
        <v>13563.087719216452</v>
      </c>
      <c r="R194" s="80">
        <f>Funktional!AU173</f>
        <v>512.34133663339662</v>
      </c>
      <c r="S194" s="43">
        <f>Funktional!AT173</f>
        <v>9222.1440594011401</v>
      </c>
      <c r="T194" s="80">
        <f>Funktional!AQ173</f>
        <v>55.346324071041792</v>
      </c>
      <c r="U194" s="43">
        <f>Funktional!AP173</f>
        <v>996.23383327875229</v>
      </c>
      <c r="V194" s="80">
        <f t="shared" si="37"/>
        <v>1014.1816199842893</v>
      </c>
      <c r="W194" s="183">
        <f t="shared" si="37"/>
        <v>18255.269159717212</v>
      </c>
      <c r="X194" s="172">
        <f>Funktional!S173</f>
        <v>0.60123622250547504</v>
      </c>
      <c r="Y194" s="42">
        <f>Funktional!X173</f>
        <v>3.7419866440197687E-2</v>
      </c>
      <c r="Z194" s="42">
        <f>'Kennzahlen Revision'!L173</f>
        <v>1.6104147047084235E-2</v>
      </c>
      <c r="AA194" s="42">
        <f>Funktional!AE173</f>
        <v>0.11741180966473341</v>
      </c>
      <c r="AB194" s="42">
        <f>Funktional!AJ173</f>
        <v>7.8704316751880526E-2</v>
      </c>
      <c r="AC194" s="42">
        <f>Funktional!AS173</f>
        <v>5.3514550831535279E-2</v>
      </c>
      <c r="AD194" s="42">
        <f>Funktional!AO173</f>
        <v>5.780977370088169E-3</v>
      </c>
      <c r="AE194" s="202">
        <f>Funktional!AV173</f>
        <v>0.10593225643608992</v>
      </c>
      <c r="AF194" s="176"/>
      <c r="AG194" s="177"/>
      <c r="AH194" s="177">
        <f>Artengliederung!AN173</f>
        <v>0.4703103886265696</v>
      </c>
      <c r="AI194" s="178" t="str">
        <f t="shared" si="36"/>
        <v>Götighofen</v>
      </c>
    </row>
    <row r="195" spans="1:35" hidden="1" x14ac:dyDescent="0.25">
      <c r="A195" s="41" t="str">
        <f>Funktional!A174</f>
        <v>Gottlieben</v>
      </c>
      <c r="B195" s="41" t="str">
        <f>Funktional!B174</f>
        <v>KiGa</v>
      </c>
      <c r="C195" s="352">
        <f>Funktional!D174</f>
        <v>0</v>
      </c>
      <c r="D195" s="348">
        <f>Funktional!G174</f>
        <v>0</v>
      </c>
      <c r="E195" s="186">
        <f>Funktional!F174</f>
        <v>0</v>
      </c>
      <c r="F195" s="48">
        <f>Funktional!U174</f>
        <v>0</v>
      </c>
      <c r="G195" s="48">
        <f>Funktional!T174</f>
        <v>0</v>
      </c>
      <c r="H195" s="48">
        <f>Artengliederung!R174</f>
        <v>0</v>
      </c>
      <c r="I195" s="186">
        <f>Artengliederung!Q174</f>
        <v>0</v>
      </c>
      <c r="J195" s="48">
        <f>Funktional!Z174</f>
        <v>0</v>
      </c>
      <c r="K195" s="48">
        <f>Funktional!Y174</f>
        <v>0</v>
      </c>
      <c r="L195" s="48">
        <f>'Kennzahlen Revision'!O174</f>
        <v>0</v>
      </c>
      <c r="M195" s="48">
        <f>'Kennzahlen Revision'!N174</f>
        <v>0</v>
      </c>
      <c r="N195" s="80">
        <f>Funktional!AG174</f>
        <v>0</v>
      </c>
      <c r="O195" s="43">
        <f>Funktional!AF174</f>
        <v>0</v>
      </c>
      <c r="P195" s="43">
        <f>Funktional!AL174</f>
        <v>0</v>
      </c>
      <c r="Q195" s="43">
        <f>Funktional!AK174</f>
        <v>0</v>
      </c>
      <c r="R195" s="80">
        <f>Funktional!AU174</f>
        <v>0</v>
      </c>
      <c r="S195" s="43">
        <f>Funktional!AT174</f>
        <v>0</v>
      </c>
      <c r="T195" s="80">
        <f>Funktional!AQ174</f>
        <v>0</v>
      </c>
      <c r="U195" s="43">
        <f>Funktional!AP174</f>
        <v>0</v>
      </c>
      <c r="V195" s="80">
        <f t="shared" si="37"/>
        <v>0</v>
      </c>
      <c r="W195" s="183">
        <f t="shared" si="37"/>
        <v>0</v>
      </c>
      <c r="X195" s="172">
        <f>Funktional!S174</f>
        <v>0</v>
      </c>
      <c r="Y195" s="42">
        <f>Funktional!X174</f>
        <v>0</v>
      </c>
      <c r="Z195" s="42">
        <f>'Kennzahlen Revision'!L174</f>
        <v>0</v>
      </c>
      <c r="AA195" s="42">
        <f>Funktional!AE174</f>
        <v>0</v>
      </c>
      <c r="AB195" s="42">
        <f>Funktional!AJ174</f>
        <v>0</v>
      </c>
      <c r="AC195" s="42">
        <f>Funktional!AS174</f>
        <v>0</v>
      </c>
      <c r="AD195" s="42">
        <f>Funktional!AO174</f>
        <v>0</v>
      </c>
      <c r="AE195" s="202">
        <f>Funktional!AV174</f>
        <v>0</v>
      </c>
      <c r="AF195" s="176"/>
      <c r="AG195" s="177"/>
      <c r="AH195" s="177">
        <f>Artengliederung!AN174</f>
        <v>0</v>
      </c>
      <c r="AI195" s="178" t="str">
        <f t="shared" si="36"/>
        <v>Gottlieben</v>
      </c>
    </row>
    <row r="196" spans="1:35" x14ac:dyDescent="0.25">
      <c r="A196" s="41" t="str">
        <f>Funktional!A175</f>
        <v>Gottshaus</v>
      </c>
      <c r="B196" s="41" t="str">
        <f>Funktional!B175</f>
        <v>KiGa</v>
      </c>
      <c r="C196" s="352">
        <f>Funktional!D175</f>
        <v>17</v>
      </c>
      <c r="D196" s="348">
        <f>Funktional!G175</f>
        <v>7419.1425884555201</v>
      </c>
      <c r="E196" s="186">
        <f>Funktional!F175</f>
        <v>252250.84800748769</v>
      </c>
      <c r="F196" s="48">
        <f>Funktional!U175</f>
        <v>5094.1943555005055</v>
      </c>
      <c r="G196" s="48">
        <f>Funktional!T175</f>
        <v>173202.6080870172</v>
      </c>
      <c r="H196" s="48">
        <f>Artengliederung!R175</f>
        <v>181.34562347438086</v>
      </c>
      <c r="I196" s="186">
        <f>Artengliederung!Q175</f>
        <v>6165.751198128949</v>
      </c>
      <c r="J196" s="48">
        <f>Funktional!Z175</f>
        <v>360.00118821092718</v>
      </c>
      <c r="K196" s="48">
        <f>Funktional!Y175</f>
        <v>12240.040399171525</v>
      </c>
      <c r="L196" s="48">
        <f>'Kennzahlen Revision'!O175</f>
        <v>181.05414191401499</v>
      </c>
      <c r="M196" s="48">
        <f>'Kennzahlen Revision'!N175</f>
        <v>6155.8408250765096</v>
      </c>
      <c r="N196" s="80">
        <f>Funktional!AG175</f>
        <v>132.51290214224028</v>
      </c>
      <c r="O196" s="43">
        <f>Funktional!AF175</f>
        <v>4505.4386728361696</v>
      </c>
      <c r="P196" s="43">
        <f>Funktional!AL175</f>
        <v>1358.4429835345816</v>
      </c>
      <c r="Q196" s="43">
        <f>Funktional!AK175</f>
        <v>46187.06144017577</v>
      </c>
      <c r="R196" s="80">
        <f>Funktional!AU175</f>
        <v>23.01026454454626</v>
      </c>
      <c r="S196" s="43">
        <f>Funktional!AT175</f>
        <v>782.34899451457284</v>
      </c>
      <c r="T196" s="80">
        <f>Funktional!AQ175</f>
        <v>28.29595292033774</v>
      </c>
      <c r="U196" s="43">
        <f>Funktional!AP175</f>
        <v>962.06239929148319</v>
      </c>
      <c r="V196" s="80">
        <f t="shared" si="37"/>
        <v>422.68494160238146</v>
      </c>
      <c r="W196" s="183">
        <f t="shared" si="37"/>
        <v>14371.288014480961</v>
      </c>
      <c r="X196" s="172">
        <f>Funktional!S175</f>
        <v>0.68662844725848426</v>
      </c>
      <c r="Y196" s="42">
        <f>Funktional!X175</f>
        <v>4.8523287417484511E-2</v>
      </c>
      <c r="Z196" s="42">
        <f>'Kennzahlen Revision'!L175</f>
        <v>2.4403647693163683E-2</v>
      </c>
      <c r="AA196" s="42">
        <f>Funktional!AE175</f>
        <v>1.7860945596117214E-2</v>
      </c>
      <c r="AB196" s="42">
        <f>Funktional!AJ175</f>
        <v>0.18309972713671424</v>
      </c>
      <c r="AC196" s="42">
        <f>Funktional!AS175</f>
        <v>3.1014722079005658E-3</v>
      </c>
      <c r="AD196" s="42">
        <f>Funktional!AO175</f>
        <v>3.8139114571496932E-3</v>
      </c>
      <c r="AE196" s="202">
        <f>Funktional!AV175</f>
        <v>5.6972208926149501E-2</v>
      </c>
      <c r="AF196" s="176"/>
      <c r="AG196" s="177"/>
      <c r="AH196" s="177">
        <f>Artengliederung!AN175</f>
        <v>0.39803506457052662</v>
      </c>
      <c r="AI196" s="178" t="str">
        <f t="shared" si="36"/>
        <v>Gottshaus</v>
      </c>
    </row>
    <row r="197" spans="1:35" x14ac:dyDescent="0.25">
      <c r="A197" s="41" t="str">
        <f>Funktional!A176</f>
        <v>Gündelhart-Hörhausen</v>
      </c>
      <c r="B197" s="41" t="str">
        <f>Funktional!B176</f>
        <v>KiGa</v>
      </c>
      <c r="C197" s="352">
        <f>Funktional!D176</f>
        <v>20</v>
      </c>
      <c r="D197" s="348">
        <f>Funktional!G176</f>
        <v>5309.1761018721609</v>
      </c>
      <c r="E197" s="186">
        <f>Funktional!F176</f>
        <v>212367.04407488642</v>
      </c>
      <c r="F197" s="48">
        <f>Funktional!U176</f>
        <v>3584.208173217402</v>
      </c>
      <c r="G197" s="48">
        <f>Funktional!T176</f>
        <v>143368.32692869607</v>
      </c>
      <c r="H197" s="48">
        <f>Artengliederung!R176</f>
        <v>157.22652276769534</v>
      </c>
      <c r="I197" s="186">
        <f>Artengliederung!Q176</f>
        <v>6289.0609107078135</v>
      </c>
      <c r="J197" s="48">
        <f>Funktional!Z176</f>
        <v>234.73393024790744</v>
      </c>
      <c r="K197" s="48">
        <f>Funktional!Y176</f>
        <v>9389.3572099162975</v>
      </c>
      <c r="L197" s="48">
        <f>'Kennzahlen Revision'!O176</f>
        <v>99.574590459652896</v>
      </c>
      <c r="M197" s="48">
        <f>'Kennzahlen Revision'!N176</f>
        <v>3982.9836183861157</v>
      </c>
      <c r="N197" s="80">
        <f>Funktional!AG176</f>
        <v>256.68253538222928</v>
      </c>
      <c r="O197" s="43">
        <f>Funktional!AF176</f>
        <v>10267.30141528917</v>
      </c>
      <c r="P197" s="43">
        <f>Funktional!AL176</f>
        <v>714.78725037721392</v>
      </c>
      <c r="Q197" s="43">
        <f>Funktional!AK176</f>
        <v>28591.490015088555</v>
      </c>
      <c r="R197" s="80">
        <f>Funktional!AU176</f>
        <v>212.52938176477036</v>
      </c>
      <c r="S197" s="43">
        <f>Funktional!AT176</f>
        <v>8501.1752705908148</v>
      </c>
      <c r="T197" s="80">
        <f>Funktional!AQ176</f>
        <v>43.481725819122843</v>
      </c>
      <c r="U197" s="43">
        <f>Funktional!AP176</f>
        <v>1739.2690327649138</v>
      </c>
      <c r="V197" s="80">
        <f t="shared" si="37"/>
        <v>262.75310506351491</v>
      </c>
      <c r="W197" s="183">
        <f t="shared" si="37"/>
        <v>10510.124202540595</v>
      </c>
      <c r="X197" s="172">
        <f>Funktional!S176</f>
        <v>0.67509687085977654</v>
      </c>
      <c r="Y197" s="42">
        <f>Funktional!X176</f>
        <v>4.4212873286522528E-2</v>
      </c>
      <c r="Z197" s="42">
        <f>'Kennzahlen Revision'!L176</f>
        <v>1.8755186972332707E-2</v>
      </c>
      <c r="AA197" s="42">
        <f>Funktional!AE176</f>
        <v>4.8346962025184279E-2</v>
      </c>
      <c r="AB197" s="42">
        <f>Funktional!AJ176</f>
        <v>0.13463242444061338</v>
      </c>
      <c r="AC197" s="42">
        <f>Funktional!AS176</f>
        <v>4.003057681394797E-2</v>
      </c>
      <c r="AD197" s="42">
        <f>Funktional!AO176</f>
        <v>8.1899196758212639E-3</v>
      </c>
      <c r="AE197" s="202">
        <f>Funktional!AV176</f>
        <v>4.9490372898134051E-2</v>
      </c>
      <c r="AF197" s="176"/>
      <c r="AG197" s="177"/>
      <c r="AH197" s="177">
        <f>Artengliederung!AN176</f>
        <v>0.54867826692094368</v>
      </c>
      <c r="AI197" s="178" t="str">
        <f t="shared" si="36"/>
        <v>Gündelhart-Hörhausen</v>
      </c>
    </row>
    <row r="198" spans="1:35" x14ac:dyDescent="0.25">
      <c r="A198" s="41" t="str">
        <f>Funktional!A177</f>
        <v>Guntershausen</v>
      </c>
      <c r="B198" s="41" t="str">
        <f>Funktional!B177</f>
        <v>KiGa</v>
      </c>
      <c r="C198" s="352">
        <f>Funktional!D177</f>
        <v>20</v>
      </c>
      <c r="D198" s="348">
        <f>Funktional!G177</f>
        <v>9664.8924088149452</v>
      </c>
      <c r="E198" s="186">
        <f>Funktional!F177</f>
        <v>193297.8481762989</v>
      </c>
      <c r="F198" s="48">
        <f>Funktional!U177</f>
        <v>4769.7956369968133</v>
      </c>
      <c r="G198" s="48">
        <f>Funktional!T177</f>
        <v>95395.912739936262</v>
      </c>
      <c r="H198" s="48">
        <f>Artengliederung!R177</f>
        <v>288.32778360758812</v>
      </c>
      <c r="I198" s="186">
        <f>Artengliederung!Q177</f>
        <v>5766.5556721517623</v>
      </c>
      <c r="J198" s="48">
        <f>Funktional!Z177</f>
        <v>271.54816223756103</v>
      </c>
      <c r="K198" s="48">
        <f>Funktional!Y177</f>
        <v>5430.9632447512204</v>
      </c>
      <c r="L198" s="48">
        <f>'Kennzahlen Revision'!O177</f>
        <v>104.18096244051333</v>
      </c>
      <c r="M198" s="48">
        <f>'Kennzahlen Revision'!N177</f>
        <v>2083.6192488102665</v>
      </c>
      <c r="N198" s="80">
        <f>Funktional!AG177</f>
        <v>1382.5445288047863</v>
      </c>
      <c r="O198" s="43">
        <f>Funktional!AF177</f>
        <v>27650.890576095728</v>
      </c>
      <c r="P198" s="43">
        <f>Funktional!AL177</f>
        <v>719.66092233588301</v>
      </c>
      <c r="Q198" s="43">
        <f>Funktional!AK177</f>
        <v>14393.218446717659</v>
      </c>
      <c r="R198" s="80">
        <f>Funktional!AU177</f>
        <v>1023.6741142666967</v>
      </c>
      <c r="S198" s="43">
        <f>Funktional!AT177</f>
        <v>20473.482285333936</v>
      </c>
      <c r="T198" s="80">
        <f>Funktional!AQ177</f>
        <v>22.36249195149249</v>
      </c>
      <c r="U198" s="43">
        <f>Funktional!AP177</f>
        <v>447.2498390298498</v>
      </c>
      <c r="V198" s="80">
        <f t="shared" si="37"/>
        <v>1475.3065522217121</v>
      </c>
      <c r="W198" s="183">
        <f t="shared" si="37"/>
        <v>29506.131044434238</v>
      </c>
      <c r="X198" s="172">
        <f>Funktional!S177</f>
        <v>0.49351771703598912</v>
      </c>
      <c r="Y198" s="42">
        <f>Funktional!X177</f>
        <v>2.8096346110370901E-2</v>
      </c>
      <c r="Z198" s="42">
        <f>'Kennzahlen Revision'!L177</f>
        <v>1.0779319420617059E-2</v>
      </c>
      <c r="AA198" s="42">
        <f>Funktional!AE177</f>
        <v>0.14304810341642554</v>
      </c>
      <c r="AB198" s="42">
        <f>Funktional!AJ177</f>
        <v>7.4461348548433948E-2</v>
      </c>
      <c r="AC198" s="42">
        <f>Funktional!AS177</f>
        <v>0.10591676254285524</v>
      </c>
      <c r="AD198" s="42">
        <f>Funktional!AO177</f>
        <v>2.3137859176887055E-3</v>
      </c>
      <c r="AE198" s="202">
        <f>Funktional!AV177</f>
        <v>0.15264593642823648</v>
      </c>
      <c r="AF198" s="176"/>
      <c r="AG198" s="177"/>
      <c r="AH198" s="177">
        <f>Artengliederung!AN177</f>
        <v>0.45726744276235853</v>
      </c>
      <c r="AI198" s="178" t="str">
        <f t="shared" si="36"/>
        <v>Guntershausen</v>
      </c>
    </row>
    <row r="199" spans="1:35" x14ac:dyDescent="0.25">
      <c r="A199" s="41" t="str">
        <f>Funktional!A178</f>
        <v>Güttingen</v>
      </c>
      <c r="B199" s="41" t="str">
        <f>Funktional!B178</f>
        <v>KiGa</v>
      </c>
      <c r="C199" s="352">
        <f>Funktional!D178</f>
        <v>30</v>
      </c>
      <c r="D199" s="348">
        <f>Funktional!G178</f>
        <v>6159.6050716353766</v>
      </c>
      <c r="E199" s="186">
        <f>Funktional!F178</f>
        <v>123192.10143270752</v>
      </c>
      <c r="F199" s="48">
        <f>Funktional!U178</f>
        <v>4502.8710900612232</v>
      </c>
      <c r="G199" s="48">
        <f>Funktional!T178</f>
        <v>90057.421801224467</v>
      </c>
      <c r="H199" s="48">
        <f>Artengliederung!R178</f>
        <v>236.62367759842002</v>
      </c>
      <c r="I199" s="186">
        <f>Artengliederung!Q178</f>
        <v>4732.4735519684009</v>
      </c>
      <c r="J199" s="48">
        <f>Funktional!Z178</f>
        <v>369.86882866550957</v>
      </c>
      <c r="K199" s="48">
        <f>Funktional!Y178</f>
        <v>7397.3765733101909</v>
      </c>
      <c r="L199" s="48">
        <f>'Kennzahlen Revision'!O178</f>
        <v>136.7396441975296</v>
      </c>
      <c r="M199" s="48">
        <f>'Kennzahlen Revision'!N178</f>
        <v>2734.7928839505917</v>
      </c>
      <c r="N199" s="80">
        <f>Funktional!AG178</f>
        <v>0</v>
      </c>
      <c r="O199" s="43">
        <f>Funktional!AF178</f>
        <v>0</v>
      </c>
      <c r="P199" s="43">
        <f>Funktional!AL178</f>
        <v>752.9297803379668</v>
      </c>
      <c r="Q199" s="43">
        <f>Funktional!AK178</f>
        <v>15058.595606759336</v>
      </c>
      <c r="R199" s="80">
        <f>Funktional!AU178</f>
        <v>49.467146902009247</v>
      </c>
      <c r="S199" s="43">
        <f>Funktional!AT178</f>
        <v>989.34293804018489</v>
      </c>
      <c r="T199" s="80">
        <f>Funktional!AQ178</f>
        <v>25.846174531094682</v>
      </c>
      <c r="U199" s="43">
        <f>Funktional!AP178</f>
        <v>516.92349062189362</v>
      </c>
      <c r="V199" s="80">
        <f t="shared" si="37"/>
        <v>458.62205113757301</v>
      </c>
      <c r="W199" s="183">
        <f t="shared" si="37"/>
        <v>9172.4410227514527</v>
      </c>
      <c r="X199" s="172">
        <f>Funktional!S178</f>
        <v>0.73103243433522758</v>
      </c>
      <c r="Y199" s="42">
        <f>Funktional!X178</f>
        <v>6.0047490766694446E-2</v>
      </c>
      <c r="Z199" s="42">
        <f>'Kennzahlen Revision'!L178</f>
        <v>2.2199417431355738E-2</v>
      </c>
      <c r="AA199" s="42">
        <f>Funktional!AE178</f>
        <v>0</v>
      </c>
      <c r="AB199" s="42">
        <f>Funktional!AJ178</f>
        <v>0.12223669725274509</v>
      </c>
      <c r="AC199" s="42">
        <f>Funktional!AS178</f>
        <v>8.0308958653538647E-3</v>
      </c>
      <c r="AD199" s="42">
        <f>Funktional!AO178</f>
        <v>4.1960765715507988E-3</v>
      </c>
      <c r="AE199" s="202">
        <f>Funktional!AV178</f>
        <v>7.4456405208428222E-2</v>
      </c>
      <c r="AF199" s="176"/>
      <c r="AG199" s="177"/>
      <c r="AH199" s="177">
        <f>Artengliederung!AN178</f>
        <v>6.436205675661695E-2</v>
      </c>
      <c r="AI199" s="178" t="str">
        <f t="shared" si="36"/>
        <v>Güttingen</v>
      </c>
    </row>
    <row r="200" spans="1:35" x14ac:dyDescent="0.25">
      <c r="A200" s="41" t="str">
        <f>Funktional!A179</f>
        <v>Halden-Kenzenau</v>
      </c>
      <c r="B200" s="41" t="str">
        <f>Funktional!B179</f>
        <v>KiGa</v>
      </c>
      <c r="C200" s="352">
        <f>Funktional!D179</f>
        <v>23</v>
      </c>
      <c r="D200" s="348">
        <f>Funktional!G179</f>
        <v>4056.3619518825399</v>
      </c>
      <c r="E200" s="186">
        <f>Funktional!F179</f>
        <v>93296.324893298413</v>
      </c>
      <c r="F200" s="48">
        <f>Funktional!U179</f>
        <v>3086.0649108069674</v>
      </c>
      <c r="G200" s="48">
        <f>Funktional!T179</f>
        <v>70979.492948560248</v>
      </c>
      <c r="H200" s="48">
        <f>Artengliederung!R179</f>
        <v>146.38331122180054</v>
      </c>
      <c r="I200" s="186">
        <f>Artengliederung!Q179</f>
        <v>3366.8161581014124</v>
      </c>
      <c r="J200" s="48">
        <f>Funktional!Z179</f>
        <v>176.87009238704857</v>
      </c>
      <c r="K200" s="48">
        <f>Funktional!Y179</f>
        <v>4068.0121249021172</v>
      </c>
      <c r="L200" s="48">
        <f>'Kennzahlen Revision'!O179</f>
        <v>72.984154400913098</v>
      </c>
      <c r="M200" s="48">
        <f>'Kennzahlen Revision'!N179</f>
        <v>1678.6355512210012</v>
      </c>
      <c r="N200" s="80">
        <f>Funktional!AG179</f>
        <v>213.25778592797258</v>
      </c>
      <c r="O200" s="43">
        <f>Funktional!AF179</f>
        <v>4904.9290763433692</v>
      </c>
      <c r="P200" s="43">
        <f>Funktional!AL179</f>
        <v>222.32368964079535</v>
      </c>
      <c r="Q200" s="43">
        <f>Funktional!AK179</f>
        <v>5113.4448617382932</v>
      </c>
      <c r="R200" s="80">
        <f>Funktional!AU179</f>
        <v>105.86528851123349</v>
      </c>
      <c r="S200" s="43">
        <f>Funktional!AT179</f>
        <v>2434.90163575837</v>
      </c>
      <c r="T200" s="80">
        <f>Funktional!AQ179</f>
        <v>33.176840919400426</v>
      </c>
      <c r="U200" s="43">
        <f>Funktional!AP179</f>
        <v>763.06734114620974</v>
      </c>
      <c r="V200" s="80">
        <f t="shared" si="37"/>
        <v>218.80334368912207</v>
      </c>
      <c r="W200" s="183">
        <f t="shared" si="37"/>
        <v>5032.4769048498065</v>
      </c>
      <c r="X200" s="172">
        <f>Funktional!S179</f>
        <v>0.76079623746957248</v>
      </c>
      <c r="Y200" s="42">
        <f>Funktional!X179</f>
        <v>4.3603133666354391E-2</v>
      </c>
      <c r="Z200" s="42">
        <f>'Kennzahlen Revision'!L179</f>
        <v>1.7992515280112385E-2</v>
      </c>
      <c r="AA200" s="42">
        <f>Funktional!AE179</f>
        <v>5.2573657986561224E-2</v>
      </c>
      <c r="AB200" s="42">
        <f>Funktional!AJ179</f>
        <v>5.4808641900808655E-2</v>
      </c>
      <c r="AC200" s="42">
        <f>Funktional!AS179</f>
        <v>2.6098580394706115E-2</v>
      </c>
      <c r="AD200" s="42">
        <f>Funktional!AO179</f>
        <v>8.1789646271588756E-3</v>
      </c>
      <c r="AE200" s="202">
        <f>Funktional!AV179</f>
        <v>5.3940783954838298E-2</v>
      </c>
      <c r="AF200" s="176"/>
      <c r="AG200" s="177"/>
      <c r="AH200" s="177">
        <f>Artengliederung!AN179</f>
        <v>0.4413021586995336</v>
      </c>
      <c r="AI200" s="178" t="str">
        <f t="shared" si="36"/>
        <v>Halden-Kenzenau</v>
      </c>
    </row>
    <row r="201" spans="1:35" x14ac:dyDescent="0.25">
      <c r="A201" s="41" t="str">
        <f>Funktional!A180</f>
        <v>Hauptwil</v>
      </c>
      <c r="B201" s="41" t="str">
        <f>Funktional!B180</f>
        <v>KiGa</v>
      </c>
      <c r="C201" s="352">
        <f>Funktional!D180</f>
        <v>22</v>
      </c>
      <c r="D201" s="348">
        <f>Funktional!G180</f>
        <v>10214.217740789991</v>
      </c>
      <c r="E201" s="186">
        <f>Funktional!F180</f>
        <v>224712.7902973798</v>
      </c>
      <c r="F201" s="48">
        <f>Funktional!U180</f>
        <v>4971.7886871036926</v>
      </c>
      <c r="G201" s="48">
        <f>Funktional!T180</f>
        <v>109379.35111628124</v>
      </c>
      <c r="H201" s="48">
        <f>Artengliederung!R180</f>
        <v>240.90954836410975</v>
      </c>
      <c r="I201" s="186">
        <f>Artengliederung!Q180</f>
        <v>5300.0100640104147</v>
      </c>
      <c r="J201" s="48">
        <f>Funktional!Z180</f>
        <v>336.82765932100148</v>
      </c>
      <c r="K201" s="48">
        <f>Funktional!Y180</f>
        <v>7410.2085050620326</v>
      </c>
      <c r="L201" s="48">
        <f>'Kennzahlen Revision'!O180</f>
        <v>117.78630005831684</v>
      </c>
      <c r="M201" s="48">
        <f>'Kennzahlen Revision'!N180</f>
        <v>2591.2986012829706</v>
      </c>
      <c r="N201" s="80">
        <f>Funktional!AG180</f>
        <v>924.39328773288935</v>
      </c>
      <c r="O201" s="43">
        <f>Funktional!AF180</f>
        <v>20336.652330123565</v>
      </c>
      <c r="P201" s="43">
        <f>Funktional!AL180</f>
        <v>981.90525221257496</v>
      </c>
      <c r="Q201" s="43">
        <f>Funktional!AK180</f>
        <v>21601.91554867665</v>
      </c>
      <c r="R201" s="80">
        <f>Funktional!AU180</f>
        <v>1085.1763426099487</v>
      </c>
      <c r="S201" s="43">
        <f>Funktional!AT180</f>
        <v>23873.87953741887</v>
      </c>
      <c r="T201" s="80">
        <f>Funktional!AQ180</f>
        <v>9.9804827810465131</v>
      </c>
      <c r="U201" s="43">
        <f>Funktional!AP180</f>
        <v>219.57062118302329</v>
      </c>
      <c r="V201" s="80">
        <f t="shared" si="37"/>
        <v>1904.1460290288376</v>
      </c>
      <c r="W201" s="183">
        <f t="shared" si="37"/>
        <v>41891.212638634424</v>
      </c>
      <c r="X201" s="172">
        <f>Funktional!S180</f>
        <v>0.48675178200373503</v>
      </c>
      <c r="Y201" s="42">
        <f>Funktional!X180</f>
        <v>3.2976353928299014E-2</v>
      </c>
      <c r="Z201" s="42">
        <f>'Kennzahlen Revision'!L180</f>
        <v>1.1531602619742761E-2</v>
      </c>
      <c r="AA201" s="42">
        <f>Funktional!AE180</f>
        <v>9.050064441463479E-2</v>
      </c>
      <c r="AB201" s="42">
        <f>Funktional!AJ180</f>
        <v>9.6131223861753337E-2</v>
      </c>
      <c r="AC201" s="42">
        <f>Funktional!AS180</f>
        <v>0.106241747547279</v>
      </c>
      <c r="AD201" s="42">
        <f>Funktional!AO180</f>
        <v>9.7711670480549206E-4</v>
      </c>
      <c r="AE201" s="202">
        <f>Funktional!AV180</f>
        <v>0.18642113153949336</v>
      </c>
      <c r="AF201" s="176"/>
      <c r="AG201" s="177"/>
      <c r="AH201" s="177">
        <f>Artengliederung!AN180</f>
        <v>0.48029879796943636</v>
      </c>
      <c r="AI201" s="178" t="str">
        <f t="shared" si="36"/>
        <v>Hauptwil</v>
      </c>
    </row>
    <row r="202" spans="1:35" x14ac:dyDescent="0.25">
      <c r="A202" s="41" t="str">
        <f>Funktional!A181</f>
        <v>Häuslenen-Aawangen</v>
      </c>
      <c r="B202" s="41" t="str">
        <f>Funktional!B181</f>
        <v>KiGa</v>
      </c>
      <c r="C202" s="352">
        <f>Funktional!D181</f>
        <v>11</v>
      </c>
      <c r="D202" s="348">
        <f>Funktional!G181</f>
        <v>10869.864312098634</v>
      </c>
      <c r="E202" s="186">
        <f>Funktional!F181</f>
        <v>119568.50743308497</v>
      </c>
      <c r="F202" s="48">
        <f>Funktional!U181</f>
        <v>7405.7377212602987</v>
      </c>
      <c r="G202" s="48">
        <f>Funktional!T181</f>
        <v>81463.114933863282</v>
      </c>
      <c r="H202" s="48">
        <f>Artengliederung!R181</f>
        <v>366.9767921512298</v>
      </c>
      <c r="I202" s="186">
        <f>Artengliederung!Q181</f>
        <v>4036.7447136635278</v>
      </c>
      <c r="J202" s="48">
        <f>Funktional!Z181</f>
        <v>388.55563602234633</v>
      </c>
      <c r="K202" s="48">
        <f>Funktional!Y181</f>
        <v>4274.1119962458097</v>
      </c>
      <c r="L202" s="48">
        <f>'Kennzahlen Revision'!O181</f>
        <v>128.46277967131763</v>
      </c>
      <c r="M202" s="48">
        <f>'Kennzahlen Revision'!N181</f>
        <v>1413.0905763844939</v>
      </c>
      <c r="N202" s="80">
        <f>Funktional!AG181</f>
        <v>1064.5427497779767</v>
      </c>
      <c r="O202" s="43">
        <f>Funktional!AF181</f>
        <v>11709.970247557743</v>
      </c>
      <c r="P202" s="43">
        <f>Funktional!AL181</f>
        <v>758.16627804604639</v>
      </c>
      <c r="Q202" s="43">
        <f>Funktional!AK181</f>
        <v>8339.8290585065097</v>
      </c>
      <c r="R202" s="80">
        <f>Funktional!AU181</f>
        <v>647.23322446174177</v>
      </c>
      <c r="S202" s="43">
        <f>Funktional!AT181</f>
        <v>7119.5654690791598</v>
      </c>
      <c r="T202" s="80">
        <f>Funktional!AQ181</f>
        <v>17.119661281847687</v>
      </c>
      <c r="U202" s="43">
        <f>Funktional!AP181</f>
        <v>188.31627410032456</v>
      </c>
      <c r="V202" s="80">
        <f t="shared" si="37"/>
        <v>588.50904124837689</v>
      </c>
      <c r="W202" s="183">
        <f t="shared" si="37"/>
        <v>6473.5994537321449</v>
      </c>
      <c r="X202" s="172">
        <f>Funktional!S181</f>
        <v>0.68130912296829582</v>
      </c>
      <c r="Y202" s="42">
        <f>Funktional!X181</f>
        <v>3.5746134897918364E-2</v>
      </c>
      <c r="Z202" s="42">
        <f>'Kennzahlen Revision'!L181</f>
        <v>1.1818250530352337E-2</v>
      </c>
      <c r="AA202" s="42">
        <f>Funktional!AE181</f>
        <v>9.7935238123726537E-2</v>
      </c>
      <c r="AB202" s="42">
        <f>Funktional!AJ181</f>
        <v>6.9749378306606283E-2</v>
      </c>
      <c r="AC202" s="42">
        <f>Funktional!AS181</f>
        <v>5.9543818200319475E-2</v>
      </c>
      <c r="AD202" s="42">
        <f>Funktional!AO181</f>
        <v>1.5749655000562202E-3</v>
      </c>
      <c r="AE202" s="202">
        <f>Funktional!AV181</f>
        <v>5.4141342003077346E-2</v>
      </c>
      <c r="AF202" s="176"/>
      <c r="AG202" s="177"/>
      <c r="AH202" s="177">
        <f>Artengliederung!AN181</f>
        <v>0.48776123341405353</v>
      </c>
      <c r="AI202" s="178" t="str">
        <f t="shared" si="36"/>
        <v>Häuslenen-Aawangen</v>
      </c>
    </row>
    <row r="203" spans="1:35" x14ac:dyDescent="0.25">
      <c r="A203" s="41" t="str">
        <f>Funktional!A182</f>
        <v>Hefenhofen</v>
      </c>
      <c r="B203" s="41" t="str">
        <f>Funktional!B182</f>
        <v>KiGa</v>
      </c>
      <c r="C203" s="352">
        <f>Funktional!D182</f>
        <v>43</v>
      </c>
      <c r="D203" s="348">
        <f>Funktional!G182</f>
        <v>4652.0433649378892</v>
      </c>
      <c r="E203" s="186">
        <f>Funktional!F182</f>
        <v>200037.86469232923</v>
      </c>
      <c r="F203" s="48">
        <f>Funktional!U182</f>
        <v>3049.1167120258879</v>
      </c>
      <c r="G203" s="48">
        <f>Funktional!T182</f>
        <v>131112.01861711318</v>
      </c>
      <c r="H203" s="48">
        <f>Artengliederung!R182</f>
        <v>206.0634524950149</v>
      </c>
      <c r="I203" s="186">
        <f>Artengliederung!Q182</f>
        <v>8860.7284572856406</v>
      </c>
      <c r="J203" s="48">
        <f>Funktional!Z182</f>
        <v>165.19806853512213</v>
      </c>
      <c r="K203" s="48">
        <f>Funktional!Y182</f>
        <v>7103.5169470102519</v>
      </c>
      <c r="L203" s="48">
        <f>'Kennzahlen Revision'!O182</f>
        <v>80.541657249520128</v>
      </c>
      <c r="M203" s="48">
        <f>'Kennzahlen Revision'!N182</f>
        <v>3463.2912617293655</v>
      </c>
      <c r="N203" s="80">
        <f>Funktional!AG182</f>
        <v>379.42475291234553</v>
      </c>
      <c r="O203" s="43">
        <f>Funktional!AF182</f>
        <v>16315.264375230858</v>
      </c>
      <c r="P203" s="43">
        <f>Funktional!AL182</f>
        <v>414.96905966024735</v>
      </c>
      <c r="Q203" s="43">
        <f>Funktional!AK182</f>
        <v>17843.669565390635</v>
      </c>
      <c r="R203" s="80">
        <f>Funktional!AU182</f>
        <v>231.28299055384193</v>
      </c>
      <c r="S203" s="43">
        <f>Funktional!AT182</f>
        <v>9945.1685938152023</v>
      </c>
      <c r="T203" s="80">
        <f>Funktional!AQ182</f>
        <v>24.897165523219382</v>
      </c>
      <c r="U203" s="43">
        <f>Funktional!AP182</f>
        <v>1070.5781174984334</v>
      </c>
      <c r="V203" s="80">
        <f t="shared" si="37"/>
        <v>387.15461572722501</v>
      </c>
      <c r="W203" s="183">
        <f t="shared" si="37"/>
        <v>16647.648476270664</v>
      </c>
      <c r="X203" s="172">
        <f>Funktional!S182</f>
        <v>0.65543600367246313</v>
      </c>
      <c r="Y203" s="42">
        <f>Funktional!X182</f>
        <v>3.5510861695788973E-2</v>
      </c>
      <c r="Z203" s="42">
        <f>'Kennzahlen Revision'!L182</f>
        <v>1.7313178517757748E-2</v>
      </c>
      <c r="AA203" s="42">
        <f>Funktional!AE182</f>
        <v>8.1560880487925411E-2</v>
      </c>
      <c r="AB203" s="42">
        <f>Funktional!AJ182</f>
        <v>8.9201459897781443E-2</v>
      </c>
      <c r="AC203" s="42">
        <f>Funktional!AS182</f>
        <v>4.9716430482356404E-2</v>
      </c>
      <c r="AD203" s="42">
        <f>Funktional!AO182</f>
        <v>5.3518773515456664E-3</v>
      </c>
      <c r="AE203" s="202">
        <f>Funktional!AV182</f>
        <v>8.3222486412138946E-2</v>
      </c>
      <c r="AF203" s="176"/>
      <c r="AG203" s="177"/>
      <c r="AH203" s="177">
        <f>Artengliederung!AN182</f>
        <v>0.51413376480959194</v>
      </c>
      <c r="AI203" s="178" t="str">
        <f t="shared" si="36"/>
        <v>Hefenhofen</v>
      </c>
    </row>
    <row r="204" spans="1:35" x14ac:dyDescent="0.25">
      <c r="A204" s="41" t="str">
        <f>Funktional!A183</f>
        <v>Hegi-Winden</v>
      </c>
      <c r="B204" s="41" t="str">
        <f>Funktional!B183</f>
        <v>KiGa</v>
      </c>
      <c r="C204" s="352">
        <f>Funktional!D183</f>
        <v>19</v>
      </c>
      <c r="D204" s="348">
        <f>Funktional!G183</f>
        <v>6148.975011717569</v>
      </c>
      <c r="E204" s="186">
        <f>Funktional!F183</f>
        <v>116830.52522263382</v>
      </c>
      <c r="F204" s="48">
        <f>Funktional!U183</f>
        <v>4313.023232710244</v>
      </c>
      <c r="G204" s="48">
        <f>Funktional!T183</f>
        <v>81947.44142149463</v>
      </c>
      <c r="H204" s="48">
        <f>Artengliederung!R183</f>
        <v>231.50616371699738</v>
      </c>
      <c r="I204" s="186">
        <f>Artengliederung!Q183</f>
        <v>4398.6171106229503</v>
      </c>
      <c r="J204" s="48">
        <f>Funktional!Z183</f>
        <v>298.71752088882602</v>
      </c>
      <c r="K204" s="48">
        <f>Funktional!Y183</f>
        <v>5675.6328968876942</v>
      </c>
      <c r="L204" s="48">
        <f>'Kennzahlen Revision'!O183</f>
        <v>90.696701055862647</v>
      </c>
      <c r="M204" s="48">
        <f>'Kennzahlen Revision'!N183</f>
        <v>1723.2373200613902</v>
      </c>
      <c r="N204" s="80">
        <f>Funktional!AG183</f>
        <v>346.12128540443581</v>
      </c>
      <c r="O204" s="43">
        <f>Funktional!AF183</f>
        <v>6576.3044226842803</v>
      </c>
      <c r="P204" s="43">
        <f>Funktional!AL183</f>
        <v>460.63834128385764</v>
      </c>
      <c r="Q204" s="43">
        <f>Funktional!AK183</f>
        <v>8752.1284843932954</v>
      </c>
      <c r="R204" s="80">
        <f>Funktional!AU183</f>
        <v>276.67822253225143</v>
      </c>
      <c r="S204" s="43">
        <f>Funktional!AT183</f>
        <v>5256.8862281127767</v>
      </c>
      <c r="T204" s="80">
        <f>Funktional!AQ183</f>
        <v>21.528562558753794</v>
      </c>
      <c r="U204" s="43">
        <f>Funktional!AP183</f>
        <v>409.0426886163221</v>
      </c>
      <c r="V204" s="80">
        <f t="shared" si="37"/>
        <v>432.26784633920016</v>
      </c>
      <c r="W204" s="183">
        <f t="shared" si="37"/>
        <v>8213.0890804448209</v>
      </c>
      <c r="X204" s="172">
        <f>Funktional!S183</f>
        <v>0.70142149293033207</v>
      </c>
      <c r="Y204" s="42">
        <f>Funktional!X183</f>
        <v>4.8580051198709687E-2</v>
      </c>
      <c r="Z204" s="42">
        <f>'Kennzahlen Revision'!L183</f>
        <v>1.4749889352783152E-2</v>
      </c>
      <c r="AA204" s="42">
        <f>Funktional!AE183</f>
        <v>5.6289265242558707E-2</v>
      </c>
      <c r="AB204" s="42">
        <f>Funktional!AJ183</f>
        <v>7.4913028660233458E-2</v>
      </c>
      <c r="AC204" s="42">
        <f>Funktional!AS183</f>
        <v>4.4995828085983382E-2</v>
      </c>
      <c r="AD204" s="42">
        <f>Funktional!AO183</f>
        <v>3.5011627983084458E-3</v>
      </c>
      <c r="AE204" s="202">
        <f>Funktional!AV183</f>
        <v>7.0299171083874262E-2</v>
      </c>
      <c r="AF204" s="176"/>
      <c r="AG204" s="177"/>
      <c r="AH204" s="177">
        <f>Artengliederung!AN183</f>
        <v>0.38299747067053647</v>
      </c>
      <c r="AI204" s="178" t="str">
        <f t="shared" si="36"/>
        <v>Hegi-Winden</v>
      </c>
    </row>
    <row r="205" spans="1:35" x14ac:dyDescent="0.25">
      <c r="A205" s="41" t="str">
        <f>Funktional!A184</f>
        <v>Herdern</v>
      </c>
      <c r="B205" s="41" t="str">
        <f>Funktional!B184</f>
        <v>KiGa</v>
      </c>
      <c r="C205" s="352">
        <f>Funktional!D184</f>
        <v>18</v>
      </c>
      <c r="D205" s="348">
        <f>Funktional!G184</f>
        <v>5285.056062404652</v>
      </c>
      <c r="E205" s="186">
        <f>Funktional!F184</f>
        <v>95131.009123283744</v>
      </c>
      <c r="F205" s="48">
        <f>Funktional!U184</f>
        <v>3867.1455409691675</v>
      </c>
      <c r="G205" s="48">
        <f>Funktional!T184</f>
        <v>69608.619737445013</v>
      </c>
      <c r="H205" s="48">
        <f>Artengliederung!R184</f>
        <v>136.84759876830225</v>
      </c>
      <c r="I205" s="186">
        <f>Artengliederung!Q184</f>
        <v>2463.2567778294406</v>
      </c>
      <c r="J205" s="48">
        <f>Funktional!Z184</f>
        <v>282.41091127193511</v>
      </c>
      <c r="K205" s="48">
        <f>Funktional!Y184</f>
        <v>5083.3964028948321</v>
      </c>
      <c r="L205" s="48">
        <f>'Kennzahlen Revision'!O184</f>
        <v>120.57756455104095</v>
      </c>
      <c r="M205" s="48">
        <f>'Kennzahlen Revision'!N184</f>
        <v>2170.3961619187371</v>
      </c>
      <c r="N205" s="80">
        <f>Funktional!AG184</f>
        <v>142.78495855956825</v>
      </c>
      <c r="O205" s="43">
        <f>Funktional!AF184</f>
        <v>2570.1292540722284</v>
      </c>
      <c r="P205" s="43">
        <f>Funktional!AL184</f>
        <v>509.53577815276526</v>
      </c>
      <c r="Q205" s="43">
        <f>Funktional!AK184</f>
        <v>9171.6440067497751</v>
      </c>
      <c r="R205" s="80">
        <f>Funktional!AU184</f>
        <v>166.33273320573639</v>
      </c>
      <c r="S205" s="43">
        <f>Funktional!AT184</f>
        <v>2993.9891977032548</v>
      </c>
      <c r="T205" s="80">
        <f>Funktional!AQ184</f>
        <v>18.385486921501748</v>
      </c>
      <c r="U205" s="43">
        <f>Funktional!AP184</f>
        <v>330.93876458703147</v>
      </c>
      <c r="V205" s="80">
        <f t="shared" si="37"/>
        <v>298.46065332397757</v>
      </c>
      <c r="W205" s="183">
        <f t="shared" si="37"/>
        <v>5372.2917598316099</v>
      </c>
      <c r="X205" s="172">
        <f>Funktional!S184</f>
        <v>0.73171324869724297</v>
      </c>
      <c r="Y205" s="42">
        <f>Funktional!X184</f>
        <v>5.3435745607481926E-2</v>
      </c>
      <c r="Z205" s="42">
        <f>'Kennzahlen Revision'!L184</f>
        <v>2.2814812771575266E-2</v>
      </c>
      <c r="AA205" s="42">
        <f>Funktional!AE184</f>
        <v>2.7016734898097257E-2</v>
      </c>
      <c r="AB205" s="42">
        <f>Funktional!AJ184</f>
        <v>9.6410666629888342E-2</v>
      </c>
      <c r="AC205" s="42">
        <f>Funktional!AS184</f>
        <v>3.1472274133276933E-2</v>
      </c>
      <c r="AD205" s="42">
        <f>Funktional!AO184</f>
        <v>3.4787685701741676E-3</v>
      </c>
      <c r="AE205" s="202">
        <f>Funktional!AV184</f>
        <v>5.647256146383841E-2</v>
      </c>
      <c r="AF205" s="176"/>
      <c r="AG205" s="177"/>
      <c r="AH205" s="177">
        <f>Artengliederung!AN184</f>
        <v>0.14130970633284218</v>
      </c>
      <c r="AI205" s="178" t="str">
        <f t="shared" si="36"/>
        <v>Herdern</v>
      </c>
    </row>
    <row r="206" spans="1:35" x14ac:dyDescent="0.25">
      <c r="A206" s="41" t="str">
        <f>Funktional!A185&amp;" (inkl. Eggeth./Zub.)"</f>
        <v>Herrenhof-Langrickenbach (inkl. Eggeth./Zub.)</v>
      </c>
      <c r="B206" s="41" t="str">
        <f>Funktional!B185</f>
        <v>KiGa</v>
      </c>
      <c r="C206" s="352">
        <f>Funktional!D185</f>
        <v>21</v>
      </c>
      <c r="D206" s="348">
        <f>Funktional!G185</f>
        <v>5644.9164573410308</v>
      </c>
      <c r="E206" s="186">
        <f>Funktional!F185</f>
        <v>118543.24560416165</v>
      </c>
      <c r="F206" s="48">
        <f>Funktional!U185</f>
        <v>4292.6700753738914</v>
      </c>
      <c r="G206" s="48">
        <f>Funktional!T185</f>
        <v>90146.071582851728</v>
      </c>
      <c r="H206" s="48">
        <f>Artengliederung!R185</f>
        <v>56.589823953646039</v>
      </c>
      <c r="I206" s="186">
        <f>Artengliederung!Q185</f>
        <v>1188.3863030265668</v>
      </c>
      <c r="J206" s="48">
        <f>Funktional!Z185</f>
        <v>400.13185375470175</v>
      </c>
      <c r="K206" s="48">
        <f>Funktional!Y185</f>
        <v>8402.7689288487363</v>
      </c>
      <c r="L206" s="48">
        <f>'Kennzahlen Revision'!O185</f>
        <v>116.27785819554063</v>
      </c>
      <c r="M206" s="48">
        <f>'Kennzahlen Revision'!N185</f>
        <v>2441.8350221063533</v>
      </c>
      <c r="N206" s="80">
        <f>Funktional!AG185</f>
        <v>53.558621960119495</v>
      </c>
      <c r="O206" s="43">
        <f>Funktional!AF185</f>
        <v>1124.7310611625094</v>
      </c>
      <c r="P206" s="43">
        <f>Funktional!AL185</f>
        <v>166.55623946048959</v>
      </c>
      <c r="Q206" s="43">
        <f>Funktional!AK185</f>
        <v>3497.6810286702816</v>
      </c>
      <c r="R206" s="80">
        <f>Funktional!AU185</f>
        <v>33.885092154614803</v>
      </c>
      <c r="S206" s="43">
        <f>Funktional!AT185</f>
        <v>711.58693524691091</v>
      </c>
      <c r="T206" s="80">
        <f>Funktional!AQ185</f>
        <v>17.477029561979709</v>
      </c>
      <c r="U206" s="43">
        <f>Funktional!AP185</f>
        <v>367.01762080157386</v>
      </c>
      <c r="V206" s="80">
        <f t="shared" si="37"/>
        <v>680.63754507523402</v>
      </c>
      <c r="W206" s="183">
        <f t="shared" si="37"/>
        <v>14293.388446579909</v>
      </c>
      <c r="X206" s="172">
        <f>Funktional!S185</f>
        <v>0.76044882290355487</v>
      </c>
      <c r="Y206" s="42">
        <f>Funktional!X185</f>
        <v>7.0883574057919535E-2</v>
      </c>
      <c r="Z206" s="42">
        <f>'Kennzahlen Revision'!L185</f>
        <v>2.0598685396720981E-2</v>
      </c>
      <c r="AA206" s="42">
        <f>Funktional!AE185</f>
        <v>9.487938814482939E-3</v>
      </c>
      <c r="AB206" s="42">
        <f>Funktional!AJ185</f>
        <v>2.9505527799953284E-2</v>
      </c>
      <c r="AC206" s="42">
        <f>Funktional!AS185</f>
        <v>6.0027623811063384E-3</v>
      </c>
      <c r="AD206" s="42">
        <f>Funktional!AO185</f>
        <v>3.0960652286096098E-3</v>
      </c>
      <c r="AE206" s="202">
        <f>Funktional!AV185</f>
        <v>0.12057530881437345</v>
      </c>
      <c r="AF206" s="176"/>
      <c r="AG206" s="177"/>
      <c r="AH206" s="177">
        <f>Artengliederung!AN185</f>
        <v>0.39920024234627238</v>
      </c>
      <c r="AI206" s="178" t="str">
        <f t="shared" si="36"/>
        <v>Herrenhof-Langrickenbach (inkl. Eggeth./Zub.)</v>
      </c>
    </row>
    <row r="207" spans="1:35" x14ac:dyDescent="0.25">
      <c r="A207" s="41" t="str">
        <f>Funktional!A186</f>
        <v>Hohentannen</v>
      </c>
      <c r="B207" s="41" t="str">
        <f>Funktional!B186</f>
        <v>KiGa</v>
      </c>
      <c r="C207" s="352">
        <f>Funktional!D186</f>
        <v>11</v>
      </c>
      <c r="D207" s="348">
        <f>Funktional!G186</f>
        <v>14582.428946690074</v>
      </c>
      <c r="E207" s="186">
        <f>Funktional!F186</f>
        <v>160406.7184135908</v>
      </c>
      <c r="F207" s="48">
        <f>Funktional!U186</f>
        <v>9780.2358767557253</v>
      </c>
      <c r="G207" s="48">
        <f>Funktional!T186</f>
        <v>107582.59464431298</v>
      </c>
      <c r="H207" s="48">
        <f>Artengliederung!R186</f>
        <v>760.62257076833043</v>
      </c>
      <c r="I207" s="186">
        <f>Artengliederung!Q186</f>
        <v>8366.8482784516345</v>
      </c>
      <c r="J207" s="48">
        <f>Funktional!Z186</f>
        <v>891.25194911544179</v>
      </c>
      <c r="K207" s="48">
        <f>Funktional!Y186</f>
        <v>9803.7714402698602</v>
      </c>
      <c r="L207" s="48">
        <f>'Kennzahlen Revision'!O186</f>
        <v>359.97065234166251</v>
      </c>
      <c r="M207" s="48">
        <f>'Kennzahlen Revision'!N186</f>
        <v>3959.6771757582878</v>
      </c>
      <c r="N207" s="80">
        <f>Funktional!AG186</f>
        <v>628.09150870623159</v>
      </c>
      <c r="O207" s="43">
        <f>Funktional!AF186</f>
        <v>6909.0065957685474</v>
      </c>
      <c r="P207" s="43">
        <f>Funktional!AL186</f>
        <v>1315.295595540988</v>
      </c>
      <c r="Q207" s="43">
        <f>Funktional!AK186</f>
        <v>14468.251550950867</v>
      </c>
      <c r="R207" s="80">
        <f>Funktional!AU186</f>
        <v>661.26532462323451</v>
      </c>
      <c r="S207" s="43">
        <f>Funktional!AT186</f>
        <v>7273.9185708555797</v>
      </c>
      <c r="T207" s="80">
        <f>Funktional!AQ186</f>
        <v>89.413502382390675</v>
      </c>
      <c r="U207" s="43">
        <f>Funktional!AP186</f>
        <v>983.54852620629742</v>
      </c>
      <c r="V207" s="80">
        <f t="shared" si="37"/>
        <v>1216.8751895660621</v>
      </c>
      <c r="W207" s="183">
        <f t="shared" si="37"/>
        <v>13385.627085226673</v>
      </c>
      <c r="X207" s="172">
        <f>Funktional!S186</f>
        <v>0.67068633850437165</v>
      </c>
      <c r="Y207" s="42">
        <f>Funktional!X186</f>
        <v>6.1118209618826129E-2</v>
      </c>
      <c r="Z207" s="42">
        <f>'Kennzahlen Revision'!L186</f>
        <v>2.4685232731640968E-2</v>
      </c>
      <c r="AA207" s="42">
        <f>Funktional!AE186</f>
        <v>4.307180312706383E-2</v>
      </c>
      <c r="AB207" s="42">
        <f>Funktional!AJ186</f>
        <v>9.0197291572576763E-2</v>
      </c>
      <c r="AC207" s="42">
        <f>Funktional!AS186</f>
        <v>4.5346720154829136E-2</v>
      </c>
      <c r="AD207" s="42">
        <f>Funktional!AO186</f>
        <v>6.1315918431192355E-3</v>
      </c>
      <c r="AE207" s="202">
        <f>Funktional!AV186</f>
        <v>8.3448045179213254E-2</v>
      </c>
      <c r="AF207" s="176"/>
      <c r="AG207" s="177"/>
      <c r="AH207" s="177">
        <f>Artengliederung!AN186</f>
        <v>0.51680472531917532</v>
      </c>
      <c r="AI207" s="178" t="str">
        <f t="shared" si="36"/>
        <v>Hohentannen</v>
      </c>
    </row>
    <row r="208" spans="1:35" x14ac:dyDescent="0.25">
      <c r="A208" s="41" t="str">
        <f>Funktional!A187</f>
        <v>Homburg-Hörstetten</v>
      </c>
      <c r="B208" s="41" t="str">
        <f>Funktional!B187</f>
        <v>KiGa</v>
      </c>
      <c r="C208" s="352">
        <f>Funktional!D187</f>
        <v>26</v>
      </c>
      <c r="D208" s="348">
        <f>Funktional!G187</f>
        <v>6072.2664408269238</v>
      </c>
      <c r="E208" s="186">
        <f>Funktional!F187</f>
        <v>157878.92746150002</v>
      </c>
      <c r="F208" s="48">
        <f>Funktional!U187</f>
        <v>3284.3818077436613</v>
      </c>
      <c r="G208" s="48">
        <f>Funktional!T187</f>
        <v>85393.927001335192</v>
      </c>
      <c r="H208" s="48">
        <f>Artengliederung!R187</f>
        <v>133.06209962162126</v>
      </c>
      <c r="I208" s="186">
        <f>Artengliederung!Q187</f>
        <v>3459.6145901621526</v>
      </c>
      <c r="J208" s="48">
        <f>Funktional!Z187</f>
        <v>256.10814448771072</v>
      </c>
      <c r="K208" s="48">
        <f>Funktional!Y187</f>
        <v>6658.8117566804785</v>
      </c>
      <c r="L208" s="48">
        <f>'Kennzahlen Revision'!O187</f>
        <v>91.61100141312447</v>
      </c>
      <c r="M208" s="48">
        <f>'Kennzahlen Revision'!N187</f>
        <v>2381.8860367412362</v>
      </c>
      <c r="N208" s="80">
        <f>Funktional!AG187</f>
        <v>723.10420904478894</v>
      </c>
      <c r="O208" s="43">
        <f>Funktional!AF187</f>
        <v>18800.709435164514</v>
      </c>
      <c r="P208" s="43">
        <f>Funktional!AL187</f>
        <v>570.30250534050197</v>
      </c>
      <c r="Q208" s="43">
        <f>Funktional!AK187</f>
        <v>14827.865138853052</v>
      </c>
      <c r="R208" s="80">
        <f>Funktional!AU187</f>
        <v>501.13452705562668</v>
      </c>
      <c r="S208" s="43">
        <f>Funktional!AT187</f>
        <v>13029.497703446294</v>
      </c>
      <c r="T208" s="80">
        <f>Funktional!AQ187</f>
        <v>30.287317978924438</v>
      </c>
      <c r="U208" s="43">
        <f>Funktional!AP187</f>
        <v>787.47026745203539</v>
      </c>
      <c r="V208" s="80">
        <f t="shared" ref="V208:W209" si="38">D208-F208-J208-N208-P208-R208-T208</f>
        <v>706.94792917570953</v>
      </c>
      <c r="W208" s="183">
        <f t="shared" si="38"/>
        <v>18380.646158568459</v>
      </c>
      <c r="X208" s="172">
        <f>Funktional!S187</f>
        <v>0.54088236077078211</v>
      </c>
      <c r="Y208" s="42">
        <f>Funktional!X187</f>
        <v>4.2176697446239496E-2</v>
      </c>
      <c r="Z208" s="42">
        <f>'Kennzahlen Revision'!L187</f>
        <v>1.508678881367545E-2</v>
      </c>
      <c r="AA208" s="42">
        <f>Funktional!AE187</f>
        <v>0.11908308307800743</v>
      </c>
      <c r="AB208" s="42">
        <f>Funktional!AJ187</f>
        <v>9.3919216308768885E-2</v>
      </c>
      <c r="AC208" s="42">
        <f>Funktional!AS187</f>
        <v>8.2528415368312125E-2</v>
      </c>
      <c r="AD208" s="42">
        <f>Funktional!AO187</f>
        <v>4.9878111038223639E-3</v>
      </c>
      <c r="AE208" s="202">
        <f>Funktional!AV187</f>
        <v>0.11642241592406763</v>
      </c>
      <c r="AF208" s="176"/>
      <c r="AG208" s="177"/>
      <c r="AH208" s="177">
        <f>Artengliederung!AN187</f>
        <v>0.50043342717297923</v>
      </c>
      <c r="AI208" s="178" t="str">
        <f t="shared" si="36"/>
        <v>Homburg-Hörstetten</v>
      </c>
    </row>
    <row r="209" spans="1:35" x14ac:dyDescent="0.25">
      <c r="A209" s="41" t="str">
        <f>Funktional!A188</f>
        <v>Hugelshofen-Lippoldswilen</v>
      </c>
      <c r="B209" s="41" t="str">
        <f>Funktional!B188</f>
        <v>KiGa</v>
      </c>
      <c r="C209" s="352">
        <f>Funktional!D188</f>
        <v>18</v>
      </c>
      <c r="D209" s="348">
        <f>Funktional!G188</f>
        <v>12059.208072750325</v>
      </c>
      <c r="E209" s="186">
        <f>Funktional!F188</f>
        <v>217065.74530950584</v>
      </c>
      <c r="F209" s="48">
        <f>Funktional!U188</f>
        <v>8026.5422068164171</v>
      </c>
      <c r="G209" s="48">
        <f>Funktional!T188</f>
        <v>144477.75972269551</v>
      </c>
      <c r="H209" s="48">
        <f>Artengliederung!R188</f>
        <v>360.47838230664092</v>
      </c>
      <c r="I209" s="186">
        <f>Artengliederung!Q188</f>
        <v>6488.6108815195366</v>
      </c>
      <c r="J209" s="48">
        <f>Funktional!Z188</f>
        <v>424.48448582954848</v>
      </c>
      <c r="K209" s="48">
        <f>Funktional!Y188</f>
        <v>7640.7207449318721</v>
      </c>
      <c r="L209" s="48">
        <f>'Kennzahlen Revision'!O188</f>
        <v>205.89956039153338</v>
      </c>
      <c r="M209" s="48">
        <f>'Kennzahlen Revision'!N188</f>
        <v>3706.192087047601</v>
      </c>
      <c r="N209" s="80">
        <f>Funktional!AG188</f>
        <v>653.17429199610524</v>
      </c>
      <c r="O209" s="43">
        <f>Funktional!AF188</f>
        <v>11757.137255929894</v>
      </c>
      <c r="P209" s="43">
        <f>Funktional!AL188</f>
        <v>1724.8011099615005</v>
      </c>
      <c r="Q209" s="43">
        <f>Funktional!AK188</f>
        <v>31046.419979307011</v>
      </c>
      <c r="R209" s="80">
        <f>Funktional!AU188</f>
        <v>649.26865674393252</v>
      </c>
      <c r="S209" s="43">
        <f>Funktional!AT188</f>
        <v>11686.835821390785</v>
      </c>
      <c r="T209" s="80">
        <f>Funktional!AQ188</f>
        <v>51.149305283056208</v>
      </c>
      <c r="U209" s="43">
        <f>Funktional!AP188</f>
        <v>920.68749509501174</v>
      </c>
      <c r="V209" s="80">
        <f t="shared" si="38"/>
        <v>529.78801611976542</v>
      </c>
      <c r="W209" s="183">
        <f t="shared" si="38"/>
        <v>9536.1842901557538</v>
      </c>
      <c r="X209" s="172">
        <f>Funktional!S188</f>
        <v>0.66559447008412187</v>
      </c>
      <c r="Y209" s="42">
        <f>Funktional!X188</f>
        <v>3.5200029991085222E-2</v>
      </c>
      <c r="Z209" s="42">
        <f>'Kennzahlen Revision'!L188</f>
        <v>1.707405321720883E-2</v>
      </c>
      <c r="AA209" s="42">
        <f>Funktional!AE188</f>
        <v>5.4163945762910851E-2</v>
      </c>
      <c r="AB209" s="42">
        <f>Funktional!AJ188</f>
        <v>0.14302772616213164</v>
      </c>
      <c r="AC209" s="42">
        <f>Funktional!AS188</f>
        <v>5.384007414309875E-2</v>
      </c>
      <c r="AD209" s="42">
        <f>Funktional!AO188</f>
        <v>4.2415144489161023E-3</v>
      </c>
      <c r="AE209" s="202">
        <f>Funktional!AV188</f>
        <v>4.3932239407735559E-2</v>
      </c>
      <c r="AF209" s="176"/>
      <c r="AG209" s="177"/>
      <c r="AH209" s="177">
        <f>Artengliederung!AN188</f>
        <v>0.63787805276229825</v>
      </c>
      <c r="AI209" s="178" t="str">
        <f t="shared" si="36"/>
        <v>Hugelshofen-Lippoldswilen</v>
      </c>
    </row>
    <row r="210" spans="1:35" x14ac:dyDescent="0.25">
      <c r="A210" s="41" t="str">
        <f>Funktional!A189</f>
        <v>Hüttlingen</v>
      </c>
      <c r="B210" s="41" t="str">
        <f>Funktional!B189</f>
        <v>KiGa</v>
      </c>
      <c r="C210" s="352">
        <f>Funktional!D189</f>
        <v>29</v>
      </c>
      <c r="D210" s="348">
        <f>Funktional!G189</f>
        <v>7562.0818309971564</v>
      </c>
      <c r="E210" s="186">
        <f>Funktional!F189</f>
        <v>109650.18654945877</v>
      </c>
      <c r="F210" s="48">
        <f>Funktional!U189</f>
        <v>5214.7927079834017</v>
      </c>
      <c r="G210" s="48">
        <f>Funktional!T189</f>
        <v>75614.49426575932</v>
      </c>
      <c r="H210" s="48">
        <f>Artengliederung!R189</f>
        <v>186.26222882514705</v>
      </c>
      <c r="I210" s="186">
        <f>Artengliederung!Q189</f>
        <v>2700.802317964632</v>
      </c>
      <c r="J210" s="48">
        <f>Funktional!Z189</f>
        <v>420.50869701845033</v>
      </c>
      <c r="K210" s="48">
        <f>Funktional!Y189</f>
        <v>6097.3761067675296</v>
      </c>
      <c r="L210" s="48">
        <f>'Kennzahlen Revision'!O189</f>
        <v>134.81610933266668</v>
      </c>
      <c r="M210" s="48">
        <f>'Kennzahlen Revision'!N189</f>
        <v>1954.8335853236667</v>
      </c>
      <c r="N210" s="80">
        <f>Funktional!AG189</f>
        <v>620.24453685293565</v>
      </c>
      <c r="O210" s="43">
        <f>Funktional!AF189</f>
        <v>8993.5457843675667</v>
      </c>
      <c r="P210" s="43">
        <f>Funktional!AL189</f>
        <v>895.06488009723182</v>
      </c>
      <c r="Q210" s="43">
        <f>Funktional!AK189</f>
        <v>12978.440761409862</v>
      </c>
      <c r="R210" s="80">
        <f>Funktional!AU189</f>
        <v>81.709483890872178</v>
      </c>
      <c r="S210" s="43">
        <f>Funktional!AT189</f>
        <v>1184.7875164176467</v>
      </c>
      <c r="T210" s="80">
        <f>Funktional!AQ189</f>
        <v>22.36083084824168</v>
      </c>
      <c r="U210" s="43">
        <f>Funktional!AP189</f>
        <v>324.23204729950436</v>
      </c>
      <c r="V210" s="80">
        <f t="shared" ref="V210:W229" si="39">D210-F210-J210-N210-P210-R210-T210</f>
        <v>307.40069430602318</v>
      </c>
      <c r="W210" s="183">
        <f t="shared" si="39"/>
        <v>4457.3100674373381</v>
      </c>
      <c r="X210" s="172">
        <f>Funktional!S189</f>
        <v>0.68959749769009904</v>
      </c>
      <c r="Y210" s="42">
        <f>Funktional!X189</f>
        <v>5.5607530626655612E-2</v>
      </c>
      <c r="Z210" s="42">
        <f>'Kennzahlen Revision'!L189</f>
        <v>1.7827909343701119E-2</v>
      </c>
      <c r="AA210" s="42">
        <f>Funktional!AE189</f>
        <v>8.2020341846941971E-2</v>
      </c>
      <c r="AB210" s="42">
        <f>Funktional!AJ189</f>
        <v>0.11836223147286495</v>
      </c>
      <c r="AC210" s="42">
        <f>Funktional!AS189</f>
        <v>1.0805157325320527E-2</v>
      </c>
      <c r="AD210" s="42">
        <f>Funktional!AO189</f>
        <v>2.9569675848499935E-3</v>
      </c>
      <c r="AE210" s="202">
        <f>Funktional!AV189</f>
        <v>4.0650273453267882E-2</v>
      </c>
      <c r="AF210" s="176"/>
      <c r="AG210" s="177"/>
      <c r="AH210" s="177">
        <f>Artengliederung!AN189</f>
        <v>0</v>
      </c>
      <c r="AI210" s="178" t="str">
        <f t="shared" si="36"/>
        <v>Hüttlingen</v>
      </c>
    </row>
    <row r="211" spans="1:35" x14ac:dyDescent="0.25">
      <c r="A211" s="41" t="str">
        <f>Funktional!A190</f>
        <v>Hüttwilen</v>
      </c>
      <c r="B211" s="41" t="str">
        <f>Funktional!B190</f>
        <v>KiGa</v>
      </c>
      <c r="C211" s="352">
        <f>Funktional!D190</f>
        <v>25</v>
      </c>
      <c r="D211" s="348">
        <f>Funktional!G190</f>
        <v>5401.7917575385227</v>
      </c>
      <c r="E211" s="186">
        <f>Funktional!F190</f>
        <v>135044.79393846306</v>
      </c>
      <c r="F211" s="48">
        <f>Funktional!U190</f>
        <v>3254.167487181262</v>
      </c>
      <c r="G211" s="48">
        <f>Funktional!T190</f>
        <v>81354.187179531553</v>
      </c>
      <c r="H211" s="48">
        <f>Artengliederung!R190</f>
        <v>122.06470742404608</v>
      </c>
      <c r="I211" s="186">
        <f>Artengliederung!Q190</f>
        <v>3051.6176856011521</v>
      </c>
      <c r="J211" s="48">
        <f>Funktional!Z190</f>
        <v>205.03205172459374</v>
      </c>
      <c r="K211" s="48">
        <f>Funktional!Y190</f>
        <v>5125.8012931148432</v>
      </c>
      <c r="L211" s="48">
        <f>'Kennzahlen Revision'!O190</f>
        <v>66.072656535029111</v>
      </c>
      <c r="M211" s="48">
        <f>'Kennzahlen Revision'!N190</f>
        <v>1651.8164133757277</v>
      </c>
      <c r="N211" s="80">
        <f>Funktional!AG190</f>
        <v>556.63950368551923</v>
      </c>
      <c r="O211" s="43">
        <f>Funktional!AF190</f>
        <v>13915.987592137981</v>
      </c>
      <c r="P211" s="43">
        <f>Funktional!AL190</f>
        <v>373.95132368081579</v>
      </c>
      <c r="Q211" s="43">
        <f>Funktional!AK190</f>
        <v>9348.7830920203942</v>
      </c>
      <c r="R211" s="80">
        <f>Funktional!AU190</f>
        <v>314.7221651740245</v>
      </c>
      <c r="S211" s="43">
        <f>Funktional!AT190</f>
        <v>7868.054129350613</v>
      </c>
      <c r="T211" s="80">
        <f>Funktional!AQ190</f>
        <v>17.603611165944038</v>
      </c>
      <c r="U211" s="43">
        <f>Funktional!AP190</f>
        <v>440.09027914860098</v>
      </c>
      <c r="V211" s="80">
        <f t="shared" si="39"/>
        <v>679.67561492636344</v>
      </c>
      <c r="W211" s="183">
        <f t="shared" si="39"/>
        <v>16991.89037315908</v>
      </c>
      <c r="X211" s="172">
        <f>Funktional!S190</f>
        <v>0.60242372035906</v>
      </c>
      <c r="Y211" s="42">
        <f>Funktional!X190</f>
        <v>3.795630430189377E-2</v>
      </c>
      <c r="Z211" s="42">
        <f>'Kennzahlen Revision'!L190</f>
        <v>1.2231618600035956E-2</v>
      </c>
      <c r="AA211" s="42">
        <f>Funktional!AE190</f>
        <v>0.10304719779482348</v>
      </c>
      <c r="AB211" s="42">
        <f>Funktional!AJ190</f>
        <v>6.9227275034981564E-2</v>
      </c>
      <c r="AC211" s="42">
        <f>Funktional!AS190</f>
        <v>5.8262550520354839E-2</v>
      </c>
      <c r="AD211" s="42">
        <f>Funktional!AO190</f>
        <v>3.2588466857088948E-3</v>
      </c>
      <c r="AE211" s="202">
        <f>Funktional!AV190</f>
        <v>0.12582410530317747</v>
      </c>
      <c r="AF211" s="176"/>
      <c r="AG211" s="177"/>
      <c r="AH211" s="177">
        <f>Artengliederung!AN190</f>
        <v>7.3049572069283239E-2</v>
      </c>
      <c r="AI211" s="178" t="str">
        <f t="shared" si="36"/>
        <v>Hüttwilen</v>
      </c>
    </row>
    <row r="212" spans="1:35" hidden="1" x14ac:dyDescent="0.25">
      <c r="A212" s="41" t="str">
        <f>Funktional!A191</f>
        <v>Illighausen</v>
      </c>
      <c r="B212" s="41" t="str">
        <f>Funktional!B191</f>
        <v>KiGa</v>
      </c>
      <c r="C212" s="352">
        <f>Funktional!D191</f>
        <v>0</v>
      </c>
      <c r="D212" s="348">
        <f>Funktional!G191</f>
        <v>0</v>
      </c>
      <c r="E212" s="186">
        <f>Funktional!F191</f>
        <v>0</v>
      </c>
      <c r="F212" s="48">
        <f>Funktional!U191</f>
        <v>0</v>
      </c>
      <c r="G212" s="48">
        <f>Funktional!T191</f>
        <v>0</v>
      </c>
      <c r="H212" s="48">
        <f>Artengliederung!R191</f>
        <v>0</v>
      </c>
      <c r="I212" s="186">
        <f>Artengliederung!Q191</f>
        <v>0</v>
      </c>
      <c r="J212" s="48">
        <f>Funktional!Z191</f>
        <v>0</v>
      </c>
      <c r="K212" s="48">
        <f>Funktional!Y191</f>
        <v>0</v>
      </c>
      <c r="L212" s="48">
        <f>'Kennzahlen Revision'!O191</f>
        <v>0</v>
      </c>
      <c r="M212" s="48">
        <f>'Kennzahlen Revision'!N191</f>
        <v>0</v>
      </c>
      <c r="N212" s="80">
        <f>Funktional!AG191</f>
        <v>0</v>
      </c>
      <c r="O212" s="43">
        <f>Funktional!AF191</f>
        <v>0</v>
      </c>
      <c r="P212" s="43">
        <f>Funktional!AL191</f>
        <v>0</v>
      </c>
      <c r="Q212" s="43">
        <f>Funktional!AK191</f>
        <v>0</v>
      </c>
      <c r="R212" s="80">
        <f>Funktional!AU191</f>
        <v>0</v>
      </c>
      <c r="S212" s="43">
        <f>Funktional!AT191</f>
        <v>0</v>
      </c>
      <c r="T212" s="80">
        <f>Funktional!AQ191</f>
        <v>0</v>
      </c>
      <c r="U212" s="43">
        <f>Funktional!AP191</f>
        <v>0</v>
      </c>
      <c r="V212" s="80">
        <f t="shared" si="39"/>
        <v>0</v>
      </c>
      <c r="W212" s="183">
        <f t="shared" si="39"/>
        <v>0</v>
      </c>
      <c r="X212" s="172">
        <f>Funktional!S191</f>
        <v>0</v>
      </c>
      <c r="Y212" s="42">
        <f>Funktional!X191</f>
        <v>0</v>
      </c>
      <c r="Z212" s="42">
        <f>'Kennzahlen Revision'!L191</f>
        <v>0</v>
      </c>
      <c r="AA212" s="42">
        <f>Funktional!AE191</f>
        <v>0</v>
      </c>
      <c r="AB212" s="42">
        <f>Funktional!AJ191</f>
        <v>0</v>
      </c>
      <c r="AC212" s="42">
        <f>Funktional!AS191</f>
        <v>0</v>
      </c>
      <c r="AD212" s="42">
        <f>Funktional!AO191</f>
        <v>0</v>
      </c>
      <c r="AE212" s="202">
        <f>Funktional!AV191</f>
        <v>0</v>
      </c>
      <c r="AF212" s="176"/>
      <c r="AG212" s="177"/>
      <c r="AH212" s="177">
        <f>Artengliederung!AN191</f>
        <v>0</v>
      </c>
      <c r="AI212" s="178" t="str">
        <f t="shared" si="36"/>
        <v>Illighausen</v>
      </c>
    </row>
    <row r="213" spans="1:35" x14ac:dyDescent="0.25">
      <c r="A213" s="41" t="str">
        <f>Funktional!A192</f>
        <v>Istighofen</v>
      </c>
      <c r="B213" s="41" t="str">
        <f>Funktional!B192</f>
        <v>KiGa</v>
      </c>
      <c r="C213" s="352">
        <f>Funktional!D192</f>
        <v>23</v>
      </c>
      <c r="D213" s="348">
        <f>Funktional!G192</f>
        <v>7448.705936418497</v>
      </c>
      <c r="E213" s="186">
        <f>Funktional!F192</f>
        <v>171320.23653762543</v>
      </c>
      <c r="F213" s="48">
        <f>Funktional!U192</f>
        <v>4669.7924821393126</v>
      </c>
      <c r="G213" s="48">
        <f>Funktional!T192</f>
        <v>107405.2270892042</v>
      </c>
      <c r="H213" s="48">
        <f>Artengliederung!R192</f>
        <v>163.44431652370204</v>
      </c>
      <c r="I213" s="186">
        <f>Artengliederung!Q192</f>
        <v>3759.2192800451471</v>
      </c>
      <c r="J213" s="48">
        <f>Funktional!Z192</f>
        <v>330.29764504826517</v>
      </c>
      <c r="K213" s="48">
        <f>Funktional!Y192</f>
        <v>7596.8458361100993</v>
      </c>
      <c r="L213" s="48">
        <f>'Kennzahlen Revision'!O192</f>
        <v>126.80468658782533</v>
      </c>
      <c r="M213" s="48">
        <f>'Kennzahlen Revision'!N192</f>
        <v>2916.5077915199827</v>
      </c>
      <c r="N213" s="80">
        <f>Funktional!AG192</f>
        <v>458.7473303177299</v>
      </c>
      <c r="O213" s="43">
        <f>Funktional!AF192</f>
        <v>10551.188597307788</v>
      </c>
      <c r="P213" s="43">
        <f>Funktional!AL192</f>
        <v>878.69008952488366</v>
      </c>
      <c r="Q213" s="43">
        <f>Funktional!AK192</f>
        <v>20209.872059072324</v>
      </c>
      <c r="R213" s="80">
        <f>Funktional!AU192</f>
        <v>654.45023977277435</v>
      </c>
      <c r="S213" s="43">
        <f>Funktional!AT192</f>
        <v>15052.35551477381</v>
      </c>
      <c r="T213" s="80">
        <f>Funktional!AQ192</f>
        <v>32.122699854248282</v>
      </c>
      <c r="U213" s="43">
        <f>Funktional!AP192</f>
        <v>738.82209664771051</v>
      </c>
      <c r="V213" s="80">
        <f t="shared" si="39"/>
        <v>424.60544976128313</v>
      </c>
      <c r="W213" s="183">
        <f t="shared" si="39"/>
        <v>9765.9253445094982</v>
      </c>
      <c r="X213" s="172">
        <f>Funktional!S192</f>
        <v>0.62692667988241901</v>
      </c>
      <c r="Y213" s="42">
        <f>Funktional!X192</f>
        <v>4.4342956732036011E-2</v>
      </c>
      <c r="Z213" s="42">
        <f>'Kennzahlen Revision'!L192</f>
        <v>1.7023720317357008E-2</v>
      </c>
      <c r="AA213" s="42">
        <f>Funktional!AE192</f>
        <v>6.158752060204243E-2</v>
      </c>
      <c r="AB213" s="42">
        <f>Funktional!AJ192</f>
        <v>0.11796546903922715</v>
      </c>
      <c r="AC213" s="42">
        <f>Funktional!AS192</f>
        <v>8.7860931195177308E-2</v>
      </c>
      <c r="AD213" s="42">
        <f>Funktional!AO192</f>
        <v>4.3125208765716948E-3</v>
      </c>
      <c r="AE213" s="202">
        <f>Funktional!AV192</f>
        <v>5.7003921672526367E-2</v>
      </c>
      <c r="AF213" s="176"/>
      <c r="AG213" s="177"/>
      <c r="AH213" s="177">
        <f>Artengliederung!AN192</f>
        <v>0.18780591494682064</v>
      </c>
      <c r="AI213" s="178" t="str">
        <f t="shared" si="36"/>
        <v>Istighofen</v>
      </c>
    </row>
    <row r="214" spans="1:35" x14ac:dyDescent="0.25">
      <c r="A214" s="41" t="str">
        <f>Funktional!A193</f>
        <v>Kaltenbach</v>
      </c>
      <c r="B214" s="41" t="str">
        <f>Funktional!B193</f>
        <v>KiGa</v>
      </c>
      <c r="C214" s="352">
        <f>Funktional!D193</f>
        <v>21</v>
      </c>
      <c r="D214" s="348">
        <f>Funktional!G193</f>
        <v>6590.6999779221469</v>
      </c>
      <c r="E214" s="186">
        <f>Funktional!F193</f>
        <v>138404.69953636508</v>
      </c>
      <c r="F214" s="48">
        <f>Funktional!U193</f>
        <v>4827.4652409181881</v>
      </c>
      <c r="G214" s="48">
        <f>Funktional!T193</f>
        <v>101376.77005928195</v>
      </c>
      <c r="H214" s="48">
        <f>Artengliederung!R193</f>
        <v>241.04264416835079</v>
      </c>
      <c r="I214" s="186">
        <f>Artengliederung!Q193</f>
        <v>5061.8955275353665</v>
      </c>
      <c r="J214" s="48">
        <f>Funktional!Z193</f>
        <v>19.299507664506805</v>
      </c>
      <c r="K214" s="48">
        <f>Funktional!Y193</f>
        <v>405.2896609546429</v>
      </c>
      <c r="L214" s="48">
        <f>'Kennzahlen Revision'!O193</f>
        <v>163.77901385154968</v>
      </c>
      <c r="M214" s="48">
        <f>'Kennzahlen Revision'!N193</f>
        <v>3439.3592908825431</v>
      </c>
      <c r="N214" s="80">
        <f>Funktional!AG193</f>
        <v>106.38195402140805</v>
      </c>
      <c r="O214" s="43">
        <f>Funktional!AF193</f>
        <v>2234.021034449569</v>
      </c>
      <c r="P214" s="43">
        <f>Funktional!AL193</f>
        <v>1141.0571948270717</v>
      </c>
      <c r="Q214" s="43">
        <f>Funktional!AK193</f>
        <v>23962.201091368508</v>
      </c>
      <c r="R214" s="80">
        <f>Funktional!AU193</f>
        <v>72.134969745949746</v>
      </c>
      <c r="S214" s="43">
        <f>Funktional!AT193</f>
        <v>1514.8343646649446</v>
      </c>
      <c r="T214" s="80">
        <f>Funktional!AQ193</f>
        <v>62.705348996830146</v>
      </c>
      <c r="U214" s="43">
        <f>Funktional!AP193</f>
        <v>1316.812328933433</v>
      </c>
      <c r="V214" s="80">
        <f t="shared" si="39"/>
        <v>361.65576174819228</v>
      </c>
      <c r="W214" s="183">
        <f t="shared" si="39"/>
        <v>7594.7709967120318</v>
      </c>
      <c r="X214" s="172">
        <f>Funktional!S193</f>
        <v>0.73246624138399108</v>
      </c>
      <c r="Y214" s="42">
        <f>Funktional!X193</f>
        <v>2.9282940703047101E-3</v>
      </c>
      <c r="Z214" s="42">
        <f>'Kennzahlen Revision'!L193</f>
        <v>2.4850018116464825E-2</v>
      </c>
      <c r="AA214" s="42">
        <f>Funktional!AE193</f>
        <v>1.6141222385751375E-2</v>
      </c>
      <c r="AB214" s="42">
        <f>Funktional!AJ193</f>
        <v>0.17313141223988981</v>
      </c>
      <c r="AC214" s="42">
        <f>Funktional!AS193</f>
        <v>1.0944963355575437E-2</v>
      </c>
      <c r="AD214" s="42">
        <f>Funktional!AO193</f>
        <v>9.5142168824075782E-3</v>
      </c>
      <c r="AE214" s="202">
        <f>Funktional!AV193</f>
        <v>5.4873649682080007E-2</v>
      </c>
      <c r="AF214" s="176"/>
      <c r="AG214" s="177"/>
      <c r="AH214" s="177">
        <f>Artengliederung!AN193</f>
        <v>0.17941933523796702</v>
      </c>
      <c r="AI214" s="178" t="str">
        <f t="shared" si="36"/>
        <v>Kaltenbach</v>
      </c>
    </row>
    <row r="215" spans="1:35" x14ac:dyDescent="0.25">
      <c r="A215" s="41" t="str">
        <f>Funktional!A194</f>
        <v>Kesswil</v>
      </c>
      <c r="B215" s="41" t="str">
        <f>Funktional!B194</f>
        <v>KiGa</v>
      </c>
      <c r="C215" s="352">
        <f>Funktional!D194</f>
        <v>18</v>
      </c>
      <c r="D215" s="348">
        <f>Funktional!G194</f>
        <v>9211.1018485210625</v>
      </c>
      <c r="E215" s="186">
        <f>Funktional!F194</f>
        <v>165799.83327337913</v>
      </c>
      <c r="F215" s="48">
        <f>Funktional!U194</f>
        <v>5492.3986624338586</v>
      </c>
      <c r="G215" s="48">
        <f>Funktional!T194</f>
        <v>98863.175923809453</v>
      </c>
      <c r="H215" s="48">
        <f>Artengliederung!R194</f>
        <v>263.53483453136681</v>
      </c>
      <c r="I215" s="186">
        <f>Artengliederung!Q194</f>
        <v>4743.6270215646027</v>
      </c>
      <c r="J215" s="48">
        <f>Funktional!Z194</f>
        <v>325.96922435178681</v>
      </c>
      <c r="K215" s="48">
        <f>Funktional!Y194</f>
        <v>5867.446038332163</v>
      </c>
      <c r="L215" s="48">
        <f>'Kennzahlen Revision'!O194</f>
        <v>112.26666106440514</v>
      </c>
      <c r="M215" s="48">
        <f>'Kennzahlen Revision'!N194</f>
        <v>2020.7998991592926</v>
      </c>
      <c r="N215" s="80">
        <f>Funktional!AG194</f>
        <v>552.09918657752303</v>
      </c>
      <c r="O215" s="43">
        <f>Funktional!AF194</f>
        <v>9937.7853583954147</v>
      </c>
      <c r="P215" s="43">
        <f>Funktional!AL194</f>
        <v>641.77571366986933</v>
      </c>
      <c r="Q215" s="43">
        <f>Funktional!AK194</f>
        <v>11551.962846057648</v>
      </c>
      <c r="R215" s="80">
        <f>Funktional!AU194</f>
        <v>555.44748398218235</v>
      </c>
      <c r="S215" s="43">
        <f>Funktional!AT194</f>
        <v>9998.0547116792823</v>
      </c>
      <c r="T215" s="80">
        <f>Funktional!AQ194</f>
        <v>24.021719772585417</v>
      </c>
      <c r="U215" s="43">
        <f>Funktional!AP194</f>
        <v>432.3909559065375</v>
      </c>
      <c r="V215" s="80">
        <f t="shared" si="39"/>
        <v>1619.3898577332573</v>
      </c>
      <c r="W215" s="183">
        <f t="shared" si="39"/>
        <v>29149.017439198637</v>
      </c>
      <c r="X215" s="172">
        <f>Funktional!S194</f>
        <v>0.59628030964783219</v>
      </c>
      <c r="Y215" s="42">
        <f>Funktional!X194</f>
        <v>3.5388733043281301E-2</v>
      </c>
      <c r="Z215" s="42">
        <f>'Kennzahlen Revision'!L194</f>
        <v>1.218819017644786E-2</v>
      </c>
      <c r="AA215" s="42">
        <f>Funktional!AE194</f>
        <v>5.993845206110366E-2</v>
      </c>
      <c r="AB215" s="42">
        <f>Funktional!AJ194</f>
        <v>6.9674152367874748E-2</v>
      </c>
      <c r="AC215" s="42">
        <f>Funktional!AS194</f>
        <v>6.0301958779379383E-2</v>
      </c>
      <c r="AD215" s="42">
        <f>Funktional!AO194</f>
        <v>2.6079094735492856E-3</v>
      </c>
      <c r="AE215" s="202">
        <f>Funktional!AV194</f>
        <v>0.17580848462697946</v>
      </c>
      <c r="AF215" s="176"/>
      <c r="AG215" s="177"/>
      <c r="AH215" s="177">
        <f>Artengliederung!AN194</f>
        <v>0.28326887583398286</v>
      </c>
      <c r="AI215" s="178" t="str">
        <f t="shared" ref="AI215:AI234" si="40">A215</f>
        <v>Kesswil</v>
      </c>
    </row>
    <row r="216" spans="1:35" x14ac:dyDescent="0.25">
      <c r="A216" s="41" t="str">
        <f>Funktional!A195&amp;" (inkl. Dozwil)"</f>
        <v>Kreuzlingen (inkl. Dozwil)</v>
      </c>
      <c r="B216" s="41" t="str">
        <f>Funktional!B195</f>
        <v>KiGa</v>
      </c>
      <c r="C216" s="352">
        <f>Funktional!D195</f>
        <v>356</v>
      </c>
      <c r="D216" s="348">
        <f>Funktional!G195</f>
        <v>5919.0213305810103</v>
      </c>
      <c r="E216" s="186">
        <f>Funktional!F195</f>
        <v>140478.1062457893</v>
      </c>
      <c r="F216" s="48">
        <f>Funktional!U195</f>
        <v>4013.9665700367218</v>
      </c>
      <c r="G216" s="48">
        <f>Funktional!T195</f>
        <v>95264.806595538204</v>
      </c>
      <c r="H216" s="48">
        <f>Artengliederung!R195</f>
        <v>147.77930750217442</v>
      </c>
      <c r="I216" s="186">
        <f>Artengliederung!Q195</f>
        <v>3507.295564718273</v>
      </c>
      <c r="J216" s="48">
        <f>Funktional!Z195</f>
        <v>353.67187134090773</v>
      </c>
      <c r="K216" s="48">
        <f>Funktional!Y195</f>
        <v>8393.8124131575441</v>
      </c>
      <c r="L216" s="48">
        <f>'Kennzahlen Revision'!O195</f>
        <v>136.39506094899676</v>
      </c>
      <c r="M216" s="48">
        <f>'Kennzahlen Revision'!N195</f>
        <v>3237.1094465228566</v>
      </c>
      <c r="N216" s="80">
        <f>Funktional!AG195</f>
        <v>113.86781955926959</v>
      </c>
      <c r="O216" s="43">
        <f>Funktional!AF195</f>
        <v>2702.4629175399982</v>
      </c>
      <c r="P216" s="43">
        <f>Funktional!AL195</f>
        <v>683.86981866257895</v>
      </c>
      <c r="Q216" s="43">
        <f>Funktional!AK195</f>
        <v>16230.510362925208</v>
      </c>
      <c r="R216" s="80">
        <f>Funktional!AU195</f>
        <v>97.620774956466519</v>
      </c>
      <c r="S216" s="43">
        <f>Funktional!AT195</f>
        <v>2316.8663923001386</v>
      </c>
      <c r="T216" s="80">
        <f>Funktional!AQ195</f>
        <v>-15.253329625753471</v>
      </c>
      <c r="U216" s="43">
        <f>Funktional!AP195</f>
        <v>-362.01235645121574</v>
      </c>
      <c r="V216" s="80">
        <f t="shared" si="39"/>
        <v>671.27780565081923</v>
      </c>
      <c r="W216" s="183">
        <f t="shared" si="39"/>
        <v>15931.659920779421</v>
      </c>
      <c r="X216" s="172">
        <f>Funktional!S195</f>
        <v>0.67814700198803168</v>
      </c>
      <c r="Y216" s="42">
        <f>Funktional!X195</f>
        <v>5.9751748065789007E-2</v>
      </c>
      <c r="Z216" s="42">
        <f>'Kennzahlen Revision'!L195</f>
        <v>2.3043515698161581E-2</v>
      </c>
      <c r="AA216" s="42">
        <f>Funktional!AE195</f>
        <v>1.9237609259991018E-2</v>
      </c>
      <c r="AB216" s="42">
        <f>Funktional!AJ195</f>
        <v>0.11553765064662311</v>
      </c>
      <c r="AC216" s="42">
        <f>Funktional!AS195</f>
        <v>1.6492722276924804E-2</v>
      </c>
      <c r="AD216" s="42">
        <f>Funktional!AO195</f>
        <v>-2.5770019693874303E-3</v>
      </c>
      <c r="AE216" s="202">
        <f>Funktional!AV195</f>
        <v>0.11341026973202784</v>
      </c>
      <c r="AF216" s="176"/>
      <c r="AG216" s="177"/>
      <c r="AH216" s="177">
        <f>Artengliederung!AN195</f>
        <v>3.6285903521506742E-2</v>
      </c>
      <c r="AI216" s="178" t="str">
        <f t="shared" si="40"/>
        <v>Kreuzlingen (inkl. Dozwil)</v>
      </c>
    </row>
    <row r="217" spans="1:35" x14ac:dyDescent="0.25">
      <c r="A217" s="41" t="str">
        <f>Funktional!A196</f>
        <v>Landschlacht</v>
      </c>
      <c r="B217" s="41" t="str">
        <f>Funktional!B196</f>
        <v>KiGa</v>
      </c>
      <c r="C217" s="352">
        <f>Funktional!D196</f>
        <v>27</v>
      </c>
      <c r="D217" s="348">
        <f>Funktional!G196</f>
        <v>8988.9151440560017</v>
      </c>
      <c r="E217" s="186">
        <f>Funktional!F196</f>
        <v>242700.70888951205</v>
      </c>
      <c r="F217" s="48">
        <f>Funktional!U196</f>
        <v>4743.4228054054274</v>
      </c>
      <c r="G217" s="48">
        <f>Funktional!T196</f>
        <v>128072.41574594655</v>
      </c>
      <c r="H217" s="48">
        <f>Artengliederung!R196</f>
        <v>194.96295280230225</v>
      </c>
      <c r="I217" s="186">
        <f>Artengliederung!Q196</f>
        <v>5263.9997256621609</v>
      </c>
      <c r="J217" s="48">
        <f>Funktional!Z196</f>
        <v>382.98104245409172</v>
      </c>
      <c r="K217" s="48">
        <f>Funktional!Y196</f>
        <v>10340.488146260477</v>
      </c>
      <c r="L217" s="48">
        <f>'Kennzahlen Revision'!O196</f>
        <v>130.97812412108757</v>
      </c>
      <c r="M217" s="48">
        <f>'Kennzahlen Revision'!N196</f>
        <v>3536.4093512693644</v>
      </c>
      <c r="N217" s="80">
        <f>Funktional!AG196</f>
        <v>1073.6176081802378</v>
      </c>
      <c r="O217" s="43">
        <f>Funktional!AF196</f>
        <v>28987.675420866421</v>
      </c>
      <c r="P217" s="43">
        <f>Funktional!AL196</f>
        <v>1237.4208652541333</v>
      </c>
      <c r="Q217" s="43">
        <f>Funktional!AK196</f>
        <v>33410.3633618616</v>
      </c>
      <c r="R217" s="80">
        <f>Funktional!AU196</f>
        <v>865.0383039308449</v>
      </c>
      <c r="S217" s="43">
        <f>Funktional!AT196</f>
        <v>23356.034206132812</v>
      </c>
      <c r="T217" s="80">
        <f>Funktional!AQ196</f>
        <v>49.744484017157355</v>
      </c>
      <c r="U217" s="43">
        <f>Funktional!AP196</f>
        <v>1343.1010684632486</v>
      </c>
      <c r="V217" s="80">
        <f t="shared" si="39"/>
        <v>636.69003481410903</v>
      </c>
      <c r="W217" s="183">
        <f t="shared" si="39"/>
        <v>17190.63093998094</v>
      </c>
      <c r="X217" s="172">
        <f>Funktional!S196</f>
        <v>0.52769691663426788</v>
      </c>
      <c r="Y217" s="42">
        <f>Funktional!X196</f>
        <v>4.2605924776956128E-2</v>
      </c>
      <c r="Z217" s="42">
        <f>'Kennzahlen Revision'!L196</f>
        <v>1.4571071372021793E-2</v>
      </c>
      <c r="AA217" s="42">
        <f>Funktional!AE196</f>
        <v>0.11943795118481865</v>
      </c>
      <c r="AB217" s="42">
        <f>Funktional!AJ196</f>
        <v>0.13766075721299789</v>
      </c>
      <c r="AC217" s="42">
        <f>Funktional!AS196</f>
        <v>9.6233893642088605E-2</v>
      </c>
      <c r="AD217" s="42">
        <f>Funktional!AO196</f>
        <v>5.5339808219294767E-3</v>
      </c>
      <c r="AE217" s="202">
        <f>Funktional!AV196</f>
        <v>7.0830575726941417E-2</v>
      </c>
      <c r="AF217" s="176"/>
      <c r="AG217" s="177"/>
      <c r="AH217" s="177">
        <f>Artengliederung!AN196</f>
        <v>3.9786497189912839E-2</v>
      </c>
      <c r="AI217" s="178" t="str">
        <f t="shared" si="40"/>
        <v>Landschlacht</v>
      </c>
    </row>
    <row r="218" spans="1:35" ht="12" hidden="1" customHeight="1" x14ac:dyDescent="0.25">
      <c r="A218" s="41" t="str">
        <f>Funktional!A197</f>
        <v>Lanterswil</v>
      </c>
      <c r="B218" s="41" t="str">
        <f>Funktional!B197</f>
        <v>KiGa</v>
      </c>
      <c r="C218" s="352">
        <f>Funktional!D197</f>
        <v>0</v>
      </c>
      <c r="D218" s="348">
        <f>Funktional!G197</f>
        <v>0</v>
      </c>
      <c r="E218" s="186">
        <f>Funktional!F197</f>
        <v>0</v>
      </c>
      <c r="F218" s="48">
        <f>Funktional!U197</f>
        <v>0</v>
      </c>
      <c r="G218" s="48">
        <f>Funktional!T197</f>
        <v>0</v>
      </c>
      <c r="H218" s="48">
        <f>Artengliederung!R197</f>
        <v>0</v>
      </c>
      <c r="I218" s="186">
        <f>Artengliederung!Q197</f>
        <v>0</v>
      </c>
      <c r="J218" s="48">
        <f>Funktional!Z197</f>
        <v>0</v>
      </c>
      <c r="K218" s="48">
        <f>Funktional!Y197</f>
        <v>0</v>
      </c>
      <c r="L218" s="48">
        <f>'Kennzahlen Revision'!O197</f>
        <v>0</v>
      </c>
      <c r="M218" s="48">
        <f>'Kennzahlen Revision'!N197</f>
        <v>0</v>
      </c>
      <c r="N218" s="80">
        <f>Funktional!AG197</f>
        <v>0</v>
      </c>
      <c r="O218" s="43">
        <f>Funktional!AF197</f>
        <v>0</v>
      </c>
      <c r="P218" s="43">
        <f>Funktional!AL197</f>
        <v>0</v>
      </c>
      <c r="Q218" s="43">
        <f>Funktional!AK197</f>
        <v>0</v>
      </c>
      <c r="R218" s="80">
        <f>Funktional!AU197</f>
        <v>0</v>
      </c>
      <c r="S218" s="43">
        <f>Funktional!AT197</f>
        <v>0</v>
      </c>
      <c r="T218" s="80">
        <f>Funktional!AQ197</f>
        <v>0</v>
      </c>
      <c r="U218" s="43">
        <f>Funktional!AP197</f>
        <v>0</v>
      </c>
      <c r="V218" s="80">
        <f t="shared" si="39"/>
        <v>0</v>
      </c>
      <c r="W218" s="183">
        <f t="shared" si="39"/>
        <v>0</v>
      </c>
      <c r="X218" s="172">
        <f>Funktional!S197</f>
        <v>0</v>
      </c>
      <c r="Y218" s="42">
        <f>Funktional!X197</f>
        <v>0</v>
      </c>
      <c r="Z218" s="42">
        <f>'Kennzahlen Revision'!L197</f>
        <v>0</v>
      </c>
      <c r="AA218" s="42">
        <f>Funktional!AE197</f>
        <v>0</v>
      </c>
      <c r="AB218" s="42">
        <f>Funktional!AJ197</f>
        <v>0</v>
      </c>
      <c r="AC218" s="42">
        <f>Funktional!AS197</f>
        <v>0</v>
      </c>
      <c r="AD218" s="42">
        <f>Funktional!AO197</f>
        <v>0</v>
      </c>
      <c r="AE218" s="202">
        <f>Funktional!AV197</f>
        <v>0</v>
      </c>
      <c r="AF218" s="176"/>
      <c r="AG218" s="177"/>
      <c r="AH218" s="177">
        <f>Artengliederung!AN197</f>
        <v>0</v>
      </c>
      <c r="AI218" s="178" t="str">
        <f t="shared" si="40"/>
        <v>Lanterswil</v>
      </c>
    </row>
    <row r="219" spans="1:35" ht="12.6" customHeight="1" x14ac:dyDescent="0.25">
      <c r="A219" s="41" t="str">
        <f>Funktional!A198</f>
        <v>Leimbach</v>
      </c>
      <c r="B219" s="41" t="str">
        <f>Funktional!B198</f>
        <v>KiGa</v>
      </c>
      <c r="C219" s="352">
        <f>Funktional!D198</f>
        <v>13</v>
      </c>
      <c r="D219" s="348">
        <f>Funktional!G198</f>
        <v>6987.8727954638262</v>
      </c>
      <c r="E219" s="186">
        <f>Funktional!F198</f>
        <v>90842.346341029741</v>
      </c>
      <c r="F219" s="48">
        <f>Funktional!U198</f>
        <v>4496.7329510301652</v>
      </c>
      <c r="G219" s="48">
        <f>Funktional!T198</f>
        <v>58457.528363392143</v>
      </c>
      <c r="H219" s="48">
        <f>Artengliederung!R198</f>
        <v>222.88646177337429</v>
      </c>
      <c r="I219" s="186">
        <f>Artengliederung!Q198</f>
        <v>2897.5240030538657</v>
      </c>
      <c r="J219" s="48">
        <f>Funktional!Z198</f>
        <v>354.45859440547298</v>
      </c>
      <c r="K219" s="48">
        <f>Funktional!Y198</f>
        <v>4607.9617272711484</v>
      </c>
      <c r="L219" s="48">
        <f>'Kennzahlen Revision'!O198</f>
        <v>146.67575767967739</v>
      </c>
      <c r="M219" s="48">
        <f>'Kennzahlen Revision'!N198</f>
        <v>1906.784849835806</v>
      </c>
      <c r="N219" s="80">
        <f>Funktional!AG198</f>
        <v>688.37646274590168</v>
      </c>
      <c r="O219" s="43">
        <f>Funktional!AF198</f>
        <v>8948.8940156967219</v>
      </c>
      <c r="P219" s="43">
        <f>Funktional!AL198</f>
        <v>576.40206773674117</v>
      </c>
      <c r="Q219" s="43">
        <f>Funktional!AK198</f>
        <v>7493.2268805776348</v>
      </c>
      <c r="R219" s="80">
        <f>Funktional!AU198</f>
        <v>414.33198548974428</v>
      </c>
      <c r="S219" s="43">
        <f>Funktional!AT198</f>
        <v>5386.3158113666759</v>
      </c>
      <c r="T219" s="80">
        <f>Funktional!AQ198</f>
        <v>31.434308067957563</v>
      </c>
      <c r="U219" s="43">
        <f>Funktional!AP198</f>
        <v>408.64600488344831</v>
      </c>
      <c r="V219" s="80">
        <f t="shared" si="39"/>
        <v>426.13642598784327</v>
      </c>
      <c r="W219" s="183">
        <f t="shared" si="39"/>
        <v>5539.7735378419693</v>
      </c>
      <c r="X219" s="172">
        <f>Funktional!S198</f>
        <v>0.64350526728952717</v>
      </c>
      <c r="Y219" s="42">
        <f>Funktional!X198</f>
        <v>5.0724820668683258E-2</v>
      </c>
      <c r="Z219" s="42">
        <f>'Kennzahlen Revision'!L198</f>
        <v>2.0990044033842727E-2</v>
      </c>
      <c r="AA219" s="42">
        <f>Funktional!AE198</f>
        <v>9.8510159371069383E-2</v>
      </c>
      <c r="AB219" s="42">
        <f>Funktional!AJ198</f>
        <v>8.2486056144426709E-2</v>
      </c>
      <c r="AC219" s="42">
        <f>Funktional!AS198</f>
        <v>5.9293006272052876E-2</v>
      </c>
      <c r="AD219" s="42">
        <f>Funktional!AO198</f>
        <v>4.4984087415505221E-3</v>
      </c>
      <c r="AE219" s="202">
        <f>Funktional!AV198</f>
        <v>6.0982281512690042E-2</v>
      </c>
      <c r="AF219" s="176"/>
      <c r="AG219" s="177"/>
      <c r="AH219" s="177">
        <f>Artengliederung!AN198</f>
        <v>0.50079354919603614</v>
      </c>
      <c r="AI219" s="178" t="str">
        <f t="shared" si="40"/>
        <v>Leimbach</v>
      </c>
    </row>
    <row r="220" spans="1:35" x14ac:dyDescent="0.25">
      <c r="A220" s="41" t="str">
        <f>Funktional!A199</f>
        <v>Lommis</v>
      </c>
      <c r="B220" s="41" t="str">
        <f>Funktional!B199</f>
        <v>KiGa</v>
      </c>
      <c r="C220" s="352">
        <f>Funktional!D199</f>
        <v>35</v>
      </c>
      <c r="D220" s="348">
        <f>Funktional!G199</f>
        <v>7677.0386681022519</v>
      </c>
      <c r="E220" s="186">
        <f>Funktional!F199</f>
        <v>134348.17669178941</v>
      </c>
      <c r="F220" s="48">
        <f>Funktional!U199</f>
        <v>4450.798080463529</v>
      </c>
      <c r="G220" s="48">
        <f>Funktional!T199</f>
        <v>77888.966408111752</v>
      </c>
      <c r="H220" s="48">
        <f>Artengliederung!R199</f>
        <v>252.69648966956046</v>
      </c>
      <c r="I220" s="186">
        <f>Artengliederung!Q199</f>
        <v>4422.1885692173082</v>
      </c>
      <c r="J220" s="48">
        <f>Funktional!Z199</f>
        <v>426.82845630213325</v>
      </c>
      <c r="K220" s="48">
        <f>Funktional!Y199</f>
        <v>7469.4979852873321</v>
      </c>
      <c r="L220" s="48">
        <f>'Kennzahlen Revision'!O199</f>
        <v>151.80458113768859</v>
      </c>
      <c r="M220" s="48">
        <f>'Kennzahlen Revision'!N199</f>
        <v>2656.58016990955</v>
      </c>
      <c r="N220" s="80">
        <f>Funktional!AG199</f>
        <v>1231.5873368853624</v>
      </c>
      <c r="O220" s="43">
        <f>Funktional!AF199</f>
        <v>21552.778395493842</v>
      </c>
      <c r="P220" s="43">
        <f>Funktional!AL199</f>
        <v>687.40290392438692</v>
      </c>
      <c r="Q220" s="43">
        <f>Funktional!AK199</f>
        <v>12029.550818676771</v>
      </c>
      <c r="R220" s="80">
        <f>Funktional!AU199</f>
        <v>693.55395018810964</v>
      </c>
      <c r="S220" s="43">
        <f>Funktional!AT199</f>
        <v>12137.194128291918</v>
      </c>
      <c r="T220" s="80">
        <f>Funktional!AQ199</f>
        <v>18.034868721863162</v>
      </c>
      <c r="U220" s="43">
        <f>Funktional!AP199</f>
        <v>315.61020263260536</v>
      </c>
      <c r="V220" s="80">
        <f t="shared" si="39"/>
        <v>168.8330716168673</v>
      </c>
      <c r="W220" s="183">
        <f t="shared" si="39"/>
        <v>2954.5787532951954</v>
      </c>
      <c r="X220" s="172">
        <f>Funktional!S199</f>
        <v>0.5797545476690632</v>
      </c>
      <c r="Y220" s="42">
        <f>Funktional!X199</f>
        <v>5.5598059975337386E-2</v>
      </c>
      <c r="Z220" s="42">
        <f>'Kennzahlen Revision'!L199</f>
        <v>1.9773846101417952E-2</v>
      </c>
      <c r="AA220" s="42">
        <f>Funktional!AE199</f>
        <v>0.16042479270067403</v>
      </c>
      <c r="AB220" s="42">
        <f>Funktional!AJ199</f>
        <v>8.9540112228497018E-2</v>
      </c>
      <c r="AC220" s="42">
        <f>Funktional!AS199</f>
        <v>9.0341338655723441E-2</v>
      </c>
      <c r="AD220" s="42">
        <f>Funktional!AO199</f>
        <v>2.3491960248679254E-3</v>
      </c>
      <c r="AE220" s="202">
        <f>Funktional!AV199</f>
        <v>2.1991952745836998E-2</v>
      </c>
      <c r="AF220" s="176"/>
      <c r="AG220" s="177"/>
      <c r="AH220" s="177">
        <f>Artengliederung!AN199</f>
        <v>0.68715727962925022</v>
      </c>
      <c r="AI220" s="178" t="str">
        <f t="shared" si="40"/>
        <v>Lommis</v>
      </c>
    </row>
    <row r="221" spans="1:35" x14ac:dyDescent="0.25">
      <c r="A221" s="41" t="str">
        <f>Funktional!A200</f>
        <v>Mammern</v>
      </c>
      <c r="B221" s="41" t="str">
        <f>Funktional!B200</f>
        <v>KiGa</v>
      </c>
      <c r="C221" s="352">
        <f>Funktional!D200</f>
        <v>20</v>
      </c>
      <c r="D221" s="348">
        <f>Funktional!G200</f>
        <v>5085.1494426751588</v>
      </c>
      <c r="E221" s="186">
        <f>Funktional!F200</f>
        <v>203405.97770700636</v>
      </c>
      <c r="F221" s="48">
        <f>Funktional!U200</f>
        <v>3997.0303319822428</v>
      </c>
      <c r="G221" s="48">
        <f>Funktional!T200</f>
        <v>159881.21327928972</v>
      </c>
      <c r="H221" s="48">
        <f>Artengliederung!R200</f>
        <v>190.97982049797335</v>
      </c>
      <c r="I221" s="186">
        <f>Artengliederung!Q200</f>
        <v>7639.1928199189342</v>
      </c>
      <c r="J221" s="48">
        <f>Funktional!Z200</f>
        <v>298.08882636074117</v>
      </c>
      <c r="K221" s="48">
        <f>Funktional!Y200</f>
        <v>11923.553054429647</v>
      </c>
      <c r="L221" s="48">
        <f>'Kennzahlen Revision'!O200</f>
        <v>81.31876085697742</v>
      </c>
      <c r="M221" s="48">
        <f>'Kennzahlen Revision'!N200</f>
        <v>3252.7504342790967</v>
      </c>
      <c r="N221" s="80">
        <f>Funktional!AG200</f>
        <v>54.212507237984951</v>
      </c>
      <c r="O221" s="43">
        <f>Funktional!AF200</f>
        <v>2168.5002895193979</v>
      </c>
      <c r="P221" s="43">
        <f>Funktional!AL200</f>
        <v>435.88798434182593</v>
      </c>
      <c r="Q221" s="43">
        <f>Funktional!AK200</f>
        <v>17435.519373673036</v>
      </c>
      <c r="R221" s="80">
        <f>Funktional!AU200</f>
        <v>64.27751097761049</v>
      </c>
      <c r="S221" s="43">
        <f>Funktional!AT200</f>
        <v>2571.1004391044198</v>
      </c>
      <c r="T221" s="80">
        <f>Funktional!AQ200</f>
        <v>13.711246622273691</v>
      </c>
      <c r="U221" s="43">
        <f>Funktional!AP200</f>
        <v>548.44986489094765</v>
      </c>
      <c r="V221" s="80">
        <f t="shared" si="39"/>
        <v>221.94103515247963</v>
      </c>
      <c r="W221" s="183">
        <f t="shared" si="39"/>
        <v>8877.6414060991901</v>
      </c>
      <c r="X221" s="172">
        <f>Funktional!S200</f>
        <v>0.78602022950175365</v>
      </c>
      <c r="Y221" s="42">
        <f>Funktional!X200</f>
        <v>5.8619482027242986E-2</v>
      </c>
      <c r="Z221" s="42">
        <f>'Kennzahlen Revision'!L200</f>
        <v>1.5991420070085065E-2</v>
      </c>
      <c r="AA221" s="42">
        <f>Funktional!AE200</f>
        <v>1.0660946713390044E-2</v>
      </c>
      <c r="AB221" s="42">
        <f>Funktional!AJ200</f>
        <v>8.5717831748228251E-2</v>
      </c>
      <c r="AC221" s="42">
        <f>Funktional!AS200</f>
        <v>1.2640240311953516E-2</v>
      </c>
      <c r="AD221" s="42">
        <f>Funktional!AO200</f>
        <v>2.6963311062615648E-3</v>
      </c>
      <c r="AE221" s="202">
        <f>Funktional!AV200</f>
        <v>4.3644938591169982E-2</v>
      </c>
      <c r="AF221" s="176"/>
      <c r="AG221" s="177"/>
      <c r="AH221" s="177">
        <f>Artengliederung!AN200</f>
        <v>2.8715259972516081E-2</v>
      </c>
      <c r="AI221" s="178" t="str">
        <f t="shared" si="40"/>
        <v>Mammern</v>
      </c>
    </row>
    <row r="222" spans="1:35" x14ac:dyDescent="0.25">
      <c r="A222" s="41" t="str">
        <f>Funktional!A201</f>
        <v>Märstetten</v>
      </c>
      <c r="B222" s="41" t="str">
        <f>Funktional!B201</f>
        <v>KiGa</v>
      </c>
      <c r="C222" s="352">
        <f>Funktional!D201</f>
        <v>34</v>
      </c>
      <c r="D222" s="348">
        <f>Funktional!G201</f>
        <v>6620.9724276868756</v>
      </c>
      <c r="E222" s="186">
        <f>Funktional!F201</f>
        <v>112556.53127067689</v>
      </c>
      <c r="F222" s="48">
        <f>Funktional!U201</f>
        <v>4627.7555993271944</v>
      </c>
      <c r="G222" s="48">
        <f>Funktional!T201</f>
        <v>78671.845188562307</v>
      </c>
      <c r="H222" s="48">
        <f>Artengliederung!R201</f>
        <v>249.28170921635743</v>
      </c>
      <c r="I222" s="186">
        <f>Artengliederung!Q201</f>
        <v>4237.7890566780761</v>
      </c>
      <c r="J222" s="48">
        <f>Funktional!Z201</f>
        <v>317.74441107491452</v>
      </c>
      <c r="K222" s="48">
        <f>Funktional!Y201</f>
        <v>5401.6549882735471</v>
      </c>
      <c r="L222" s="48">
        <f>'Kennzahlen Revision'!O201</f>
        <v>152.321776746284</v>
      </c>
      <c r="M222" s="48">
        <f>'Kennzahlen Revision'!N201</f>
        <v>2589.4702046868279</v>
      </c>
      <c r="N222" s="80">
        <f>Funktional!AG201</f>
        <v>344.4882928612696</v>
      </c>
      <c r="O222" s="43">
        <f>Funktional!AF201</f>
        <v>5856.3009786415832</v>
      </c>
      <c r="P222" s="43">
        <f>Funktional!AL201</f>
        <v>699.22833195191777</v>
      </c>
      <c r="Q222" s="43">
        <f>Funktional!AK201</f>
        <v>11886.881643182602</v>
      </c>
      <c r="R222" s="80">
        <f>Funktional!AU201</f>
        <v>203.78671794137983</v>
      </c>
      <c r="S222" s="43">
        <f>Funktional!AT201</f>
        <v>3464.3742050034571</v>
      </c>
      <c r="T222" s="80">
        <f>Funktional!AQ201</f>
        <v>25.5420361814475</v>
      </c>
      <c r="U222" s="43">
        <f>Funktional!AP201</f>
        <v>434.21461508460749</v>
      </c>
      <c r="V222" s="80">
        <f t="shared" si="39"/>
        <v>402.42703834875186</v>
      </c>
      <c r="W222" s="183">
        <f t="shared" si="39"/>
        <v>6841.2596519287845</v>
      </c>
      <c r="X222" s="172">
        <f>Funktional!S201</f>
        <v>0.69895406601836008</v>
      </c>
      <c r="Y222" s="42">
        <f>Funktional!X201</f>
        <v>4.7990595723704399E-2</v>
      </c>
      <c r="Z222" s="42">
        <f>'Kennzahlen Revision'!L201</f>
        <v>2.3005952435222514E-2</v>
      </c>
      <c r="AA222" s="42">
        <f>Funktional!AE201</f>
        <v>5.2029863682972792E-2</v>
      </c>
      <c r="AB222" s="42">
        <f>Funktional!AJ201</f>
        <v>0.10560810207092229</v>
      </c>
      <c r="AC222" s="42">
        <f>Funktional!AS201</f>
        <v>3.0778970939254524E-2</v>
      </c>
      <c r="AD222" s="42">
        <f>Funktional!AO201</f>
        <v>3.857746948867894E-3</v>
      </c>
      <c r="AE222" s="202">
        <f>Funktional!AV201</f>
        <v>6.0780654615918001E-2</v>
      </c>
      <c r="AF222" s="176"/>
      <c r="AG222" s="177"/>
      <c r="AH222" s="177">
        <f>Artengliederung!AN201</f>
        <v>5.229195804302067E-2</v>
      </c>
      <c r="AI222" s="178" t="str">
        <f t="shared" si="40"/>
        <v>Märstetten</v>
      </c>
    </row>
    <row r="223" spans="1:35" x14ac:dyDescent="0.25">
      <c r="A223" s="41" t="str">
        <f>Funktional!A202</f>
        <v>Märwil</v>
      </c>
      <c r="B223" s="41" t="str">
        <f>Funktional!B202</f>
        <v>KiGa</v>
      </c>
      <c r="C223" s="352">
        <f>Funktional!D202</f>
        <v>53</v>
      </c>
      <c r="D223" s="348">
        <f>Funktional!G202</f>
        <v>6807.1743366303044</v>
      </c>
      <c r="E223" s="186">
        <f>Funktional!F202</f>
        <v>180390.11992070306</v>
      </c>
      <c r="F223" s="48">
        <f>Funktional!U202</f>
        <v>3914.7381477282802</v>
      </c>
      <c r="G223" s="48">
        <f>Funktional!T202</f>
        <v>103740.56091479943</v>
      </c>
      <c r="H223" s="48">
        <f>Artengliederung!R202</f>
        <v>239.60969550228421</v>
      </c>
      <c r="I223" s="186">
        <f>Artengliederung!Q202</f>
        <v>6349.6569308105318</v>
      </c>
      <c r="J223" s="48">
        <f>Funktional!Z202</f>
        <v>245.19497497994115</v>
      </c>
      <c r="K223" s="48">
        <f>Funktional!Y202</f>
        <v>6497.6668369684403</v>
      </c>
      <c r="L223" s="48">
        <f>'Kennzahlen Revision'!O202</f>
        <v>105.7960953779707</v>
      </c>
      <c r="M223" s="48">
        <f>'Kennzahlen Revision'!N202</f>
        <v>2803.5965275162234</v>
      </c>
      <c r="N223" s="80">
        <f>Funktional!AG202</f>
        <v>590.85815078718895</v>
      </c>
      <c r="O223" s="43">
        <f>Funktional!AF202</f>
        <v>15657.740995860506</v>
      </c>
      <c r="P223" s="43">
        <f>Funktional!AL202</f>
        <v>577.51966170067772</v>
      </c>
      <c r="Q223" s="43">
        <f>Funktional!AK202</f>
        <v>15304.271035067959</v>
      </c>
      <c r="R223" s="80">
        <f>Funktional!AU202</f>
        <v>266.41969573045418</v>
      </c>
      <c r="S223" s="43">
        <f>Funktional!AT202</f>
        <v>7060.1219368570355</v>
      </c>
      <c r="T223" s="80">
        <f>Funktional!AQ202</f>
        <v>22.698747493396596</v>
      </c>
      <c r="U223" s="43">
        <f>Funktional!AP202</f>
        <v>601.5168085750098</v>
      </c>
      <c r="V223" s="80">
        <f t="shared" si="39"/>
        <v>1189.7449582103657</v>
      </c>
      <c r="W223" s="183">
        <f t="shared" si="39"/>
        <v>31528.241392574688</v>
      </c>
      <c r="X223" s="172">
        <f>Funktional!S202</f>
        <v>0.57509003797105018</v>
      </c>
      <c r="Y223" s="42">
        <f>Funktional!X202</f>
        <v>3.6020081586645228E-2</v>
      </c>
      <c r="Z223" s="42">
        <f>'Kennzahlen Revision'!L202</f>
        <v>1.5541851897147387E-2</v>
      </c>
      <c r="AA223" s="42">
        <f>Funktional!AE202</f>
        <v>8.6799326940651886E-2</v>
      </c>
      <c r="AB223" s="42">
        <f>Funktional!AJ202</f>
        <v>8.4839851771236138E-2</v>
      </c>
      <c r="AC223" s="42">
        <f>Funktional!AS202</f>
        <v>3.9138074413169438E-2</v>
      </c>
      <c r="AD223" s="42">
        <f>Funktional!AO202</f>
        <v>3.334533004576016E-3</v>
      </c>
      <c r="AE223" s="202">
        <f>Funktional!AV202</f>
        <v>0.17477809431267111</v>
      </c>
      <c r="AF223" s="176"/>
      <c r="AG223" s="177"/>
      <c r="AH223" s="177">
        <f>Artengliederung!AN202</f>
        <v>0.25783007512306094</v>
      </c>
      <c r="AI223" s="178" t="str">
        <f t="shared" si="40"/>
        <v>Märwil</v>
      </c>
    </row>
    <row r="224" spans="1:35" x14ac:dyDescent="0.25">
      <c r="A224" s="41" t="str">
        <f>Funktional!A203&amp;" (inkl. Landt./Frilt./Schmid.)"</f>
        <v>Mattwil-Birwinken-Happerswil (inkl. Landt./Frilt./Schmid.)</v>
      </c>
      <c r="B224" s="41" t="str">
        <f>Funktional!B203</f>
        <v>KiGa</v>
      </c>
      <c r="C224" s="352">
        <f>Funktional!D203</f>
        <v>17</v>
      </c>
      <c r="D224" s="348">
        <f>Funktional!G203</f>
        <v>5149.5120134168328</v>
      </c>
      <c r="E224" s="186">
        <f>Funktional!F203</f>
        <v>175083.40845617233</v>
      </c>
      <c r="F224" s="48">
        <f>Funktional!U203</f>
        <v>3997.2422252082306</v>
      </c>
      <c r="G224" s="48">
        <f>Funktional!T203</f>
        <v>135906.23565707984</v>
      </c>
      <c r="H224" s="48">
        <f>Artengliederung!R203</f>
        <v>168.17877109175765</v>
      </c>
      <c r="I224" s="186">
        <f>Artengliederung!Q203</f>
        <v>5718.0782171197607</v>
      </c>
      <c r="J224" s="48">
        <f>Funktional!Z203</f>
        <v>220.47487040290295</v>
      </c>
      <c r="K224" s="48">
        <f>Funktional!Y203</f>
        <v>7496.1455936987004</v>
      </c>
      <c r="L224" s="48">
        <f>'Kennzahlen Revision'!O203</f>
        <v>102.51567160654511</v>
      </c>
      <c r="M224" s="48">
        <f>'Kennzahlen Revision'!N203</f>
        <v>3485.5328346225338</v>
      </c>
      <c r="N224" s="80">
        <f>Funktional!AG203</f>
        <v>114.3631834166773</v>
      </c>
      <c r="O224" s="43">
        <f>Funktional!AF203</f>
        <v>3888.3482361670281</v>
      </c>
      <c r="P224" s="43">
        <f>Funktional!AL203</f>
        <v>545.25346151037695</v>
      </c>
      <c r="Q224" s="43">
        <f>Funktional!AK203</f>
        <v>18538.617691352818</v>
      </c>
      <c r="R224" s="80">
        <f>Funktional!AU203</f>
        <v>71.28809763584745</v>
      </c>
      <c r="S224" s="43">
        <f>Funktional!AT203</f>
        <v>2423.7953196188132</v>
      </c>
      <c r="T224" s="80">
        <f>Funktional!AQ203</f>
        <v>32.988959742252831</v>
      </c>
      <c r="U224" s="43">
        <f>Funktional!AP203</f>
        <v>1121.6246312365963</v>
      </c>
      <c r="V224" s="80">
        <f t="shared" si="39"/>
        <v>167.90121550054468</v>
      </c>
      <c r="W224" s="183">
        <f t="shared" si="39"/>
        <v>5708.6413270185276</v>
      </c>
      <c r="X224" s="172">
        <f>Funktional!S203</f>
        <v>0.77623709096970495</v>
      </c>
      <c r="Y224" s="42">
        <f>Funktional!X203</f>
        <v>4.2814711341281488E-2</v>
      </c>
      <c r="Z224" s="42">
        <f>'Kennzahlen Revision'!L203</f>
        <v>1.990784201288295E-2</v>
      </c>
      <c r="AA224" s="42">
        <f>Funktional!AE203</f>
        <v>2.2208547745632773E-2</v>
      </c>
      <c r="AB224" s="42">
        <f>Funktional!AJ203</f>
        <v>0.10588449159643525</v>
      </c>
      <c r="AC224" s="42">
        <f>Funktional!AS203</f>
        <v>1.3843660807103539E-2</v>
      </c>
      <c r="AD224" s="42">
        <f>Funktional!AO203</f>
        <v>6.4062302711988071E-3</v>
      </c>
      <c r="AE224" s="202">
        <f>Funktional!AV203</f>
        <v>3.2605267268643212E-2</v>
      </c>
      <c r="AF224" s="176"/>
      <c r="AG224" s="177"/>
      <c r="AH224" s="177">
        <f>Artengliederung!AN203</f>
        <v>0.39133469878471822</v>
      </c>
      <c r="AI224" s="178" t="str">
        <f t="shared" si="40"/>
        <v>Mattwil-Birwinken-Happerswil (inkl. Landt./Frilt./Schmid.)</v>
      </c>
    </row>
    <row r="225" spans="1:35" x14ac:dyDescent="0.25">
      <c r="A225" s="41" t="str">
        <f>Funktional!A204</f>
        <v>Matzingen</v>
      </c>
      <c r="B225" s="41" t="str">
        <f>Funktional!B204</f>
        <v>KiGa</v>
      </c>
      <c r="C225" s="352">
        <f>Funktional!D204</f>
        <v>67</v>
      </c>
      <c r="D225" s="348">
        <f>Funktional!G204</f>
        <v>8754.4261300618873</v>
      </c>
      <c r="E225" s="186">
        <f>Funktional!F204</f>
        <v>146636.63767853662</v>
      </c>
      <c r="F225" s="48">
        <f>Funktional!U204</f>
        <v>5937.5583340953053</v>
      </c>
      <c r="G225" s="48">
        <f>Funktional!T204</f>
        <v>99454.102096096365</v>
      </c>
      <c r="H225" s="48">
        <f>Artengliederung!R204</f>
        <v>316.96044250735872</v>
      </c>
      <c r="I225" s="186">
        <f>Artengliederung!Q204</f>
        <v>5309.0874119982582</v>
      </c>
      <c r="J225" s="48">
        <f>Funktional!Z204</f>
        <v>433.68882513740579</v>
      </c>
      <c r="K225" s="48">
        <f>Funktional!Y204</f>
        <v>7264.2878210515473</v>
      </c>
      <c r="L225" s="48">
        <f>'Kennzahlen Revision'!O204</f>
        <v>192.95166039229383</v>
      </c>
      <c r="M225" s="48">
        <f>'Kennzahlen Revision'!N204</f>
        <v>3231.9403115709215</v>
      </c>
      <c r="N225" s="80">
        <f>Funktional!AG204</f>
        <v>133.20715956650716</v>
      </c>
      <c r="O225" s="43">
        <f>Funktional!AF204</f>
        <v>2231.2199227389951</v>
      </c>
      <c r="P225" s="43">
        <f>Funktional!AL204</f>
        <v>985.4797718026017</v>
      </c>
      <c r="Q225" s="43">
        <f>Funktional!AK204</f>
        <v>16506.786177693579</v>
      </c>
      <c r="R225" s="80">
        <f>Funktional!AU204</f>
        <v>800.81814167644825</v>
      </c>
      <c r="S225" s="43">
        <f>Funktional!AT204</f>
        <v>13413.703873080509</v>
      </c>
      <c r="T225" s="80">
        <f>Funktional!AQ204</f>
        <v>42.879019274271208</v>
      </c>
      <c r="U225" s="43">
        <f>Funktional!AP204</f>
        <v>718.22357284404268</v>
      </c>
      <c r="V225" s="80">
        <f t="shared" si="39"/>
        <v>420.79487850934817</v>
      </c>
      <c r="W225" s="183">
        <f t="shared" si="39"/>
        <v>7048.314215031578</v>
      </c>
      <c r="X225" s="172">
        <f>Funktional!S204</f>
        <v>0.67823501459522062</v>
      </c>
      <c r="Y225" s="42">
        <f>Funktional!X204</f>
        <v>4.9539377989398822E-2</v>
      </c>
      <c r="Z225" s="42">
        <f>'Kennzahlen Revision'!L204</f>
        <v>2.2040469303832001E-2</v>
      </c>
      <c r="AA225" s="42">
        <f>Funktional!AE204</f>
        <v>1.5215978476200301E-2</v>
      </c>
      <c r="AB225" s="42">
        <f>Funktional!AJ204</f>
        <v>0.11256931718443035</v>
      </c>
      <c r="AC225" s="42">
        <f>Funktional!AS204</f>
        <v>9.1475800901045137E-2</v>
      </c>
      <c r="AD225" s="42">
        <f>Funktional!AO204</f>
        <v>4.8979817337230858E-3</v>
      </c>
      <c r="AE225" s="202">
        <f>Funktional!AV204</f>
        <v>4.8066529119981674E-2</v>
      </c>
      <c r="AF225" s="176"/>
      <c r="AG225" s="177"/>
      <c r="AH225" s="177">
        <f>Artengliederung!AN204</f>
        <v>0.323098635164075</v>
      </c>
      <c r="AI225" s="178" t="str">
        <f t="shared" si="40"/>
        <v>Matzingen</v>
      </c>
    </row>
    <row r="226" spans="1:35" x14ac:dyDescent="0.25">
      <c r="A226" s="41" t="str">
        <f>Funktional!A205</f>
        <v>Mauren</v>
      </c>
      <c r="B226" s="41" t="str">
        <f>Funktional!B205</f>
        <v>KiGa</v>
      </c>
      <c r="C226" s="352">
        <f>Funktional!D205</f>
        <v>21</v>
      </c>
      <c r="D226" s="348">
        <f>Funktional!G205</f>
        <v>5739.5726957345569</v>
      </c>
      <c r="E226" s="186">
        <f>Funktional!F205</f>
        <v>120531.0266104257</v>
      </c>
      <c r="F226" s="48">
        <f>Funktional!U205</f>
        <v>3146.5579205210006</v>
      </c>
      <c r="G226" s="48">
        <f>Funktional!T205</f>
        <v>66077.71633094101</v>
      </c>
      <c r="H226" s="48">
        <f>Artengliederung!R205</f>
        <v>149.14728542209363</v>
      </c>
      <c r="I226" s="186">
        <f>Artengliederung!Q205</f>
        <v>3132.0929938639665</v>
      </c>
      <c r="J226" s="48">
        <f>Funktional!Z205</f>
        <v>168.02248465346642</v>
      </c>
      <c r="K226" s="48">
        <f>Funktional!Y205</f>
        <v>3528.4721777227951</v>
      </c>
      <c r="L226" s="48">
        <f>'Kennzahlen Revision'!O205</f>
        <v>84.915752340553325</v>
      </c>
      <c r="M226" s="48">
        <f>'Kennzahlen Revision'!N205</f>
        <v>1783.23079915162</v>
      </c>
      <c r="N226" s="80">
        <f>Funktional!AG205</f>
        <v>700.59269714393861</v>
      </c>
      <c r="O226" s="43">
        <f>Funktional!AF205</f>
        <v>14712.44664002271</v>
      </c>
      <c r="P226" s="43">
        <f>Funktional!AL205</f>
        <v>301.25530007579465</v>
      </c>
      <c r="Q226" s="43">
        <f>Funktional!AK205</f>
        <v>6326.3613015916872</v>
      </c>
      <c r="R226" s="80">
        <f>Funktional!AU205</f>
        <v>377.40334373579253</v>
      </c>
      <c r="S226" s="43">
        <f>Funktional!AT205</f>
        <v>7925.4702184516436</v>
      </c>
      <c r="T226" s="80">
        <f>Funktional!AQ205</f>
        <v>20.036658021719671</v>
      </c>
      <c r="U226" s="43">
        <f>Funktional!AP205</f>
        <v>420.76981845611311</v>
      </c>
      <c r="V226" s="80">
        <f t="shared" si="39"/>
        <v>1025.7042915828445</v>
      </c>
      <c r="W226" s="183">
        <f t="shared" si="39"/>
        <v>21539.790123239745</v>
      </c>
      <c r="X226" s="172">
        <f>Funktional!S205</f>
        <v>0.54822163379155531</v>
      </c>
      <c r="Y226" s="42">
        <f>Funktional!X205</f>
        <v>2.9274389150665287E-2</v>
      </c>
      <c r="Z226" s="42">
        <f>'Kennzahlen Revision'!L205</f>
        <v>1.479478644876467E-2</v>
      </c>
      <c r="AA226" s="42">
        <f>Funktional!AE205</f>
        <v>0.12206356366295242</v>
      </c>
      <c r="AB226" s="42">
        <f>Funktional!AJ205</f>
        <v>5.2487409088777054E-2</v>
      </c>
      <c r="AC226" s="42">
        <f>Funktional!AS205</f>
        <v>6.5754606438954075E-2</v>
      </c>
      <c r="AD226" s="42">
        <f>Funktional!AO205</f>
        <v>3.4909668513494379E-3</v>
      </c>
      <c r="AE226" s="202">
        <f>Funktional!AV205</f>
        <v>0.17870743101574649</v>
      </c>
      <c r="AF226" s="176"/>
      <c r="AG226" s="177"/>
      <c r="AH226" s="177">
        <f>Artengliederung!AN205</f>
        <v>0.38054053793405168</v>
      </c>
      <c r="AI226" s="178" t="str">
        <f t="shared" si="40"/>
        <v>Mauren</v>
      </c>
    </row>
    <row r="227" spans="1:35" x14ac:dyDescent="0.25">
      <c r="A227" s="41" t="str">
        <f>Funktional!A206</f>
        <v>Mettlen</v>
      </c>
      <c r="B227" s="41" t="str">
        <f>Funktional!B206</f>
        <v>KiGa</v>
      </c>
      <c r="C227" s="352">
        <f>Funktional!D206</f>
        <v>13</v>
      </c>
      <c r="D227" s="348">
        <f>Funktional!G206</f>
        <v>9863.5557771859185</v>
      </c>
      <c r="E227" s="186">
        <f>Funktional!F206</f>
        <v>128226.22510341695</v>
      </c>
      <c r="F227" s="48">
        <f>Funktional!U206</f>
        <v>6021.5806032619885</v>
      </c>
      <c r="G227" s="48">
        <f>Funktional!T206</f>
        <v>78280.547842405853</v>
      </c>
      <c r="H227" s="48">
        <f>Artengliederung!R206</f>
        <v>266.513041903724</v>
      </c>
      <c r="I227" s="186">
        <f>Artengliederung!Q206</f>
        <v>3464.6695447484121</v>
      </c>
      <c r="J227" s="48">
        <f>Funktional!Z206</f>
        <v>394.96907877682639</v>
      </c>
      <c r="K227" s="48">
        <f>Funktional!Y206</f>
        <v>5134.5980240987428</v>
      </c>
      <c r="L227" s="48">
        <f>'Kennzahlen Revision'!O206</f>
        <v>203.39960259791968</v>
      </c>
      <c r="M227" s="48">
        <f>'Kennzahlen Revision'!N206</f>
        <v>2644.1948337729559</v>
      </c>
      <c r="N227" s="80">
        <f>Funktional!AG206</f>
        <v>1077.5496311324639</v>
      </c>
      <c r="O227" s="43">
        <f>Funktional!AF206</f>
        <v>14008.14520472203</v>
      </c>
      <c r="P227" s="43">
        <f>Funktional!AL206</f>
        <v>1034.0949851930161</v>
      </c>
      <c r="Q227" s="43">
        <f>Funktional!AK206</f>
        <v>13443.234807509209</v>
      </c>
      <c r="R227" s="80">
        <f>Funktional!AU206</f>
        <v>598.32495996484181</v>
      </c>
      <c r="S227" s="43">
        <f>Funktional!AT206</f>
        <v>7778.2244795429442</v>
      </c>
      <c r="T227" s="80">
        <f>Funktional!AQ206</f>
        <v>14.542121120318557</v>
      </c>
      <c r="U227" s="43">
        <f>Funktional!AP206</f>
        <v>189.04757456414123</v>
      </c>
      <c r="V227" s="80">
        <f t="shared" si="39"/>
        <v>722.4943977364635</v>
      </c>
      <c r="W227" s="183">
        <f t="shared" si="39"/>
        <v>9392.4271705740284</v>
      </c>
      <c r="X227" s="172">
        <f>Funktional!S206</f>
        <v>0.61048781385610529</v>
      </c>
      <c r="Y227" s="42">
        <f>Funktional!X206</f>
        <v>4.0043275234512982E-2</v>
      </c>
      <c r="Z227" s="42">
        <f>'Kennzahlen Revision'!L206</f>
        <v>2.0621326344438209E-2</v>
      </c>
      <c r="AA227" s="42">
        <f>Funktional!AE206</f>
        <v>0.10924555560630587</v>
      </c>
      <c r="AB227" s="42">
        <f>Funktional!AJ206</f>
        <v>0.10483997947118055</v>
      </c>
      <c r="AC227" s="42">
        <f>Funktional!AS206</f>
        <v>6.066016895740052E-2</v>
      </c>
      <c r="AD227" s="42">
        <f>Funktional!AO206</f>
        <v>1.4743284722892737E-3</v>
      </c>
      <c r="AE227" s="202">
        <f>Funktional!AV206</f>
        <v>7.3248878402205467E-2</v>
      </c>
      <c r="AF227" s="176"/>
      <c r="AG227" s="177"/>
      <c r="AH227" s="177">
        <f>Artengliederung!AN206</f>
        <v>0.5227037269803203</v>
      </c>
      <c r="AI227" s="178" t="str">
        <f t="shared" si="40"/>
        <v>Mettlen</v>
      </c>
    </row>
    <row r="228" spans="1:35" x14ac:dyDescent="0.25">
      <c r="A228" s="41" t="str">
        <f>Funktional!A207</f>
        <v>Müllheim</v>
      </c>
      <c r="B228" s="41" t="str">
        <f>Funktional!B207</f>
        <v>KiGa</v>
      </c>
      <c r="C228" s="352">
        <f>Funktional!D207</f>
        <v>51</v>
      </c>
      <c r="D228" s="348">
        <f>Funktional!G207</f>
        <v>6683.4065066632056</v>
      </c>
      <c r="E228" s="186">
        <f>Funktional!F207</f>
        <v>113617.91061327449</v>
      </c>
      <c r="F228" s="48">
        <f>Funktional!U207</f>
        <v>4526.8978490211139</v>
      </c>
      <c r="G228" s="48">
        <f>Funktional!T207</f>
        <v>76957.263433358938</v>
      </c>
      <c r="H228" s="48">
        <f>Artengliederung!R207</f>
        <v>206.85611600454303</v>
      </c>
      <c r="I228" s="186">
        <f>Artengliederung!Q207</f>
        <v>3516.5539720772317</v>
      </c>
      <c r="J228" s="48">
        <f>Funktional!Z207</f>
        <v>311.0088640683918</v>
      </c>
      <c r="K228" s="48">
        <f>Funktional!Y207</f>
        <v>5287.1506891626605</v>
      </c>
      <c r="L228" s="48">
        <f>'Kennzahlen Revision'!O207</f>
        <v>172.48285534876905</v>
      </c>
      <c r="M228" s="48">
        <f>'Kennzahlen Revision'!N207</f>
        <v>2932.2085409290739</v>
      </c>
      <c r="N228" s="80">
        <f>Funktional!AG207</f>
        <v>321.96431848805327</v>
      </c>
      <c r="O228" s="43">
        <f>Funktional!AF207</f>
        <v>5473.3934142969056</v>
      </c>
      <c r="P228" s="43">
        <f>Funktional!AL207</f>
        <v>877.12890568543821</v>
      </c>
      <c r="Q228" s="43">
        <f>Funktional!AK207</f>
        <v>14911.19139665245</v>
      </c>
      <c r="R228" s="80">
        <f>Funktional!AU207</f>
        <v>384.01483604449413</v>
      </c>
      <c r="S228" s="43">
        <f>Funktional!AT207</f>
        <v>6528.2522127564007</v>
      </c>
      <c r="T228" s="80">
        <f>Funktional!AQ207</f>
        <v>14.490490884862282</v>
      </c>
      <c r="U228" s="43">
        <f>Funktional!AP207</f>
        <v>246.3383450426588</v>
      </c>
      <c r="V228" s="80">
        <f t="shared" si="39"/>
        <v>247.90124247085194</v>
      </c>
      <c r="W228" s="183">
        <f t="shared" si="39"/>
        <v>4214.3211220044814</v>
      </c>
      <c r="X228" s="172">
        <f>Funktional!S207</f>
        <v>0.67733390816612737</v>
      </c>
      <c r="Y228" s="42">
        <f>Funktional!X207</f>
        <v>4.6534482641198464E-2</v>
      </c>
      <c r="Z228" s="42">
        <f>'Kennzahlen Revision'!L207</f>
        <v>2.5807625972893843E-2</v>
      </c>
      <c r="AA228" s="42">
        <f>Funktional!AE207</f>
        <v>4.8173684806851434E-2</v>
      </c>
      <c r="AB228" s="42">
        <f>Funktional!AJ207</f>
        <v>0.13123979587519635</v>
      </c>
      <c r="AC228" s="42">
        <f>Funktional!AS207</f>
        <v>5.7457949873562238E-2</v>
      </c>
      <c r="AD228" s="42">
        <f>Funktional!AO207</f>
        <v>2.168129511562044E-3</v>
      </c>
      <c r="AE228" s="202">
        <f>Funktional!AV207</f>
        <v>3.7092049125502076E-2</v>
      </c>
      <c r="AF228" s="176"/>
      <c r="AG228" s="177"/>
      <c r="AH228" s="177">
        <f>Artengliederung!AN207</f>
        <v>0.59773489325177542</v>
      </c>
      <c r="AI228" s="178" t="str">
        <f t="shared" si="40"/>
        <v>Müllheim</v>
      </c>
    </row>
    <row r="229" spans="1:35" x14ac:dyDescent="0.25">
      <c r="A229" s="41" t="str">
        <f>Funktional!A208</f>
        <v>Neukirch-Egnach</v>
      </c>
      <c r="B229" s="41" t="str">
        <f>Funktional!B208</f>
        <v>KiGa</v>
      </c>
      <c r="C229" s="352">
        <f>Funktional!D208</f>
        <v>47</v>
      </c>
      <c r="D229" s="348">
        <f>Funktional!G208</f>
        <v>6809.3753860690676</v>
      </c>
      <c r="E229" s="186">
        <f>Funktional!F208</f>
        <v>160020.3215726231</v>
      </c>
      <c r="F229" s="48">
        <f>Funktional!U208</f>
        <v>4199.3570519816067</v>
      </c>
      <c r="G229" s="48">
        <f>Funktional!T208</f>
        <v>98684.890721567746</v>
      </c>
      <c r="H229" s="48">
        <f>Artengliederung!R208</f>
        <v>200.56184248783683</v>
      </c>
      <c r="I229" s="186">
        <f>Artengliederung!Q208</f>
        <v>4713.2032984641655</v>
      </c>
      <c r="J229" s="48">
        <f>Funktional!Z208</f>
        <v>318.35511609223448</v>
      </c>
      <c r="K229" s="48">
        <f>Funktional!Y208</f>
        <v>7481.3452281675109</v>
      </c>
      <c r="L229" s="48">
        <f>'Kennzahlen Revision'!O208</f>
        <v>126.0810481254005</v>
      </c>
      <c r="M229" s="48">
        <f>'Kennzahlen Revision'!N208</f>
        <v>2962.9046309469118</v>
      </c>
      <c r="N229" s="80">
        <f>Funktional!AG208</f>
        <v>713.28932510760683</v>
      </c>
      <c r="O229" s="43">
        <f>Funktional!AF208</f>
        <v>16762.299140028761</v>
      </c>
      <c r="P229" s="43">
        <f>Funktional!AL208</f>
        <v>663.41687475833874</v>
      </c>
      <c r="Q229" s="43">
        <f>Funktional!AK208</f>
        <v>15590.29655682096</v>
      </c>
      <c r="R229" s="80">
        <f>Funktional!AU208</f>
        <v>567.74295970867843</v>
      </c>
      <c r="S229" s="43">
        <f>Funktional!AT208</f>
        <v>13341.959553153943</v>
      </c>
      <c r="T229" s="80">
        <f>Funktional!AQ208</f>
        <v>63.283294646986398</v>
      </c>
      <c r="U229" s="43">
        <f>Funktional!AP208</f>
        <v>1487.1574242041804</v>
      </c>
      <c r="V229" s="80">
        <f t="shared" si="39"/>
        <v>283.93076377361626</v>
      </c>
      <c r="W229" s="183">
        <f t="shared" si="39"/>
        <v>6672.3729486799966</v>
      </c>
      <c r="X229" s="172">
        <f>Funktional!S208</f>
        <v>0.61670223976384719</v>
      </c>
      <c r="Y229" s="42">
        <f>Funktional!X208</f>
        <v>4.6752469652875939E-2</v>
      </c>
      <c r="Z229" s="42">
        <f>'Kennzahlen Revision'!L208</f>
        <v>1.8515802254542007E-2</v>
      </c>
      <c r="AA229" s="42">
        <f>Funktional!AE208</f>
        <v>0.1047510652103109</v>
      </c>
      <c r="AB229" s="42">
        <f>Funktional!AJ208</f>
        <v>9.7426979296160898E-2</v>
      </c>
      <c r="AC229" s="42">
        <f>Funktional!AS208</f>
        <v>8.3376657552202652E-2</v>
      </c>
      <c r="AD229" s="42">
        <f>Funktional!AO208</f>
        <v>9.2935535286326355E-3</v>
      </c>
      <c r="AE229" s="202">
        <f>Funktional!AV208</f>
        <v>4.1697034995969759E-2</v>
      </c>
      <c r="AF229" s="176"/>
      <c r="AG229" s="177"/>
      <c r="AH229" s="177">
        <f>Artengliederung!AN208</f>
        <v>5.0676750848399565E-2</v>
      </c>
      <c r="AI229" s="178" t="str">
        <f t="shared" si="40"/>
        <v>Neukirch-Egnach</v>
      </c>
    </row>
    <row r="230" spans="1:35" x14ac:dyDescent="0.25">
      <c r="A230" s="41" t="str">
        <f>Funktional!A209&amp;" (inkl. Ringenz.)"</f>
        <v>Neuwilen (inkl. Ringenz.)</v>
      </c>
      <c r="B230" s="41" t="str">
        <f>Funktional!B209</f>
        <v>KiGa</v>
      </c>
      <c r="C230" s="352">
        <f>Funktional!D209</f>
        <v>31</v>
      </c>
      <c r="D230" s="348">
        <f>Funktional!G209</f>
        <v>9645.7525509951047</v>
      </c>
      <c r="E230" s="186">
        <f>Funktional!F209</f>
        <v>199345.55272056549</v>
      </c>
      <c r="F230" s="48">
        <f>Funktional!U209</f>
        <v>6312.4149052357152</v>
      </c>
      <c r="G230" s="48">
        <f>Funktional!T209</f>
        <v>130456.57470820477</v>
      </c>
      <c r="H230" s="48">
        <f>Artengliederung!R209</f>
        <v>263.54240332443436</v>
      </c>
      <c r="I230" s="186">
        <f>Artengliederung!Q209</f>
        <v>5446.5430020383101</v>
      </c>
      <c r="J230" s="48">
        <f>Funktional!Z209</f>
        <v>565.02142750545795</v>
      </c>
      <c r="K230" s="48">
        <f>Funktional!Y209</f>
        <v>11677.109501779465</v>
      </c>
      <c r="L230" s="48">
        <f>'Kennzahlen Revision'!O209</f>
        <v>174.65669850848911</v>
      </c>
      <c r="M230" s="48">
        <f>'Kennzahlen Revision'!N209</f>
        <v>3609.5717691754417</v>
      </c>
      <c r="N230" s="80">
        <f>Funktional!AG209</f>
        <v>362.21858640677215</v>
      </c>
      <c r="O230" s="43">
        <f>Funktional!AF209</f>
        <v>7485.8507857399572</v>
      </c>
      <c r="P230" s="43">
        <f>Funktional!AL209</f>
        <v>1031.9650328401351</v>
      </c>
      <c r="Q230" s="43">
        <f>Funktional!AK209</f>
        <v>21327.277345362792</v>
      </c>
      <c r="R230" s="80">
        <f>Funktional!AU209</f>
        <v>342.27214456044157</v>
      </c>
      <c r="S230" s="43">
        <f>Funktional!AT209</f>
        <v>7073.6243209157919</v>
      </c>
      <c r="T230" s="80">
        <f>Funktional!AQ209</f>
        <v>47.696372481577519</v>
      </c>
      <c r="U230" s="43">
        <f>Funktional!AP209</f>
        <v>985.72503128593542</v>
      </c>
      <c r="V230" s="80">
        <f t="shared" ref="V230:W230" si="41">D230-F230-J230-N230-P230-R230-T230</f>
        <v>984.16408196500515</v>
      </c>
      <c r="W230" s="183">
        <f t="shared" si="41"/>
        <v>20339.391027276775</v>
      </c>
      <c r="X230" s="172">
        <f>Funktional!S209</f>
        <v>0.65442430456963085</v>
      </c>
      <c r="Y230" s="42">
        <f>Funktional!X209</f>
        <v>5.8577226039990785E-2</v>
      </c>
      <c r="Z230" s="42">
        <f>'Kennzahlen Revision'!L209</f>
        <v>1.8107109588921668E-2</v>
      </c>
      <c r="AA230" s="42">
        <f>Funktional!AE209</f>
        <v>3.7552133386358107E-2</v>
      </c>
      <c r="AB230" s="42">
        <f>Funktional!AJ209</f>
        <v>0.10698647175369146</v>
      </c>
      <c r="AC230" s="42">
        <f>Funktional!AS209</f>
        <v>3.5484234407934405E-2</v>
      </c>
      <c r="AD230" s="42">
        <f>Funktional!AO209</f>
        <v>4.9448057297153984E-3</v>
      </c>
      <c r="AE230" s="202">
        <f>Funktional!AV209</f>
        <v>0.102030824112679</v>
      </c>
      <c r="AF230" s="176"/>
      <c r="AG230" s="177"/>
      <c r="AH230" s="177">
        <f>Artengliederung!AN209</f>
        <v>0.49729052812626512</v>
      </c>
      <c r="AI230" s="178" t="str">
        <f t="shared" si="40"/>
        <v>Neuwilen (inkl. Ringenz.)</v>
      </c>
    </row>
    <row r="231" spans="1:35" x14ac:dyDescent="0.25">
      <c r="A231" s="41" t="str">
        <f>Funktional!A210&amp;" (inkl. Engelsw.)"</f>
        <v>Nussbaumen (inkl. Engelsw.)</v>
      </c>
      <c r="B231" s="41" t="str">
        <f>Funktional!B210</f>
        <v>KiGa</v>
      </c>
      <c r="C231" s="352">
        <f>Funktional!D210</f>
        <v>13</v>
      </c>
      <c r="D231" s="348">
        <f>Funktional!G210</f>
        <v>10678.573548466076</v>
      </c>
      <c r="E231" s="186">
        <f>Funktional!F210</f>
        <v>277642.912260118</v>
      </c>
      <c r="F231" s="48">
        <f>Funktional!U210</f>
        <v>6313.485432184948</v>
      </c>
      <c r="G231" s="48">
        <f>Funktional!T210</f>
        <v>164150.62123680866</v>
      </c>
      <c r="H231" s="48">
        <f>Artengliederung!R210</f>
        <v>232.07534689393444</v>
      </c>
      <c r="I231" s="186">
        <f>Artengliederung!Q210</f>
        <v>6033.9590192422957</v>
      </c>
      <c r="J231" s="48">
        <f>Funktional!Z210</f>
        <v>353.10729238396254</v>
      </c>
      <c r="K231" s="48">
        <f>Funktional!Y210</f>
        <v>9180.7896019830259</v>
      </c>
      <c r="L231" s="48">
        <f>'Kennzahlen Revision'!O210</f>
        <v>117.60608682522108</v>
      </c>
      <c r="M231" s="48">
        <f>'Kennzahlen Revision'!N210</f>
        <v>3057.7582574557482</v>
      </c>
      <c r="N231" s="80">
        <f>Funktional!AG210</f>
        <v>1281.7521960438169</v>
      </c>
      <c r="O231" s="43">
        <f>Funktional!AF210</f>
        <v>33325.557097139237</v>
      </c>
      <c r="P231" s="43">
        <f>Funktional!AL210</f>
        <v>585.38928048130174</v>
      </c>
      <c r="Q231" s="43">
        <f>Funktional!AK210</f>
        <v>15220.121292513846</v>
      </c>
      <c r="R231" s="80">
        <f>Funktional!AU210</f>
        <v>1219.2076844113601</v>
      </c>
      <c r="S231" s="43">
        <f>Funktional!AT210</f>
        <v>31699.39979469536</v>
      </c>
      <c r="T231" s="80">
        <f>Funktional!AQ210</f>
        <v>26.133800039602235</v>
      </c>
      <c r="U231" s="43">
        <f>Funktional!AP210</f>
        <v>679.47880102965814</v>
      </c>
      <c r="V231" s="80">
        <f t="shared" ref="V231:W234" si="42">D231-F231-J231-N231-P231-R231-T231</f>
        <v>899.49786292108524</v>
      </c>
      <c r="W231" s="183">
        <f t="shared" si="42"/>
        <v>23386.944435948226</v>
      </c>
      <c r="X231" s="172">
        <f>Funktional!S210</f>
        <v>0.59122928765067584</v>
      </c>
      <c r="Y231" s="42">
        <f>Funktional!X210</f>
        <v>3.3066897070225698E-2</v>
      </c>
      <c r="Z231" s="42">
        <f>'Kennzahlen Revision'!L210</f>
        <v>1.101327684746008E-2</v>
      </c>
      <c r="AA231" s="42">
        <f>Funktional!AE210</f>
        <v>0.12003028215579731</v>
      </c>
      <c r="AB231" s="42">
        <f>Funktional!AJ210</f>
        <v>5.4819052172505753E-2</v>
      </c>
      <c r="AC231" s="42">
        <f>Funktional!AS210</f>
        <v>0.11417327219575063</v>
      </c>
      <c r="AD231" s="42">
        <f>Funktional!AO210</f>
        <v>2.4473118924536719E-3</v>
      </c>
      <c r="AE231" s="202">
        <f>Funktional!AV210</f>
        <v>8.4233896862591084E-2</v>
      </c>
      <c r="AF231" s="176"/>
      <c r="AG231" s="177"/>
      <c r="AH231" s="177">
        <f>Artengliederung!AN210</f>
        <v>8.8281680546402896E-2</v>
      </c>
      <c r="AI231" s="178" t="str">
        <f t="shared" si="40"/>
        <v>Nussbaumen (inkl. Engelsw.)</v>
      </c>
    </row>
    <row r="232" spans="1:35" x14ac:dyDescent="0.25">
      <c r="A232" s="41" t="str">
        <f>Funktional!A211</f>
        <v>Oberhofen-Lengwil</v>
      </c>
      <c r="B232" s="41" t="str">
        <f>Funktional!B211</f>
        <v>KiGa</v>
      </c>
      <c r="C232" s="352">
        <f>Funktional!D211</f>
        <v>35</v>
      </c>
      <c r="D232" s="348">
        <f>Funktional!G211</f>
        <v>7240.490439167068</v>
      </c>
      <c r="E232" s="186">
        <f>Funktional!F211</f>
        <v>126708.58268542369</v>
      </c>
      <c r="F232" s="48">
        <f>Funktional!U211</f>
        <v>3949.9777792943792</v>
      </c>
      <c r="G232" s="48">
        <f>Funktional!T211</f>
        <v>69124.611137651635</v>
      </c>
      <c r="H232" s="48">
        <f>Artengliederung!R211</f>
        <v>208.68215694802589</v>
      </c>
      <c r="I232" s="186">
        <f>Artengliederung!Q211</f>
        <v>3651.9377465904531</v>
      </c>
      <c r="J232" s="48">
        <f>Funktional!Z211</f>
        <v>275.27889437335125</v>
      </c>
      <c r="K232" s="48">
        <f>Funktional!Y211</f>
        <v>4817.3806515336464</v>
      </c>
      <c r="L232" s="48">
        <f>'Kennzahlen Revision'!O211</f>
        <v>77.914082559035933</v>
      </c>
      <c r="M232" s="48">
        <f>'Kennzahlen Revision'!N211</f>
        <v>1363.4964447831289</v>
      </c>
      <c r="N232" s="80">
        <f>Funktional!AG211</f>
        <v>743.65485668884651</v>
      </c>
      <c r="O232" s="43">
        <f>Funktional!AF211</f>
        <v>13013.959992054813</v>
      </c>
      <c r="P232" s="43">
        <f>Funktional!AL211</f>
        <v>1328.9444709462925</v>
      </c>
      <c r="Q232" s="43">
        <f>Funktional!AK211</f>
        <v>23256.528241560121</v>
      </c>
      <c r="R232" s="80">
        <f>Funktional!AU211</f>
        <v>736.72082798310294</v>
      </c>
      <c r="S232" s="43">
        <f>Funktional!AT211</f>
        <v>12892.614489704301</v>
      </c>
      <c r="T232" s="80">
        <f>Funktional!AQ211</f>
        <v>47.48830867772174</v>
      </c>
      <c r="U232" s="43">
        <f>Funktional!AP211</f>
        <v>831.04540186013048</v>
      </c>
      <c r="V232" s="80">
        <f t="shared" si="42"/>
        <v>158.42530120337395</v>
      </c>
      <c r="W232" s="183">
        <f t="shared" si="42"/>
        <v>2772.4427710590462</v>
      </c>
      <c r="X232" s="172">
        <f>Funktional!S211</f>
        <v>0.54554008633547435</v>
      </c>
      <c r="Y232" s="42">
        <f>Funktional!X211</f>
        <v>3.8019371296209976E-2</v>
      </c>
      <c r="Z232" s="42">
        <f>'Kennzahlen Revision'!L211</f>
        <v>1.076088466846992E-2</v>
      </c>
      <c r="AA232" s="42">
        <f>Funktional!AE211</f>
        <v>0.10270780176244457</v>
      </c>
      <c r="AB232" s="42">
        <f>Funktional!AJ211</f>
        <v>0.18354343288093228</v>
      </c>
      <c r="AC232" s="42">
        <f>Funktional!AS211</f>
        <v>0.1017501278639702</v>
      </c>
      <c r="AD232" s="42">
        <f>Funktional!AO211</f>
        <v>6.5587143684129635E-3</v>
      </c>
      <c r="AE232" s="202">
        <f>Funktional!AV211</f>
        <v>2.1880465492555679E-2</v>
      </c>
      <c r="AF232" s="176"/>
      <c r="AG232" s="177"/>
      <c r="AH232" s="177">
        <f>Artengliederung!AN211</f>
        <v>4.446397545011771E-2</v>
      </c>
      <c r="AI232" s="178" t="str">
        <f t="shared" si="40"/>
        <v>Oberhofen-Lengwil</v>
      </c>
    </row>
    <row r="233" spans="1:35" x14ac:dyDescent="0.25">
      <c r="A233" s="41" t="str">
        <f>Funktional!A212&amp;" (inkl. Illigh.)"</f>
        <v>Ottoberg (inkl. Illigh.)</v>
      </c>
      <c r="B233" s="41" t="str">
        <f>Funktional!B212</f>
        <v>KiGa</v>
      </c>
      <c r="C233" s="352">
        <f>Funktional!D212</f>
        <v>16</v>
      </c>
      <c r="D233" s="348">
        <f>Funktional!G212</f>
        <v>12759.129133074392</v>
      </c>
      <c r="E233" s="186">
        <f>Funktional!F212</f>
        <v>204146.06612919027</v>
      </c>
      <c r="F233" s="48">
        <f>Funktional!U212</f>
        <v>6155.7843165635431</v>
      </c>
      <c r="G233" s="48">
        <f>Funktional!T212</f>
        <v>98492.54906501669</v>
      </c>
      <c r="H233" s="48">
        <f>Artengliederung!R212</f>
        <v>269.40683468256577</v>
      </c>
      <c r="I233" s="186">
        <f>Artengliederung!Q212</f>
        <v>4310.5093549210524</v>
      </c>
      <c r="J233" s="48">
        <f>Funktional!Z212</f>
        <v>571.16087252368447</v>
      </c>
      <c r="K233" s="48">
        <f>Funktional!Y212</f>
        <v>9138.5739603789516</v>
      </c>
      <c r="L233" s="48">
        <f>'Kennzahlen Revision'!O212</f>
        <v>176.67382107078097</v>
      </c>
      <c r="M233" s="48">
        <f>'Kennzahlen Revision'!N212</f>
        <v>2826.7811371324956</v>
      </c>
      <c r="N233" s="80">
        <f>Funktional!AG212</f>
        <v>3128.2856173675373</v>
      </c>
      <c r="O233" s="43">
        <f>Funktional!AF212</f>
        <v>50052.569877880596</v>
      </c>
      <c r="P233" s="43">
        <f>Funktional!AL212</f>
        <v>741.72733836211694</v>
      </c>
      <c r="Q233" s="43">
        <f>Funktional!AK212</f>
        <v>11867.637413793871</v>
      </c>
      <c r="R233" s="80">
        <f>Funktional!AU212</f>
        <v>1730.0804670806601</v>
      </c>
      <c r="S233" s="43">
        <f>Funktional!AT212</f>
        <v>27681.287473290562</v>
      </c>
      <c r="T233" s="80">
        <f>Funktional!AQ212</f>
        <v>32.458045627745399</v>
      </c>
      <c r="U233" s="43">
        <f>Funktional!AP212</f>
        <v>519.32873004392638</v>
      </c>
      <c r="V233" s="80">
        <f t="shared" si="42"/>
        <v>399.63247554910413</v>
      </c>
      <c r="W233" s="183">
        <f t="shared" si="42"/>
        <v>6394.1196087856661</v>
      </c>
      <c r="X233" s="172">
        <f>Funktional!S212</f>
        <v>0.48246116583352333</v>
      </c>
      <c r="Y233" s="42">
        <f>Funktional!X212</f>
        <v>4.4764879057702558E-2</v>
      </c>
      <c r="Z233" s="42">
        <f>'Kennzahlen Revision'!L212</f>
        <v>1.3846855786795405E-2</v>
      </c>
      <c r="AA233" s="42">
        <f>Funktional!AE212</f>
        <v>0.24518018312537898</v>
      </c>
      <c r="AB233" s="42">
        <f>Funktional!AJ212</f>
        <v>5.8133069320491559E-2</v>
      </c>
      <c r="AC233" s="42">
        <f>Funktional!AS212</f>
        <v>0.13559549786167785</v>
      </c>
      <c r="AD233" s="42">
        <f>Funktional!AO212</f>
        <v>2.5439076044467017E-3</v>
      </c>
      <c r="AE233" s="202">
        <f>Funktional!AV212</f>
        <v>3.132129719677898E-2</v>
      </c>
      <c r="AF233" s="176"/>
      <c r="AG233" s="177"/>
      <c r="AH233" s="177">
        <f>Artengliederung!AN212</f>
        <v>3.4728397957497319E-2</v>
      </c>
      <c r="AI233" s="178" t="str">
        <f t="shared" si="40"/>
        <v>Ottoberg (inkl. Illigh.)</v>
      </c>
    </row>
    <row r="234" spans="1:35" x14ac:dyDescent="0.25">
      <c r="A234" s="41" t="str">
        <f>Funktional!A213</f>
        <v>Pfyn</v>
      </c>
      <c r="B234" s="41" t="str">
        <f>Funktional!B213</f>
        <v>KiGa</v>
      </c>
      <c r="C234" s="352">
        <f>Funktional!D213</f>
        <v>33</v>
      </c>
      <c r="D234" s="348">
        <f>Funktional!G213</f>
        <v>6215.5317091055558</v>
      </c>
      <c r="E234" s="186">
        <f>Funktional!F213</f>
        <v>102556.27320024167</v>
      </c>
      <c r="F234" s="48">
        <f>Funktional!U213</f>
        <v>3786.4253242892541</v>
      </c>
      <c r="G234" s="48">
        <f>Funktional!T213</f>
        <v>62476.017850772696</v>
      </c>
      <c r="H234" s="48">
        <f>Artengliederung!R213</f>
        <v>170.51195673296186</v>
      </c>
      <c r="I234" s="186">
        <f>Artengliederung!Q213</f>
        <v>2813.4472860938708</v>
      </c>
      <c r="J234" s="48">
        <f>Funktional!Z213</f>
        <v>306.27451767630919</v>
      </c>
      <c r="K234" s="48">
        <f>Funktional!Y213</f>
        <v>5053.5295416591016</v>
      </c>
      <c r="L234" s="48">
        <f>'Kennzahlen Revision'!O213</f>
        <v>183.44570467316927</v>
      </c>
      <c r="M234" s="48">
        <f>'Kennzahlen Revision'!N213</f>
        <v>3026.8541271072932</v>
      </c>
      <c r="N234" s="80">
        <f>Funktional!AG213</f>
        <v>460.17787496846995</v>
      </c>
      <c r="O234" s="43">
        <f>Funktional!AF213</f>
        <v>7592.9349369797537</v>
      </c>
      <c r="P234" s="43">
        <f>Funktional!AL213</f>
        <v>828.74602538184411</v>
      </c>
      <c r="Q234" s="43">
        <f>Funktional!AK213</f>
        <v>13674.309418800427</v>
      </c>
      <c r="R234" s="80">
        <f>Funktional!AU213</f>
        <v>394.67804238100456</v>
      </c>
      <c r="S234" s="43">
        <f>Funktional!AT213</f>
        <v>6512.1876992865755</v>
      </c>
      <c r="T234" s="80">
        <f>Funktional!AQ213</f>
        <v>7.1770570365713828</v>
      </c>
      <c r="U234" s="43">
        <f>Funktional!AP213</f>
        <v>118.42144110342781</v>
      </c>
      <c r="V234" s="80">
        <f t="shared" si="42"/>
        <v>432.05286737210247</v>
      </c>
      <c r="W234" s="183">
        <f t="shared" si="42"/>
        <v>7128.8723116396914</v>
      </c>
      <c r="X234" s="172">
        <f>Funktional!S213</f>
        <v>0.60918767717687961</v>
      </c>
      <c r="Y234" s="42">
        <f>Funktional!X213</f>
        <v>4.927567455373557E-2</v>
      </c>
      <c r="Z234" s="42">
        <f>'Kennzahlen Revision'!L213</f>
        <v>2.9514080734947771E-2</v>
      </c>
      <c r="AA234" s="42">
        <f>Funktional!AE213</f>
        <v>7.403676732825995E-2</v>
      </c>
      <c r="AB234" s="42">
        <f>Funktional!AJ213</f>
        <v>0.13333469511027632</v>
      </c>
      <c r="AC234" s="42">
        <f>Funktional!AS213</f>
        <v>6.3498677321976144E-2</v>
      </c>
      <c r="AD234" s="42">
        <f>Funktional!AO213</f>
        <v>1.1546971960672684E-3</v>
      </c>
      <c r="AE234" s="202">
        <f>Funktional!AV213</f>
        <v>6.9511811312805177E-2</v>
      </c>
      <c r="AF234" s="176"/>
      <c r="AG234" s="177"/>
      <c r="AH234" s="177">
        <f>Artengliederung!AN213</f>
        <v>0.55026983355082348</v>
      </c>
      <c r="AI234" s="178" t="str">
        <f t="shared" si="40"/>
        <v>Pfyn</v>
      </c>
    </row>
    <row r="235" spans="1:35" ht="24.75" customHeight="1" x14ac:dyDescent="0.25">
      <c r="A235" s="312" t="s">
        <v>42</v>
      </c>
      <c r="B235" s="312"/>
      <c r="C235" s="353">
        <f t="shared" ref="C235:AE235" si="43">C7</f>
        <v>5455</v>
      </c>
      <c r="D235" s="349">
        <f t="shared" si="43"/>
        <v>7568.626819797717</v>
      </c>
      <c r="E235" s="314">
        <f t="shared" si="43"/>
        <v>157403.19977886596</v>
      </c>
      <c r="F235" s="313">
        <f t="shared" si="43"/>
        <v>4700.6710515693612</v>
      </c>
      <c r="G235" s="313">
        <f t="shared" si="43"/>
        <v>97758.904255855363</v>
      </c>
      <c r="H235" s="313">
        <f t="shared" si="43"/>
        <v>203.00653726807471</v>
      </c>
      <c r="I235" s="314">
        <f t="shared" si="43"/>
        <v>4221.8858589300326</v>
      </c>
      <c r="J235" s="313">
        <f t="shared" si="43"/>
        <v>363.50812048567207</v>
      </c>
      <c r="K235" s="313">
        <f t="shared" si="43"/>
        <v>7559.8047931732408</v>
      </c>
      <c r="L235" s="313">
        <f t="shared" si="43"/>
        <v>129.22714920036063</v>
      </c>
      <c r="M235" s="314">
        <f t="shared" si="43"/>
        <v>2687.5108611817277</v>
      </c>
      <c r="N235" s="315">
        <f t="shared" si="43"/>
        <v>516.58491406579935</v>
      </c>
      <c r="O235" s="315">
        <f t="shared" si="43"/>
        <v>10743.311880400059</v>
      </c>
      <c r="P235" s="315">
        <f t="shared" si="43"/>
        <v>706.54012373154478</v>
      </c>
      <c r="Q235" s="355">
        <f t="shared" si="43"/>
        <v>14693.771921294612</v>
      </c>
      <c r="R235" s="315">
        <f t="shared" si="43"/>
        <v>402.43620956948456</v>
      </c>
      <c r="S235" s="355">
        <f t="shared" si="43"/>
        <v>8369.3843812487157</v>
      </c>
      <c r="T235" s="315">
        <f t="shared" si="43"/>
        <v>27.10537978182543</v>
      </c>
      <c r="U235" s="355">
        <f t="shared" si="43"/>
        <v>563.70509611078046</v>
      </c>
      <c r="V235" s="315">
        <f t="shared" si="43"/>
        <v>851.78102059402977</v>
      </c>
      <c r="W235" s="320">
        <f t="shared" si="43"/>
        <v>17714.317450783194</v>
      </c>
      <c r="X235" s="317">
        <f t="shared" si="43"/>
        <v>0.62107317000668205</v>
      </c>
      <c r="Y235" s="317">
        <f t="shared" si="43"/>
        <v>4.8028278991748122E-2</v>
      </c>
      <c r="Z235" s="317">
        <f t="shared" si="43"/>
        <v>1.70740548156415E-2</v>
      </c>
      <c r="AA235" s="317">
        <f t="shared" si="43"/>
        <v>6.8253452887191757E-2</v>
      </c>
      <c r="AB235" s="317">
        <f t="shared" si="43"/>
        <v>9.335116402930646E-2</v>
      </c>
      <c r="AC235" s="317">
        <f t="shared" si="43"/>
        <v>5.3171627978381458E-2</v>
      </c>
      <c r="AD235" s="317">
        <f t="shared" si="43"/>
        <v>3.5812810470354072E-3</v>
      </c>
      <c r="AE235" s="318">
        <f t="shared" si="43"/>
        <v>0.11254102505965476</v>
      </c>
      <c r="AF235" s="321"/>
      <c r="AG235" s="321"/>
      <c r="AH235" s="321">
        <f>AH7</f>
        <v>0.18114514506678972</v>
      </c>
      <c r="AI235" s="319" t="s">
        <v>42</v>
      </c>
    </row>
    <row r="236" spans="1:35" x14ac:dyDescent="0.25">
      <c r="A236" s="41" t="str">
        <f>Funktional!A214</f>
        <v>Raperswilen-Illhart</v>
      </c>
      <c r="B236" s="41" t="str">
        <f>Funktional!B214</f>
        <v>KiGa</v>
      </c>
      <c r="C236" s="352">
        <f>Funktional!D214</f>
        <v>23</v>
      </c>
      <c r="D236" s="348">
        <f>Funktional!G214</f>
        <v>6471.4772357731126</v>
      </c>
      <c r="E236" s="186">
        <f>Funktional!F214</f>
        <v>148843.97642278159</v>
      </c>
      <c r="F236" s="48">
        <f>Funktional!U214</f>
        <v>4217.2216723160936</v>
      </c>
      <c r="G236" s="48">
        <f>Funktional!T214</f>
        <v>96996.098463270144</v>
      </c>
      <c r="H236" s="48">
        <f>Artengliederung!R214</f>
        <v>268.31510642554593</v>
      </c>
      <c r="I236" s="186">
        <f>Artengliederung!Q214</f>
        <v>6171.2474477875567</v>
      </c>
      <c r="J236" s="48">
        <f>Funktional!Z214</f>
        <v>293.17078457154935</v>
      </c>
      <c r="K236" s="48">
        <f>Funktional!Y214</f>
        <v>6742.9280451456352</v>
      </c>
      <c r="L236" s="48">
        <f>'Kennzahlen Revision'!O214</f>
        <v>84.451016136360906</v>
      </c>
      <c r="M236" s="48">
        <f>'Kennzahlen Revision'!N214</f>
        <v>1942.3733711363009</v>
      </c>
      <c r="N236" s="80">
        <f>Funktional!AG214</f>
        <v>697.62964949427089</v>
      </c>
      <c r="O236" s="43">
        <f>Funktional!AF214</f>
        <v>16045.481938368232</v>
      </c>
      <c r="P236" s="43">
        <f>Funktional!AL214</f>
        <v>436.22805206906196</v>
      </c>
      <c r="Q236" s="43">
        <f>Funktional!AK214</f>
        <v>10033.245197588425</v>
      </c>
      <c r="R236" s="80">
        <f>Funktional!AU214</f>
        <v>380.76301132985185</v>
      </c>
      <c r="S236" s="43">
        <f>Funktional!AT214</f>
        <v>8757.5492605865929</v>
      </c>
      <c r="T236" s="80">
        <f>Funktional!AQ214</f>
        <v>45.588402607479999</v>
      </c>
      <c r="U236" s="43">
        <f>Funktional!AP214</f>
        <v>1048.53325997204</v>
      </c>
      <c r="V236" s="80">
        <f t="shared" ref="V236:W236" si="44">D236-F236-J236-N236-P236-R236-T236</f>
        <v>400.8756633848048</v>
      </c>
      <c r="W236" s="183">
        <f t="shared" si="44"/>
        <v>9220.1402578505185</v>
      </c>
      <c r="X236" s="172">
        <f>Funktional!S214</f>
        <v>0.65166290765948809</v>
      </c>
      <c r="Y236" s="42">
        <f>Funktional!X214</f>
        <v>4.5301988076378641E-2</v>
      </c>
      <c r="Z236" s="42">
        <f>'Kennzahlen Revision'!L214</f>
        <v>1.3049727760692957E-2</v>
      </c>
      <c r="AA236" s="42">
        <f>Funktional!AE214</f>
        <v>0.10780068044401131</v>
      </c>
      <c r="AB236" s="42">
        <f>Funktional!AJ214</f>
        <v>6.7407801368391612E-2</v>
      </c>
      <c r="AC236" s="42">
        <f>Funktional!AS214</f>
        <v>5.8837108971822594E-2</v>
      </c>
      <c r="AD236" s="42">
        <f>Funktional!AO214</f>
        <v>7.0445125504692901E-3</v>
      </c>
      <c r="AE236" s="202">
        <f>Funktional!AV214</f>
        <v>6.1945000929438471E-2</v>
      </c>
      <c r="AF236" s="176"/>
      <c r="AG236" s="177"/>
      <c r="AH236" s="177">
        <f>Artengliederung!AN214</f>
        <v>0.57934975617931206</v>
      </c>
      <c r="AI236" s="178" t="str">
        <f t="shared" ref="AI236:AI273" si="45">A236</f>
        <v>Raperswilen-Illhart</v>
      </c>
    </row>
    <row r="237" spans="1:35" x14ac:dyDescent="0.25">
      <c r="A237" s="41" t="str">
        <f>Funktional!A215</f>
        <v>Rickenbach</v>
      </c>
      <c r="B237" s="41" t="str">
        <f>Funktional!B215</f>
        <v>KiGa</v>
      </c>
      <c r="C237" s="352">
        <f>Funktional!D215</f>
        <v>72</v>
      </c>
      <c r="D237" s="348">
        <f>Funktional!G215</f>
        <v>5099.7024086491474</v>
      </c>
      <c r="E237" s="186">
        <f>Funktional!F215</f>
        <v>122392.85780757955</v>
      </c>
      <c r="F237" s="48">
        <f>Funktional!U215</f>
        <v>3433.3216851276179</v>
      </c>
      <c r="G237" s="48">
        <f>Funktional!T215</f>
        <v>82399.720443062834</v>
      </c>
      <c r="H237" s="48">
        <f>Artengliederung!R215</f>
        <v>148.37344962005253</v>
      </c>
      <c r="I237" s="186">
        <f>Artengliederung!Q215</f>
        <v>3560.9627908812604</v>
      </c>
      <c r="J237" s="48">
        <f>Funktional!Z215</f>
        <v>262.02751804762732</v>
      </c>
      <c r="K237" s="48">
        <f>Funktional!Y215</f>
        <v>6288.6604331430563</v>
      </c>
      <c r="L237" s="48">
        <f>'Kennzahlen Revision'!O215</f>
        <v>107.45679017967959</v>
      </c>
      <c r="M237" s="48">
        <f>'Kennzahlen Revision'!N215</f>
        <v>2578.9629643123103</v>
      </c>
      <c r="N237" s="80">
        <f>Funktional!AG215</f>
        <v>502.75003219903203</v>
      </c>
      <c r="O237" s="43">
        <f>Funktional!AF215</f>
        <v>12066.000772776768</v>
      </c>
      <c r="P237" s="43">
        <f>Funktional!AL215</f>
        <v>586.53360510890707</v>
      </c>
      <c r="Q237" s="43">
        <f>Funktional!AK215</f>
        <v>14076.80652261377</v>
      </c>
      <c r="R237" s="80">
        <f>Funktional!AU215</f>
        <v>135.16860927514969</v>
      </c>
      <c r="S237" s="43">
        <f>Funktional!AT215</f>
        <v>3244.0466226035928</v>
      </c>
      <c r="T237" s="80">
        <f>Funktional!AQ215</f>
        <v>24.132303813751449</v>
      </c>
      <c r="U237" s="43">
        <f>Funktional!AP215</f>
        <v>579.17529153003477</v>
      </c>
      <c r="V237" s="80">
        <f t="shared" ref="V237:W237" si="46">D237-F237-J237-N237-P237-R237-T237</f>
        <v>155.76865507706185</v>
      </c>
      <c r="W237" s="183">
        <f t="shared" si="46"/>
        <v>3738.4477218494976</v>
      </c>
      <c r="X237" s="172">
        <f>Funktional!S215</f>
        <v>0.67323961478706462</v>
      </c>
      <c r="Y237" s="42">
        <f>Funktional!X215</f>
        <v>5.1380942857219662E-2</v>
      </c>
      <c r="Z237" s="42">
        <f>'Kennzahlen Revision'!L215</f>
        <v>2.1071188388842411E-2</v>
      </c>
      <c r="AA237" s="42">
        <f>Funktional!AE215</f>
        <v>9.8584190196346122E-2</v>
      </c>
      <c r="AB237" s="42">
        <f>Funktional!AJ215</f>
        <v>0.11501330040634136</v>
      </c>
      <c r="AC237" s="42">
        <f>Funktional!AS215</f>
        <v>2.650519548864309E-2</v>
      </c>
      <c r="AD237" s="42">
        <f>Funktional!AO215</f>
        <v>4.7321004011572935E-3</v>
      </c>
      <c r="AE237" s="202">
        <f>Funktional!AV215</f>
        <v>3.0544655863227844E-2</v>
      </c>
      <c r="AF237" s="176"/>
      <c r="AG237" s="177"/>
      <c r="AH237" s="177">
        <f>Artengliederung!AN215</f>
        <v>4.7947291169261462E-2</v>
      </c>
      <c r="AI237" s="178" t="str">
        <f t="shared" si="45"/>
        <v>Rickenbach</v>
      </c>
    </row>
    <row r="238" spans="1:35" hidden="1" x14ac:dyDescent="0.25">
      <c r="A238" s="41" t="str">
        <f>Funktional!A216</f>
        <v>Ringenzeichen</v>
      </c>
      <c r="B238" s="41" t="str">
        <f>Funktional!B216</f>
        <v>KiGa</v>
      </c>
      <c r="C238" s="352">
        <f>Funktional!D216</f>
        <v>0</v>
      </c>
      <c r="D238" s="348">
        <f>Funktional!G216</f>
        <v>0</v>
      </c>
      <c r="E238" s="186">
        <f>Funktional!F216</f>
        <v>0</v>
      </c>
      <c r="F238" s="48">
        <f>Funktional!U216</f>
        <v>0</v>
      </c>
      <c r="G238" s="48">
        <f>Funktional!T216</f>
        <v>0</v>
      </c>
      <c r="H238" s="48">
        <f>Artengliederung!R216</f>
        <v>0</v>
      </c>
      <c r="I238" s="186">
        <f>Artengliederung!Q216</f>
        <v>0</v>
      </c>
      <c r="J238" s="48">
        <f>Funktional!Z216</f>
        <v>0</v>
      </c>
      <c r="K238" s="48">
        <f>Funktional!Y216</f>
        <v>0</v>
      </c>
      <c r="L238" s="48">
        <f>'Kennzahlen Revision'!O216</f>
        <v>0</v>
      </c>
      <c r="M238" s="48">
        <f>'Kennzahlen Revision'!N216</f>
        <v>0</v>
      </c>
      <c r="N238" s="80">
        <f>Funktional!AG216</f>
        <v>0</v>
      </c>
      <c r="O238" s="43">
        <f>Funktional!AF216</f>
        <v>0</v>
      </c>
      <c r="P238" s="43">
        <f>Funktional!AL216</f>
        <v>0</v>
      </c>
      <c r="Q238" s="43">
        <f>Funktional!AK216</f>
        <v>0</v>
      </c>
      <c r="R238" s="80">
        <f>Funktional!AU216</f>
        <v>0</v>
      </c>
      <c r="S238" s="43">
        <f>Funktional!AT216</f>
        <v>0</v>
      </c>
      <c r="T238" s="80">
        <f>Funktional!AQ216</f>
        <v>0</v>
      </c>
      <c r="U238" s="43">
        <f>Funktional!AP216</f>
        <v>0</v>
      </c>
      <c r="V238" s="80">
        <f t="shared" ref="V238:W239" si="47">D238-F238-J238-N238-P238-R238-T238</f>
        <v>0</v>
      </c>
      <c r="W238" s="183">
        <f t="shared" si="47"/>
        <v>0</v>
      </c>
      <c r="X238" s="172">
        <f>Funktional!S216</f>
        <v>0</v>
      </c>
      <c r="Y238" s="42">
        <f>Funktional!X216</f>
        <v>0</v>
      </c>
      <c r="Z238" s="42">
        <f>'Kennzahlen Revision'!L216</f>
        <v>0</v>
      </c>
      <c r="AA238" s="42">
        <f>Funktional!AE216</f>
        <v>0</v>
      </c>
      <c r="AB238" s="42">
        <f>Funktional!AJ216</f>
        <v>0</v>
      </c>
      <c r="AC238" s="42">
        <f>Funktional!AS216</f>
        <v>0</v>
      </c>
      <c r="AD238" s="42">
        <f>Funktional!AO216</f>
        <v>0</v>
      </c>
      <c r="AE238" s="202">
        <f>Funktional!AV216</f>
        <v>0</v>
      </c>
      <c r="AF238" s="176"/>
      <c r="AG238" s="177"/>
      <c r="AH238" s="177">
        <f>Artengliederung!AN216</f>
        <v>0</v>
      </c>
      <c r="AI238" s="178" t="str">
        <f t="shared" si="45"/>
        <v>Ringenzeichen</v>
      </c>
    </row>
    <row r="239" spans="1:35" x14ac:dyDescent="0.25">
      <c r="A239" s="41" t="str">
        <f>Funktional!A217</f>
        <v>Romanshorn</v>
      </c>
      <c r="B239" s="41" t="str">
        <f>Funktional!B217</f>
        <v>KiGa</v>
      </c>
      <c r="C239" s="352">
        <f>Funktional!D217</f>
        <v>119</v>
      </c>
      <c r="D239" s="348">
        <f>Funktional!G217</f>
        <v>7617.3251083186815</v>
      </c>
      <c r="E239" s="186">
        <f>Funktional!F217</f>
        <v>151076.94798165385</v>
      </c>
      <c r="F239" s="48">
        <f>Funktional!U217</f>
        <v>5085.3505310279661</v>
      </c>
      <c r="G239" s="48">
        <f>Funktional!T217</f>
        <v>100859.45219872134</v>
      </c>
      <c r="H239" s="48">
        <f>Artengliederung!R217</f>
        <v>206.34382771245944</v>
      </c>
      <c r="I239" s="186">
        <f>Artengliederung!Q217</f>
        <v>4092.485916297112</v>
      </c>
      <c r="J239" s="48">
        <f>Funktional!Z217</f>
        <v>458.246788555249</v>
      </c>
      <c r="K239" s="48">
        <f>Funktional!Y217</f>
        <v>9088.5613063457713</v>
      </c>
      <c r="L239" s="48">
        <f>'Kennzahlen Revision'!O217</f>
        <v>175.13730194210535</v>
      </c>
      <c r="M239" s="48">
        <f>'Kennzahlen Revision'!N217</f>
        <v>3473.5564885184231</v>
      </c>
      <c r="N239" s="80">
        <f>Funktional!AG217</f>
        <v>426.46015074110227</v>
      </c>
      <c r="O239" s="43">
        <f>Funktional!AF217</f>
        <v>8458.1263230318618</v>
      </c>
      <c r="P239" s="43">
        <f>Funktional!AL217</f>
        <v>616.17635126992559</v>
      </c>
      <c r="Q239" s="43">
        <f>Funktional!AK217</f>
        <v>12220.830966853524</v>
      </c>
      <c r="R239" s="80">
        <f>Funktional!AU217</f>
        <v>315.59325950432412</v>
      </c>
      <c r="S239" s="43">
        <f>Funktional!AT217</f>
        <v>6259.2663135024277</v>
      </c>
      <c r="T239" s="80">
        <f>Funktional!AQ217</f>
        <v>31.910565156317858</v>
      </c>
      <c r="U239" s="43">
        <f>Funktional!AP217</f>
        <v>632.89287560030414</v>
      </c>
      <c r="V239" s="80">
        <f t="shared" si="47"/>
        <v>683.58746206379635</v>
      </c>
      <c r="W239" s="183">
        <f t="shared" si="47"/>
        <v>13557.817997598624</v>
      </c>
      <c r="X239" s="172">
        <f>Funktional!S217</f>
        <v>0.6676031886146474</v>
      </c>
      <c r="Y239" s="42">
        <f>Funktional!X217</f>
        <v>6.0158491601574104E-2</v>
      </c>
      <c r="Z239" s="42">
        <f>'Kennzahlen Revision'!L217</f>
        <v>2.2991968893495501E-2</v>
      </c>
      <c r="AA239" s="42">
        <f>Funktional!AE217</f>
        <v>5.598555197222399E-2</v>
      </c>
      <c r="AB239" s="42">
        <f>Funktional!AJ217</f>
        <v>8.0891434001814561E-2</v>
      </c>
      <c r="AC239" s="42">
        <f>Funktional!AS217</f>
        <v>4.1430982007013582E-2</v>
      </c>
      <c r="AD239" s="42">
        <f>Funktional!AO217</f>
        <v>4.1892087711300607E-3</v>
      </c>
      <c r="AE239" s="202">
        <f>Funktional!AV217</f>
        <v>8.9741143031596304E-2</v>
      </c>
      <c r="AF239" s="176"/>
      <c r="AG239" s="177"/>
      <c r="AH239" s="177">
        <f>Artengliederung!AN217</f>
        <v>4.4091725597379935E-2</v>
      </c>
      <c r="AI239" s="178" t="str">
        <f t="shared" si="45"/>
        <v>Romanshorn</v>
      </c>
    </row>
    <row r="240" spans="1:35" x14ac:dyDescent="0.25">
      <c r="A240" s="41" t="str">
        <f>Funktional!A218</f>
        <v>Salenstein</v>
      </c>
      <c r="B240" s="41" t="str">
        <f>Funktional!B218</f>
        <v>KiGa</v>
      </c>
      <c r="C240" s="352">
        <f>Funktional!D218</f>
        <v>13</v>
      </c>
      <c r="D240" s="348">
        <f>Funktional!G218</f>
        <v>15244.82959492973</v>
      </c>
      <c r="E240" s="186">
        <f>Funktional!F218</f>
        <v>198182.78473408648</v>
      </c>
      <c r="F240" s="48">
        <f>Funktional!U218</f>
        <v>6782.1583348210415</v>
      </c>
      <c r="G240" s="48">
        <f>Funktional!T218</f>
        <v>88168.058352673543</v>
      </c>
      <c r="H240" s="48">
        <f>Artengliederung!R218</f>
        <v>342.19540234019081</v>
      </c>
      <c r="I240" s="186">
        <f>Artengliederung!Q218</f>
        <v>4448.5402304224808</v>
      </c>
      <c r="J240" s="48">
        <f>Funktional!Z218</f>
        <v>694.41583739009354</v>
      </c>
      <c r="K240" s="48">
        <f>Funktional!Y218</f>
        <v>9027.4058860712157</v>
      </c>
      <c r="L240" s="48">
        <f>'Kennzahlen Revision'!O218</f>
        <v>199.87540293377748</v>
      </c>
      <c r="M240" s="48">
        <f>'Kennzahlen Revision'!N218</f>
        <v>2598.3802381391074</v>
      </c>
      <c r="N240" s="80">
        <f>Funktional!AG218</f>
        <v>4102.0582694409104</v>
      </c>
      <c r="O240" s="43">
        <f>Funktional!AF218</f>
        <v>53326.757502731831</v>
      </c>
      <c r="P240" s="43">
        <f>Funktional!AL218</f>
        <v>1454.4492320602467</v>
      </c>
      <c r="Q240" s="43">
        <f>Funktional!AK218</f>
        <v>18907.840016783208</v>
      </c>
      <c r="R240" s="80">
        <f>Funktional!AU218</f>
        <v>1668.805864187093</v>
      </c>
      <c r="S240" s="43">
        <f>Funktional!AT218</f>
        <v>21694.476234432208</v>
      </c>
      <c r="T240" s="80">
        <f>Funktional!AQ218</f>
        <v>39.404154435811321</v>
      </c>
      <c r="U240" s="43">
        <f>Funktional!AP218</f>
        <v>512.25400766554719</v>
      </c>
      <c r="V240" s="80">
        <f t="shared" ref="V240:W248" si="48">D240-F240-J240-N240-P240-R240-T240</f>
        <v>503.53790259453234</v>
      </c>
      <c r="W240" s="183">
        <f t="shared" si="48"/>
        <v>6545.9927337289364</v>
      </c>
      <c r="X240" s="172">
        <f>Funktional!S218</f>
        <v>0.44488252837386366</v>
      </c>
      <c r="Y240" s="42">
        <f>Funktional!X218</f>
        <v>4.5550908461518581E-2</v>
      </c>
      <c r="Z240" s="42">
        <f>'Kennzahlen Revision'!L218</f>
        <v>1.3111029000957411E-2</v>
      </c>
      <c r="AA240" s="42">
        <f>Funktional!AE218</f>
        <v>0.26907865672734127</v>
      </c>
      <c r="AB240" s="42">
        <f>Funktional!AJ218</f>
        <v>9.5406066889982252E-2</v>
      </c>
      <c r="AC240" s="42">
        <f>Funktional!AS218</f>
        <v>0.10946700675107056</v>
      </c>
      <c r="AD240" s="42">
        <f>Funktional!AO218</f>
        <v>2.5847553224810551E-3</v>
      </c>
      <c r="AE240" s="202">
        <f>Funktional!AV218</f>
        <v>3.3030077473742633E-2</v>
      </c>
      <c r="AF240" s="176"/>
      <c r="AG240" s="177"/>
      <c r="AH240" s="177">
        <f>Artengliederung!AN218</f>
        <v>1.9794291989137752E-3</v>
      </c>
      <c r="AI240" s="178" t="str">
        <f t="shared" si="45"/>
        <v>Salenstein</v>
      </c>
    </row>
    <row r="241" spans="1:35" x14ac:dyDescent="0.25">
      <c r="A241" s="41" t="str">
        <f>Funktional!A219</f>
        <v>Salmsach-Hungerbühl</v>
      </c>
      <c r="B241" s="41" t="str">
        <f>Funktional!B219</f>
        <v>KiGa</v>
      </c>
      <c r="C241" s="352">
        <f>Funktional!D219</f>
        <v>36</v>
      </c>
      <c r="D241" s="348">
        <f>Funktional!G219</f>
        <v>8114.2974170732132</v>
      </c>
      <c r="E241" s="186">
        <f>Funktional!F219</f>
        <v>146057.35350731784</v>
      </c>
      <c r="F241" s="48">
        <f>Funktional!U219</f>
        <v>5220.7651338898904</v>
      </c>
      <c r="G241" s="48">
        <f>Funktional!T219</f>
        <v>93973.77241001802</v>
      </c>
      <c r="H241" s="48">
        <f>Artengliederung!R219</f>
        <v>297.33870308894507</v>
      </c>
      <c r="I241" s="186">
        <f>Artengliederung!Q219</f>
        <v>5352.0966556010108</v>
      </c>
      <c r="J241" s="48">
        <f>Funktional!Z219</f>
        <v>501.47496020063915</v>
      </c>
      <c r="K241" s="48">
        <f>Funktional!Y219</f>
        <v>9026.5492836115045</v>
      </c>
      <c r="L241" s="48">
        <f>'Kennzahlen Revision'!O219</f>
        <v>152.8189146476526</v>
      </c>
      <c r="M241" s="48">
        <f>'Kennzahlen Revision'!N219</f>
        <v>2750.7404636577467</v>
      </c>
      <c r="N241" s="80">
        <f>Funktional!AG219</f>
        <v>490.2645972447574</v>
      </c>
      <c r="O241" s="43">
        <f>Funktional!AF219</f>
        <v>8824.7627504056327</v>
      </c>
      <c r="P241" s="43">
        <f>Funktional!AL219</f>
        <v>1072.2339926875363</v>
      </c>
      <c r="Q241" s="43">
        <f>Funktional!AK219</f>
        <v>19300.211868375653</v>
      </c>
      <c r="R241" s="80">
        <f>Funktional!AU219</f>
        <v>621.68494109732148</v>
      </c>
      <c r="S241" s="43">
        <f>Funktional!AT219</f>
        <v>11190.328939751787</v>
      </c>
      <c r="T241" s="80">
        <f>Funktional!AQ219</f>
        <v>23.09571814752853</v>
      </c>
      <c r="U241" s="43">
        <f>Funktional!AP219</f>
        <v>415.72292665551356</v>
      </c>
      <c r="V241" s="80">
        <f t="shared" si="48"/>
        <v>184.77807380553992</v>
      </c>
      <c r="W241" s="183">
        <f t="shared" si="48"/>
        <v>3326.0053284997316</v>
      </c>
      <c r="X241" s="172">
        <f>Funktional!S219</f>
        <v>0.64340322587941245</v>
      </c>
      <c r="Y241" s="42">
        <f>Funktional!X219</f>
        <v>6.180140244126258E-2</v>
      </c>
      <c r="Z241" s="42">
        <f>'Kennzahlen Revision'!L219</f>
        <v>1.8833289783796663E-2</v>
      </c>
      <c r="AA241" s="42">
        <f>Funktional!AE219</f>
        <v>6.0419845618820488E-2</v>
      </c>
      <c r="AB241" s="42">
        <f>Funktional!AJ219</f>
        <v>0.13214132260316946</v>
      </c>
      <c r="AC241" s="42">
        <f>Funktional!AS219</f>
        <v>7.6615991396770888E-2</v>
      </c>
      <c r="AD241" s="42">
        <f>Funktional!AO219</f>
        <v>2.8462991877686241E-3</v>
      </c>
      <c r="AE241" s="202">
        <f>Funktional!AV219</f>
        <v>2.277191287279548E-2</v>
      </c>
      <c r="AF241" s="176"/>
      <c r="AG241" s="177"/>
      <c r="AH241" s="177">
        <f>Artengliederung!AN219</f>
        <v>0.25797670452581489</v>
      </c>
      <c r="AI241" s="178" t="str">
        <f t="shared" si="45"/>
        <v>Salmsach-Hungerbühl</v>
      </c>
    </row>
    <row r="242" spans="1:35" x14ac:dyDescent="0.25">
      <c r="A242" s="41" t="str">
        <f>Funktional!A220</f>
        <v>Scherzingen</v>
      </c>
      <c r="B242" s="41" t="str">
        <f>Funktional!B220</f>
        <v>KiGa</v>
      </c>
      <c r="C242" s="352">
        <f>Funktional!D220</f>
        <v>31</v>
      </c>
      <c r="D242" s="348">
        <f>Funktional!G220</f>
        <v>7409.7719728788552</v>
      </c>
      <c r="E242" s="186">
        <f>Funktional!F220</f>
        <v>114851.46557962225</v>
      </c>
      <c r="F242" s="48">
        <f>Funktional!U220</f>
        <v>4929.5890177168321</v>
      </c>
      <c r="G242" s="48">
        <f>Funktional!T220</f>
        <v>76408.629774610905</v>
      </c>
      <c r="H242" s="48">
        <f>Artengliederung!R220</f>
        <v>212.64671558742765</v>
      </c>
      <c r="I242" s="186">
        <f>Artengliederung!Q220</f>
        <v>3296.0240916051284</v>
      </c>
      <c r="J242" s="48">
        <f>Funktional!Z220</f>
        <v>330.08756314825371</v>
      </c>
      <c r="K242" s="48">
        <f>Funktional!Y220</f>
        <v>5116.3572287979323</v>
      </c>
      <c r="L242" s="48">
        <f>'Kennzahlen Revision'!O220</f>
        <v>92.501339207147154</v>
      </c>
      <c r="M242" s="48">
        <f>'Kennzahlen Revision'!N220</f>
        <v>1433.7707577107808</v>
      </c>
      <c r="N242" s="80">
        <f>Funktional!AG220</f>
        <v>436.42060131467525</v>
      </c>
      <c r="O242" s="43">
        <f>Funktional!AF220</f>
        <v>6764.5193203774661</v>
      </c>
      <c r="P242" s="43">
        <f>Funktional!AL220</f>
        <v>933.59211446290237</v>
      </c>
      <c r="Q242" s="43">
        <f>Funktional!AK220</f>
        <v>14470.677774174987</v>
      </c>
      <c r="R242" s="80">
        <f>Funktional!AU220</f>
        <v>424.56895686184015</v>
      </c>
      <c r="S242" s="43">
        <f>Funktional!AT220</f>
        <v>6580.8188313585224</v>
      </c>
      <c r="T242" s="80">
        <f>Funktional!AQ220</f>
        <v>38.42223585237852</v>
      </c>
      <c r="U242" s="43">
        <f>Funktional!AP220</f>
        <v>595.54465571186711</v>
      </c>
      <c r="V242" s="80">
        <f t="shared" si="48"/>
        <v>317.09148352197326</v>
      </c>
      <c r="W242" s="183">
        <f t="shared" si="48"/>
        <v>4914.9179945905707</v>
      </c>
      <c r="X242" s="172">
        <f>Funktional!S220</f>
        <v>0.66528214846017475</v>
      </c>
      <c r="Y242" s="42">
        <f>Funktional!X220</f>
        <v>4.454760070302239E-2</v>
      </c>
      <c r="Z242" s="42">
        <f>'Kennzahlen Revision'!L220</f>
        <v>1.2483695793300964E-2</v>
      </c>
      <c r="AA242" s="42">
        <f>Funktional!AE220</f>
        <v>5.8897979979958347E-2</v>
      </c>
      <c r="AB242" s="42">
        <f>Funktional!AJ220</f>
        <v>0.12599471588059974</v>
      </c>
      <c r="AC242" s="42">
        <f>Funktional!AS220</f>
        <v>5.7298518553046109E-2</v>
      </c>
      <c r="AD242" s="42">
        <f>Funktional!AO220</f>
        <v>5.1853465927171657E-3</v>
      </c>
      <c r="AE242" s="202">
        <f>Funktional!AV220</f>
        <v>4.2793689830481506E-2</v>
      </c>
      <c r="AF242" s="176"/>
      <c r="AG242" s="177"/>
      <c r="AH242" s="177">
        <f>Artengliederung!AN220</f>
        <v>6.996934075279912E-2</v>
      </c>
      <c r="AI242" s="178" t="str">
        <f t="shared" si="45"/>
        <v>Scherzingen</v>
      </c>
    </row>
    <row r="243" spans="1:35" x14ac:dyDescent="0.25">
      <c r="A243" s="41" t="str">
        <f>Funktional!A221</f>
        <v>Schlatt</v>
      </c>
      <c r="B243" s="41" t="str">
        <f>Funktional!B221</f>
        <v>KiGa</v>
      </c>
      <c r="C243" s="352">
        <f>Funktional!D221</f>
        <v>57</v>
      </c>
      <c r="D243" s="348">
        <f>Funktional!G221</f>
        <v>7719.6632684167816</v>
      </c>
      <c r="E243" s="186">
        <f>Funktional!F221</f>
        <v>176008.32251990263</v>
      </c>
      <c r="F243" s="48">
        <f>Funktional!U221</f>
        <v>4404.910378977911</v>
      </c>
      <c r="G243" s="48">
        <f>Funktional!T221</f>
        <v>100431.95664069636</v>
      </c>
      <c r="H243" s="48">
        <f>Artengliederung!R221</f>
        <v>254.48627703236053</v>
      </c>
      <c r="I243" s="186">
        <f>Artengliederung!Q221</f>
        <v>5802.2871163378204</v>
      </c>
      <c r="J243" s="48">
        <f>Funktional!Z221</f>
        <v>488.56018739554025</v>
      </c>
      <c r="K243" s="48">
        <f>Funktional!Y221</f>
        <v>11139.172272618318</v>
      </c>
      <c r="L243" s="48">
        <f>'Kennzahlen Revision'!O221</f>
        <v>99.159480246107933</v>
      </c>
      <c r="M243" s="48">
        <f>'Kennzahlen Revision'!N221</f>
        <v>2260.8361496112607</v>
      </c>
      <c r="N243" s="80">
        <f>Funktional!AG221</f>
        <v>1403.9952041994472</v>
      </c>
      <c r="O243" s="43">
        <f>Funktional!AF221</f>
        <v>32011.090655747401</v>
      </c>
      <c r="P243" s="43">
        <f>Funktional!AL221</f>
        <v>782.08143035737589</v>
      </c>
      <c r="Q243" s="43">
        <f>Funktional!AK221</f>
        <v>17831.456612148169</v>
      </c>
      <c r="R243" s="80">
        <f>Funktional!AU221</f>
        <v>503.50796896301011</v>
      </c>
      <c r="S243" s="43">
        <f>Funktional!AT221</f>
        <v>11479.98169235663</v>
      </c>
      <c r="T243" s="80">
        <f>Funktional!AQ221</f>
        <v>12.256805466716958</v>
      </c>
      <c r="U243" s="43">
        <f>Funktional!AP221</f>
        <v>279.45516464114667</v>
      </c>
      <c r="V243" s="80">
        <f t="shared" si="48"/>
        <v>124.35129305678022</v>
      </c>
      <c r="W243" s="183">
        <f t="shared" si="48"/>
        <v>2835.2094816946092</v>
      </c>
      <c r="X243" s="172">
        <f>Funktional!S221</f>
        <v>0.57060913485690279</v>
      </c>
      <c r="Y243" s="42">
        <f>Funktional!X221</f>
        <v>6.3287758857872897E-2</v>
      </c>
      <c r="Z243" s="42">
        <f>'Kennzahlen Revision'!L221</f>
        <v>1.2845052536397025E-2</v>
      </c>
      <c r="AA243" s="42">
        <f>Funktional!AE221</f>
        <v>0.18187259669000969</v>
      </c>
      <c r="AB243" s="42">
        <f>Funktional!AJ221</f>
        <v>0.10131030372232444</v>
      </c>
      <c r="AC243" s="42">
        <f>Funktional!AS221</f>
        <v>6.5224084452361622E-2</v>
      </c>
      <c r="AD243" s="42">
        <f>Funktional!AO221</f>
        <v>1.5877383560061287E-3</v>
      </c>
      <c r="AE243" s="202">
        <f>Funktional!AV221</f>
        <v>1.6108383064522391E-2</v>
      </c>
      <c r="AF243" s="176"/>
      <c r="AG243" s="177"/>
      <c r="AH243" s="177">
        <f>Artengliederung!AN221</f>
        <v>0.16885006570138653</v>
      </c>
      <c r="AI243" s="178" t="str">
        <f t="shared" si="45"/>
        <v>Schlatt</v>
      </c>
    </row>
    <row r="244" spans="1:35" x14ac:dyDescent="0.25">
      <c r="A244" s="41" t="str">
        <f>Funktional!A222</f>
        <v>Schlattingen</v>
      </c>
      <c r="B244" s="41" t="str">
        <f>Funktional!B222</f>
        <v>KiGa</v>
      </c>
      <c r="C244" s="352">
        <f>Funktional!D222</f>
        <v>17</v>
      </c>
      <c r="D244" s="348">
        <f>Funktional!G222</f>
        <v>8027.4508367186763</v>
      </c>
      <c r="E244" s="186">
        <f>Funktional!F222</f>
        <v>136466.6642242175</v>
      </c>
      <c r="F244" s="48">
        <f>Funktional!U222</f>
        <v>5579.8650245955823</v>
      </c>
      <c r="G244" s="48">
        <f>Funktional!T222</f>
        <v>94857.705418124897</v>
      </c>
      <c r="H244" s="48">
        <f>Artengliederung!R222</f>
        <v>357.57460685161101</v>
      </c>
      <c r="I244" s="186">
        <f>Artengliederung!Q222</f>
        <v>6078.7683164773871</v>
      </c>
      <c r="J244" s="48">
        <f>Funktional!Z222</f>
        <v>509.88189625411337</v>
      </c>
      <c r="K244" s="48">
        <f>Funktional!Y222</f>
        <v>8667.9922363199275</v>
      </c>
      <c r="L244" s="48">
        <f>'Kennzahlen Revision'!O222</f>
        <v>142.65258310360207</v>
      </c>
      <c r="M244" s="48">
        <f>'Kennzahlen Revision'!N222</f>
        <v>2425.0939127612351</v>
      </c>
      <c r="N244" s="80">
        <f>Funktional!AG222</f>
        <v>529.8773754116603</v>
      </c>
      <c r="O244" s="43">
        <f>Funktional!AF222</f>
        <v>9007.9153819982257</v>
      </c>
      <c r="P244" s="43">
        <f>Funktional!AL222</f>
        <v>649.63678462107509</v>
      </c>
      <c r="Q244" s="43">
        <f>Funktional!AK222</f>
        <v>11043.825338558276</v>
      </c>
      <c r="R244" s="80">
        <f>Funktional!AU222</f>
        <v>426.30441613541126</v>
      </c>
      <c r="S244" s="43">
        <f>Funktional!AT222</f>
        <v>7247.1750743019911</v>
      </c>
      <c r="T244" s="80">
        <f>Funktional!AQ222</f>
        <v>90.641861815059286</v>
      </c>
      <c r="U244" s="43">
        <f>Funktional!AP222</f>
        <v>1540.9116508560078</v>
      </c>
      <c r="V244" s="80">
        <f t="shared" si="48"/>
        <v>241.24347788577469</v>
      </c>
      <c r="W244" s="183">
        <f t="shared" si="48"/>
        <v>4101.1391240581761</v>
      </c>
      <c r="X244" s="172">
        <f>Funktional!S222</f>
        <v>0.69509800036052583</v>
      </c>
      <c r="Y244" s="42">
        <f>Funktional!X222</f>
        <v>6.3517286698517375E-2</v>
      </c>
      <c r="Z244" s="42">
        <f>'Kennzahlen Revision'!L222</f>
        <v>1.7770595672923876E-2</v>
      </c>
      <c r="AA244" s="42">
        <f>Funktional!AE222</f>
        <v>6.6008174474009543E-2</v>
      </c>
      <c r="AB244" s="42">
        <f>Funktional!AJ222</f>
        <v>8.092690915645924E-2</v>
      </c>
      <c r="AC244" s="42">
        <f>Funktional!AS222</f>
        <v>5.3105827093382567E-2</v>
      </c>
      <c r="AD244" s="42">
        <f>Funktional!AO222</f>
        <v>1.1291487628980646E-2</v>
      </c>
      <c r="AE244" s="202">
        <f>Funktional!AV222</f>
        <v>3.005231458812483E-2</v>
      </c>
      <c r="AF244" s="176"/>
      <c r="AG244" s="177"/>
      <c r="AH244" s="177">
        <f>Artengliederung!AN222</f>
        <v>0.42537052970438172</v>
      </c>
      <c r="AI244" s="178" t="str">
        <f t="shared" si="45"/>
        <v>Schlattingen</v>
      </c>
    </row>
    <row r="245" spans="1:35" hidden="1" x14ac:dyDescent="0.25">
      <c r="A245" s="41" t="str">
        <f>Funktional!A223</f>
        <v>Schmidshof</v>
      </c>
      <c r="B245" s="41" t="str">
        <f>Funktional!B223</f>
        <v>KiGa</v>
      </c>
      <c r="C245" s="352">
        <f>Funktional!D223</f>
        <v>0</v>
      </c>
      <c r="D245" s="348">
        <f>Funktional!G223</f>
        <v>0</v>
      </c>
      <c r="E245" s="186">
        <f>Funktional!F223</f>
        <v>0</v>
      </c>
      <c r="F245" s="48">
        <f>Funktional!U223</f>
        <v>0</v>
      </c>
      <c r="G245" s="48">
        <f>Funktional!T223</f>
        <v>0</v>
      </c>
      <c r="H245" s="48">
        <f>Artengliederung!R223</f>
        <v>0</v>
      </c>
      <c r="I245" s="186">
        <f>Artengliederung!Q223</f>
        <v>0</v>
      </c>
      <c r="J245" s="48">
        <f>Funktional!Z223</f>
        <v>0</v>
      </c>
      <c r="K245" s="48">
        <f>Funktional!Y223</f>
        <v>0</v>
      </c>
      <c r="L245" s="48">
        <f>'Kennzahlen Revision'!O223</f>
        <v>0</v>
      </c>
      <c r="M245" s="48">
        <f>'Kennzahlen Revision'!N223</f>
        <v>0</v>
      </c>
      <c r="N245" s="80">
        <f>Funktional!AG223</f>
        <v>0</v>
      </c>
      <c r="O245" s="43">
        <f>Funktional!AF223</f>
        <v>0</v>
      </c>
      <c r="P245" s="43">
        <f>Funktional!AL223</f>
        <v>0</v>
      </c>
      <c r="Q245" s="43">
        <f>Funktional!AK223</f>
        <v>0</v>
      </c>
      <c r="R245" s="80">
        <f>Funktional!AU223</f>
        <v>0</v>
      </c>
      <c r="S245" s="43">
        <f>Funktional!AT223</f>
        <v>0</v>
      </c>
      <c r="T245" s="80">
        <f>Funktional!AQ223</f>
        <v>0</v>
      </c>
      <c r="U245" s="43">
        <f>Funktional!AP223</f>
        <v>0</v>
      </c>
      <c r="V245" s="80">
        <f t="shared" si="48"/>
        <v>0</v>
      </c>
      <c r="W245" s="183">
        <f t="shared" si="48"/>
        <v>0</v>
      </c>
      <c r="X245" s="172">
        <f>Funktional!S223</f>
        <v>0</v>
      </c>
      <c r="Y245" s="42">
        <f>Funktional!X223</f>
        <v>0</v>
      </c>
      <c r="Z245" s="42">
        <f>'Kennzahlen Revision'!L223</f>
        <v>0</v>
      </c>
      <c r="AA245" s="42">
        <f>Funktional!AE223</f>
        <v>0</v>
      </c>
      <c r="AB245" s="42">
        <f>Funktional!AJ223</f>
        <v>0</v>
      </c>
      <c r="AC245" s="42">
        <f>Funktional!AS223</f>
        <v>0</v>
      </c>
      <c r="AD245" s="42">
        <f>Funktional!AO223</f>
        <v>0</v>
      </c>
      <c r="AE245" s="202">
        <f>Funktional!AV223</f>
        <v>0</v>
      </c>
      <c r="AF245" s="176"/>
      <c r="AG245" s="177"/>
      <c r="AH245" s="177">
        <f>Artengliederung!AN223</f>
        <v>0</v>
      </c>
      <c r="AI245" s="178" t="str">
        <f t="shared" si="45"/>
        <v>Schmidshof</v>
      </c>
    </row>
    <row r="246" spans="1:35" x14ac:dyDescent="0.25">
      <c r="A246" s="41" t="str">
        <f>Funktional!A224</f>
        <v>Schönenberg-Kradolf</v>
      </c>
      <c r="B246" s="41" t="str">
        <f>Funktional!B224</f>
        <v>KiGa</v>
      </c>
      <c r="C246" s="352">
        <f>Funktional!D224</f>
        <v>70</v>
      </c>
      <c r="D246" s="348">
        <f>Funktional!G224</f>
        <v>7910.9683211949159</v>
      </c>
      <c r="E246" s="186">
        <f>Funktional!F224</f>
        <v>138441.94562091102</v>
      </c>
      <c r="F246" s="48">
        <f>Funktional!U224</f>
        <v>4686.8490127282239</v>
      </c>
      <c r="G246" s="48">
        <f>Funktional!T224</f>
        <v>82019.857722743924</v>
      </c>
      <c r="H246" s="48">
        <f>Artengliederung!R224</f>
        <v>213.31115718281166</v>
      </c>
      <c r="I246" s="186">
        <f>Artengliederung!Q224</f>
        <v>3732.9452506992038</v>
      </c>
      <c r="J246" s="48">
        <f>Funktional!Z224</f>
        <v>314.86817403703895</v>
      </c>
      <c r="K246" s="48">
        <f>Funktional!Y224</f>
        <v>5510.1930456481814</v>
      </c>
      <c r="L246" s="48">
        <f>'Kennzahlen Revision'!O224</f>
        <v>152.55755422772737</v>
      </c>
      <c r="M246" s="48">
        <f>'Kennzahlen Revision'!N224</f>
        <v>2669.757198985229</v>
      </c>
      <c r="N246" s="80">
        <f>Funktional!AG224</f>
        <v>701.72954253702403</v>
      </c>
      <c r="O246" s="43">
        <f>Funktional!AF224</f>
        <v>12280.26699439792</v>
      </c>
      <c r="P246" s="43">
        <f>Funktional!AL224</f>
        <v>667.51078694876969</v>
      </c>
      <c r="Q246" s="43">
        <f>Funktional!AK224</f>
        <v>11681.438771603469</v>
      </c>
      <c r="R246" s="80">
        <f>Funktional!AU224</f>
        <v>525.59108660577522</v>
      </c>
      <c r="S246" s="43">
        <f>Funktional!AT224</f>
        <v>9197.8440156010656</v>
      </c>
      <c r="T246" s="80">
        <f>Funktional!AQ224</f>
        <v>52.827217871253815</v>
      </c>
      <c r="U246" s="43">
        <f>Funktional!AP224</f>
        <v>924.47631274694174</v>
      </c>
      <c r="V246" s="80">
        <f t="shared" si="48"/>
        <v>961.59250046683053</v>
      </c>
      <c r="W246" s="183">
        <f t="shared" si="48"/>
        <v>16827.868758169523</v>
      </c>
      <c r="X246" s="172">
        <f>Funktional!S224</f>
        <v>0.59244947298945794</v>
      </c>
      <c r="Y246" s="42">
        <f>Funktional!X224</f>
        <v>3.9801470724317035E-2</v>
      </c>
      <c r="Z246" s="42">
        <f>'Kennzahlen Revision'!L224</f>
        <v>1.9284308574336984E-2</v>
      </c>
      <c r="AA246" s="42">
        <f>Funktional!AE224</f>
        <v>8.8703369049900449E-2</v>
      </c>
      <c r="AB246" s="42">
        <f>Funktional!AJ224</f>
        <v>8.4377886479508141E-2</v>
      </c>
      <c r="AC246" s="42">
        <f>Funktional!AS224</f>
        <v>6.6438274717599555E-2</v>
      </c>
      <c r="AD246" s="42">
        <f>Funktional!AO224</f>
        <v>6.6777182926798153E-3</v>
      </c>
      <c r="AE246" s="202">
        <f>Funktional!AV224</f>
        <v>0.12155180774653701</v>
      </c>
      <c r="AF246" s="176"/>
      <c r="AG246" s="177"/>
      <c r="AH246" s="177">
        <f>Artengliederung!AN224</f>
        <v>0.57849480739652981</v>
      </c>
      <c r="AI246" s="178" t="str">
        <f t="shared" si="45"/>
        <v>Schönenberg-Kradolf</v>
      </c>
    </row>
    <row r="247" spans="1:35" x14ac:dyDescent="0.25">
      <c r="A247" s="41" t="str">
        <f>Funktional!A225</f>
        <v>Schönholzerswilen</v>
      </c>
      <c r="B247" s="41" t="str">
        <f>Funktional!B225</f>
        <v>KiGa</v>
      </c>
      <c r="C247" s="352">
        <f>Funktional!D225</f>
        <v>22</v>
      </c>
      <c r="D247" s="348">
        <f>Funktional!G225</f>
        <v>9384.7914315358285</v>
      </c>
      <c r="E247" s="186">
        <f>Funktional!F225</f>
        <v>206465.41149378821</v>
      </c>
      <c r="F247" s="48">
        <f>Funktional!U225</f>
        <v>4776.3625642635234</v>
      </c>
      <c r="G247" s="48">
        <f>Funktional!T225</f>
        <v>105079.97641379751</v>
      </c>
      <c r="H247" s="48">
        <f>Artengliederung!R225</f>
        <v>216.08275571851115</v>
      </c>
      <c r="I247" s="186">
        <f>Artengliederung!Q225</f>
        <v>4753.8206258072451</v>
      </c>
      <c r="J247" s="48">
        <f>Funktional!Z225</f>
        <v>308.58901521564718</v>
      </c>
      <c r="K247" s="48">
        <f>Funktional!Y225</f>
        <v>6788.9583347442376</v>
      </c>
      <c r="L247" s="48">
        <f>'Kennzahlen Revision'!O225</f>
        <v>129.48750415351745</v>
      </c>
      <c r="M247" s="48">
        <f>'Kennzahlen Revision'!N225</f>
        <v>2848.7250913773837</v>
      </c>
      <c r="N247" s="80">
        <f>Funktional!AG225</f>
        <v>660.43941903912139</v>
      </c>
      <c r="O247" s="43">
        <f>Funktional!AF225</f>
        <v>14529.66721886067</v>
      </c>
      <c r="P247" s="43">
        <f>Funktional!AL225</f>
        <v>626.27259494876319</v>
      </c>
      <c r="Q247" s="43">
        <f>Funktional!AK225</f>
        <v>13777.997088872791</v>
      </c>
      <c r="R247" s="80">
        <f>Funktional!AU225</f>
        <v>852.94578575511377</v>
      </c>
      <c r="S247" s="43">
        <f>Funktional!AT225</f>
        <v>18764.807286612504</v>
      </c>
      <c r="T247" s="80">
        <f>Funktional!AQ225</f>
        <v>36.12073254855526</v>
      </c>
      <c r="U247" s="43">
        <f>Funktional!AP225</f>
        <v>794.65611606821574</v>
      </c>
      <c r="V247" s="80">
        <f t="shared" si="48"/>
        <v>2124.0613197651046</v>
      </c>
      <c r="W247" s="183">
        <f t="shared" si="48"/>
        <v>46729.349034832281</v>
      </c>
      <c r="X247" s="172">
        <f>Funktional!S225</f>
        <v>0.50894711929488967</v>
      </c>
      <c r="Y247" s="42">
        <f>Funktional!X225</f>
        <v>3.2881819214297267E-2</v>
      </c>
      <c r="Z247" s="42">
        <f>'Kennzahlen Revision'!L225</f>
        <v>1.3797589972900093E-2</v>
      </c>
      <c r="AA247" s="42">
        <f>Funktional!AE225</f>
        <v>7.0373372051704727E-2</v>
      </c>
      <c r="AB247" s="42">
        <f>Funktional!AJ225</f>
        <v>6.6732713190012075E-2</v>
      </c>
      <c r="AC247" s="42">
        <f>Funktional!AS225</f>
        <v>9.0885960756565118E-2</v>
      </c>
      <c r="AD247" s="42">
        <f>Funktional!AO225</f>
        <v>3.8488583163583507E-3</v>
      </c>
      <c r="AE247" s="202">
        <f>Funktional!AV225</f>
        <v>0.22633015717617277</v>
      </c>
      <c r="AF247" s="176"/>
      <c r="AG247" s="177"/>
      <c r="AH247" s="177">
        <f>Artengliederung!AN225</f>
        <v>0.57554999098523141</v>
      </c>
      <c r="AI247" s="178" t="str">
        <f t="shared" si="45"/>
        <v>Schönholzerswilen</v>
      </c>
    </row>
    <row r="248" spans="1:35" hidden="1" x14ac:dyDescent="0.25">
      <c r="A248" s="41" t="str">
        <f>Funktional!A226</f>
        <v>Schurten</v>
      </c>
      <c r="B248" s="41" t="str">
        <f>Funktional!B226</f>
        <v>KiGa</v>
      </c>
      <c r="C248" s="352">
        <f>Funktional!D226</f>
        <v>0</v>
      </c>
      <c r="D248" s="348">
        <f>Funktional!G226</f>
        <v>0</v>
      </c>
      <c r="E248" s="186">
        <f>Funktional!F226</f>
        <v>0</v>
      </c>
      <c r="F248" s="48">
        <f>Funktional!U226</f>
        <v>0</v>
      </c>
      <c r="G248" s="48">
        <f>Funktional!T226</f>
        <v>0</v>
      </c>
      <c r="H248" s="48">
        <f>Artengliederung!R226</f>
        <v>0</v>
      </c>
      <c r="I248" s="186">
        <f>Artengliederung!Q226</f>
        <v>0</v>
      </c>
      <c r="J248" s="48">
        <f>Funktional!Z226</f>
        <v>0</v>
      </c>
      <c r="K248" s="48">
        <f>Funktional!Y226</f>
        <v>0</v>
      </c>
      <c r="L248" s="48">
        <f>'Kennzahlen Revision'!O226</f>
        <v>0</v>
      </c>
      <c r="M248" s="48">
        <f>'Kennzahlen Revision'!N226</f>
        <v>0</v>
      </c>
      <c r="N248" s="80">
        <f>Funktional!AG226</f>
        <v>0</v>
      </c>
      <c r="O248" s="43">
        <f>Funktional!AF226</f>
        <v>0</v>
      </c>
      <c r="P248" s="43">
        <f>Funktional!AL226</f>
        <v>0</v>
      </c>
      <c r="Q248" s="43">
        <f>Funktional!AK226</f>
        <v>0</v>
      </c>
      <c r="R248" s="80">
        <f>Funktional!AU226</f>
        <v>0</v>
      </c>
      <c r="S248" s="43">
        <f>Funktional!AT226</f>
        <v>0</v>
      </c>
      <c r="T248" s="80">
        <f>Funktional!AQ226</f>
        <v>0</v>
      </c>
      <c r="U248" s="43">
        <f>Funktional!AP226</f>
        <v>0</v>
      </c>
      <c r="V248" s="80">
        <f t="shared" si="48"/>
        <v>0</v>
      </c>
      <c r="W248" s="183">
        <f t="shared" si="48"/>
        <v>0</v>
      </c>
      <c r="X248" s="172">
        <f>Funktional!S226</f>
        <v>0</v>
      </c>
      <c r="Y248" s="42">
        <f>Funktional!X226</f>
        <v>0</v>
      </c>
      <c r="Z248" s="42">
        <f>'Kennzahlen Revision'!L226</f>
        <v>0</v>
      </c>
      <c r="AA248" s="42">
        <f>Funktional!AE226</f>
        <v>0</v>
      </c>
      <c r="AB248" s="42">
        <f>Funktional!AJ226</f>
        <v>0</v>
      </c>
      <c r="AC248" s="42">
        <f>Funktional!AS226</f>
        <v>0</v>
      </c>
      <c r="AD248" s="42">
        <f>Funktional!AO226</f>
        <v>0</v>
      </c>
      <c r="AE248" s="202">
        <f>Funktional!AV226</f>
        <v>0</v>
      </c>
      <c r="AF248" s="176"/>
      <c r="AG248" s="177"/>
      <c r="AH248" s="177">
        <f>Artengliederung!AN226</f>
        <v>0</v>
      </c>
      <c r="AI248" s="178" t="str">
        <f t="shared" si="45"/>
        <v>Schurten</v>
      </c>
    </row>
    <row r="249" spans="1:35" x14ac:dyDescent="0.25">
      <c r="A249" s="41" t="str">
        <f>Funktional!A227</f>
        <v>Sirnach</v>
      </c>
      <c r="B249" s="41" t="str">
        <f>Funktional!B227</f>
        <v>KiGa</v>
      </c>
      <c r="C249" s="352">
        <f>Funktional!D227</f>
        <v>139</v>
      </c>
      <c r="D249" s="348">
        <f>Funktional!G227</f>
        <v>6187.1497896632809</v>
      </c>
      <c r="E249" s="186">
        <f>Funktional!F227</f>
        <v>143335.63679386603</v>
      </c>
      <c r="F249" s="48">
        <f>Funktional!U227</f>
        <v>4070.1448193096303</v>
      </c>
      <c r="G249" s="48">
        <f>Funktional!T227</f>
        <v>94291.688314006431</v>
      </c>
      <c r="H249" s="48">
        <f>Artengliederung!R227</f>
        <v>137.494901649669</v>
      </c>
      <c r="I249" s="186">
        <f>Artengliederung!Q227</f>
        <v>3185.2985548839988</v>
      </c>
      <c r="J249" s="48">
        <f>Funktional!Z227</f>
        <v>302.18394637657201</v>
      </c>
      <c r="K249" s="48">
        <f>Funktional!Y227</f>
        <v>7000.5947577239176</v>
      </c>
      <c r="L249" s="48">
        <f>'Kennzahlen Revision'!O227</f>
        <v>166.73782906128298</v>
      </c>
      <c r="M249" s="48">
        <f>'Kennzahlen Revision'!N227</f>
        <v>3862.7597065863888</v>
      </c>
      <c r="N249" s="80">
        <f>Funktional!AG227</f>
        <v>373.1811895905837</v>
      </c>
      <c r="O249" s="43">
        <f>Funktional!AF227</f>
        <v>8645.3642255151881</v>
      </c>
      <c r="P249" s="43">
        <f>Funktional!AL227</f>
        <v>692.46627817428816</v>
      </c>
      <c r="Q249" s="43">
        <f>Funktional!AK227</f>
        <v>16042.135444371008</v>
      </c>
      <c r="R249" s="80">
        <f>Funktional!AU227</f>
        <v>253.91930620504507</v>
      </c>
      <c r="S249" s="43">
        <f>Funktional!AT227</f>
        <v>5882.4639270835441</v>
      </c>
      <c r="T249" s="80">
        <f>Funktional!AQ227</f>
        <v>23.118202994995986</v>
      </c>
      <c r="U249" s="43">
        <f>Funktional!AP227</f>
        <v>535.57170271740699</v>
      </c>
      <c r="V249" s="80">
        <f t="shared" ref="V249:W273" si="49">D249-F249-J249-N249-P249-R249-T249</f>
        <v>472.13604701216559</v>
      </c>
      <c r="W249" s="183">
        <f t="shared" si="49"/>
        <v>10937.81842244853</v>
      </c>
      <c r="X249" s="172">
        <f>Funktional!S227</f>
        <v>0.65783841634309881</v>
      </c>
      <c r="Y249" s="42">
        <f>Funktional!X227</f>
        <v>4.8840573874811187E-2</v>
      </c>
      <c r="Z249" s="42">
        <f>'Kennzahlen Revision'!L227</f>
        <v>2.6949053236087442E-2</v>
      </c>
      <c r="AA249" s="42">
        <f>Funktional!AE227</f>
        <v>6.0315525286626856E-2</v>
      </c>
      <c r="AB249" s="42">
        <f>Funktional!AJ227</f>
        <v>0.11192007656436158</v>
      </c>
      <c r="AC249" s="42">
        <f>Funktional!AS227</f>
        <v>4.1039786466663827E-2</v>
      </c>
      <c r="AD249" s="42">
        <f>Funktional!AO227</f>
        <v>3.7364867153562372E-3</v>
      </c>
      <c r="AE249" s="202">
        <f>Funktional!AV227</f>
        <v>7.6309134749081506E-2</v>
      </c>
      <c r="AF249" s="176"/>
      <c r="AG249" s="177"/>
      <c r="AH249" s="177">
        <f>Artengliederung!AN227</f>
        <v>0.26636146936502708</v>
      </c>
      <c r="AI249" s="178" t="str">
        <f t="shared" si="45"/>
        <v>Sirnach</v>
      </c>
    </row>
    <row r="250" spans="1:35" x14ac:dyDescent="0.25">
      <c r="A250" s="41" t="str">
        <f>Funktional!A228</f>
        <v>Sitterdorf</v>
      </c>
      <c r="B250" s="41" t="str">
        <f>Funktional!B228</f>
        <v>KiGa</v>
      </c>
      <c r="C250" s="352">
        <f>Funktional!D228</f>
        <v>38</v>
      </c>
      <c r="D250" s="348">
        <f>Funktional!G228</f>
        <v>7896.2186966880799</v>
      </c>
      <c r="E250" s="186">
        <f>Funktional!F228</f>
        <v>150028.15523707352</v>
      </c>
      <c r="F250" s="48">
        <f>Funktional!U228</f>
        <v>4516.1501386312275</v>
      </c>
      <c r="G250" s="48">
        <f>Funktional!T228</f>
        <v>85806.852633993316</v>
      </c>
      <c r="H250" s="48">
        <f>Artengliederung!R228</f>
        <v>248.75012684647999</v>
      </c>
      <c r="I250" s="186">
        <f>Artengliederung!Q228</f>
        <v>4726.2524100831197</v>
      </c>
      <c r="J250" s="48">
        <f>Funktional!Z228</f>
        <v>344.41129935488402</v>
      </c>
      <c r="K250" s="48">
        <f>Funktional!Y228</f>
        <v>6543.8146877427962</v>
      </c>
      <c r="L250" s="48">
        <f>'Kennzahlen Revision'!O228</f>
        <v>100.28635846795478</v>
      </c>
      <c r="M250" s="48">
        <f>'Kennzahlen Revision'!N228</f>
        <v>1905.4408108911409</v>
      </c>
      <c r="N250" s="80">
        <f>Funktional!AG228</f>
        <v>746.92444067278825</v>
      </c>
      <c r="O250" s="43">
        <f>Funktional!AF228</f>
        <v>14191.564372782977</v>
      </c>
      <c r="P250" s="43">
        <f>Funktional!AL228</f>
        <v>954.34352971087867</v>
      </c>
      <c r="Q250" s="43">
        <f>Funktional!AK228</f>
        <v>18132.527064506696</v>
      </c>
      <c r="R250" s="80">
        <f>Funktional!AU228</f>
        <v>813.5608084388665</v>
      </c>
      <c r="S250" s="43">
        <f>Funktional!AT228</f>
        <v>15457.655360338464</v>
      </c>
      <c r="T250" s="80">
        <f>Funktional!AQ228</f>
        <v>27.536440271208896</v>
      </c>
      <c r="U250" s="43">
        <f>Funktional!AP228</f>
        <v>523.19236515296905</v>
      </c>
      <c r="V250" s="80">
        <f t="shared" si="49"/>
        <v>493.29203960822576</v>
      </c>
      <c r="W250" s="183">
        <f t="shared" si="49"/>
        <v>9372.548752556304</v>
      </c>
      <c r="X250" s="172">
        <f>Funktional!S228</f>
        <v>0.57193833049804477</v>
      </c>
      <c r="Y250" s="42">
        <f>Funktional!X228</f>
        <v>4.3617244225940807E-2</v>
      </c>
      <c r="Z250" s="42">
        <f>'Kennzahlen Revision'!L228</f>
        <v>1.2700554825060507E-2</v>
      </c>
      <c r="AA250" s="42">
        <f>Funktional!AE228</f>
        <v>9.4592673957481915E-2</v>
      </c>
      <c r="AB250" s="42">
        <f>Funktional!AJ228</f>
        <v>0.12086082799494398</v>
      </c>
      <c r="AC250" s="42">
        <f>Funktional!AS228</f>
        <v>0.10303169652331176</v>
      </c>
      <c r="AD250" s="42">
        <f>Funktional!AO228</f>
        <v>3.4872945303248172E-3</v>
      </c>
      <c r="AE250" s="202">
        <f>Funktional!AV228</f>
        <v>6.2471932269951957E-2</v>
      </c>
      <c r="AF250" s="176"/>
      <c r="AG250" s="177"/>
      <c r="AH250" s="177">
        <f>Artengliederung!AN228</f>
        <v>0.45180371625907439</v>
      </c>
      <c r="AI250" s="178" t="str">
        <f t="shared" si="45"/>
        <v>Sitterdorf</v>
      </c>
    </row>
    <row r="251" spans="1:35" x14ac:dyDescent="0.25">
      <c r="A251" s="41" t="str">
        <f>Funktional!A229</f>
        <v>Sommeri</v>
      </c>
      <c r="B251" s="41" t="str">
        <f>Funktional!B229</f>
        <v>KiGa</v>
      </c>
      <c r="C251" s="352">
        <f>Funktional!D229</f>
        <v>13</v>
      </c>
      <c r="D251" s="348">
        <f>Funktional!G229</f>
        <v>10607.234867975365</v>
      </c>
      <c r="E251" s="186">
        <f>Funktional!F229</f>
        <v>275788.10656735947</v>
      </c>
      <c r="F251" s="48">
        <f>Funktional!U229</f>
        <v>5766.2851464617761</v>
      </c>
      <c r="G251" s="48">
        <f>Funktional!T229</f>
        <v>149923.41380800618</v>
      </c>
      <c r="H251" s="48">
        <f>Artengliederung!R229</f>
        <v>227.22701439580158</v>
      </c>
      <c r="I251" s="186">
        <f>Artengliederung!Q229</f>
        <v>5907.9023742908412</v>
      </c>
      <c r="J251" s="48">
        <f>Funktional!Z229</f>
        <v>560.49277703270047</v>
      </c>
      <c r="K251" s="48">
        <f>Funktional!Y229</f>
        <v>14572.812202850211</v>
      </c>
      <c r="L251" s="48">
        <f>'Kennzahlen Revision'!O229</f>
        <v>236.87477775369001</v>
      </c>
      <c r="M251" s="48">
        <f>'Kennzahlen Revision'!N229</f>
        <v>6158.74422159594</v>
      </c>
      <c r="N251" s="80">
        <f>Funktional!AG229</f>
        <v>1072.6933476755928</v>
      </c>
      <c r="O251" s="43">
        <f>Funktional!AF229</f>
        <v>27890.027039565415</v>
      </c>
      <c r="P251" s="43">
        <f>Funktional!AL229</f>
        <v>1323.0721933644058</v>
      </c>
      <c r="Q251" s="43">
        <f>Funktional!AK229</f>
        <v>34399.877027474555</v>
      </c>
      <c r="R251" s="80">
        <f>Funktional!AU229</f>
        <v>1316.6391841400132</v>
      </c>
      <c r="S251" s="43">
        <f>Funktional!AT229</f>
        <v>34232.618787640342</v>
      </c>
      <c r="T251" s="80">
        <f>Funktional!AQ229</f>
        <v>60.612075484032438</v>
      </c>
      <c r="U251" s="43">
        <f>Funktional!AP229</f>
        <v>1575.9139625848434</v>
      </c>
      <c r="V251" s="80">
        <f t="shared" si="49"/>
        <v>507.440143816844</v>
      </c>
      <c r="W251" s="183">
        <f t="shared" si="49"/>
        <v>13193.44373923793</v>
      </c>
      <c r="X251" s="172">
        <f>Funktional!S229</f>
        <v>0.54361812651767982</v>
      </c>
      <c r="Y251" s="42">
        <f>Funktional!X229</f>
        <v>5.2840611526845868E-2</v>
      </c>
      <c r="Z251" s="42">
        <f>'Kennzahlen Revision'!L229</f>
        <v>2.2331435166845045E-2</v>
      </c>
      <c r="AA251" s="42">
        <f>Funktional!AE229</f>
        <v>0.10112846194385636</v>
      </c>
      <c r="AB251" s="42">
        <f>Funktional!AJ229</f>
        <v>0.12473299684905957</v>
      </c>
      <c r="AC251" s="42">
        <f>Funktional!AS229</f>
        <v>0.12412652312575069</v>
      </c>
      <c r="AD251" s="42">
        <f>Funktional!AO229</f>
        <v>5.7142201750456437E-3</v>
      </c>
      <c r="AE251" s="202">
        <f>Funktional!AV229</f>
        <v>4.7839059861762026E-2</v>
      </c>
      <c r="AF251" s="176"/>
      <c r="AG251" s="177"/>
      <c r="AH251" s="177">
        <f>Artengliederung!AN229</f>
        <v>0.55915722101032905</v>
      </c>
      <c r="AI251" s="178" t="str">
        <f t="shared" si="45"/>
        <v>Sommeri</v>
      </c>
    </row>
    <row r="252" spans="1:35" x14ac:dyDescent="0.25">
      <c r="A252" s="41" t="str">
        <f>Funktional!A230</f>
        <v>Sonterswil</v>
      </c>
      <c r="B252" s="41" t="str">
        <f>Funktional!B230</f>
        <v>KiGa</v>
      </c>
      <c r="C252" s="352">
        <f>Funktional!D230</f>
        <v>18</v>
      </c>
      <c r="D252" s="348">
        <f>Funktional!G230</f>
        <v>7716.7343727019424</v>
      </c>
      <c r="E252" s="186">
        <f>Funktional!F230</f>
        <v>138901.21870863496</v>
      </c>
      <c r="F252" s="48">
        <f>Funktional!U230</f>
        <v>4833.7923585242634</v>
      </c>
      <c r="G252" s="48">
        <f>Funktional!T230</f>
        <v>87008.262453436735</v>
      </c>
      <c r="H252" s="48">
        <f>Artengliederung!R230</f>
        <v>229.70520823671353</v>
      </c>
      <c r="I252" s="186">
        <f>Artengliederung!Q230</f>
        <v>4134.6937482608437</v>
      </c>
      <c r="J252" s="48">
        <f>Funktional!Z230</f>
        <v>233.01843877426043</v>
      </c>
      <c r="K252" s="48">
        <f>Funktional!Y230</f>
        <v>4194.3318979366877</v>
      </c>
      <c r="L252" s="48">
        <f>'Kennzahlen Revision'!O230</f>
        <v>122.31782308937058</v>
      </c>
      <c r="M252" s="48">
        <f>'Kennzahlen Revision'!N230</f>
        <v>2201.7208156086704</v>
      </c>
      <c r="N252" s="80">
        <f>Funktional!AG230</f>
        <v>566.73261189406253</v>
      </c>
      <c r="O252" s="43">
        <f>Funktional!AF230</f>
        <v>10201.187014093126</v>
      </c>
      <c r="P252" s="43">
        <f>Funktional!AL230</f>
        <v>1307.9323400860007</v>
      </c>
      <c r="Q252" s="43">
        <f>Funktional!AK230</f>
        <v>23542.782121548014</v>
      </c>
      <c r="R252" s="80">
        <f>Funktional!AU230</f>
        <v>36.38880592183537</v>
      </c>
      <c r="S252" s="43">
        <f>Funktional!AT230</f>
        <v>654.99850659303661</v>
      </c>
      <c r="T252" s="80">
        <f>Funktional!AQ230</f>
        <v>74.289913976984806</v>
      </c>
      <c r="U252" s="43">
        <f>Funktional!AP230</f>
        <v>1337.2184515857266</v>
      </c>
      <c r="V252" s="80">
        <f t="shared" si="49"/>
        <v>664.57990352453521</v>
      </c>
      <c r="W252" s="183">
        <f t="shared" si="49"/>
        <v>11962.438263441631</v>
      </c>
      <c r="X252" s="172">
        <f>Funktional!S230</f>
        <v>0.62640388084678311</v>
      </c>
      <c r="Y252" s="42">
        <f>Funktional!X230</f>
        <v>3.0196508979052912E-2</v>
      </c>
      <c r="Z252" s="42">
        <f>'Kennzahlen Revision'!L230</f>
        <v>1.5850982706113563E-2</v>
      </c>
      <c r="AA252" s="42">
        <f>Funktional!AE230</f>
        <v>7.344202670742267E-2</v>
      </c>
      <c r="AB252" s="42">
        <f>Funktional!AJ230</f>
        <v>0.16949298458591888</v>
      </c>
      <c r="AC252" s="42">
        <f>Funktional!AS230</f>
        <v>4.7155706240921405E-3</v>
      </c>
      <c r="AD252" s="42">
        <f>Funktional!AO230</f>
        <v>9.6271182068656449E-3</v>
      </c>
      <c r="AE252" s="202">
        <f>Funktional!AV230</f>
        <v>8.612191004986465E-2</v>
      </c>
      <c r="AF252" s="176"/>
      <c r="AG252" s="177"/>
      <c r="AH252" s="177">
        <f>Artengliederung!AN230</f>
        <v>0.29033609177835068</v>
      </c>
      <c r="AI252" s="178" t="str">
        <f t="shared" si="45"/>
        <v>Sonterswil</v>
      </c>
    </row>
    <row r="253" spans="1:35" x14ac:dyDescent="0.25">
      <c r="A253" s="41" t="str">
        <f>Funktional!A231</f>
        <v>Steckborn</v>
      </c>
      <c r="B253" s="41" t="str">
        <f>Funktional!B231</f>
        <v>KiGa</v>
      </c>
      <c r="C253" s="352">
        <f>Funktional!D231</f>
        <v>64</v>
      </c>
      <c r="D253" s="348">
        <f>Funktional!G231</f>
        <v>9793.7511913620183</v>
      </c>
      <c r="E253" s="186">
        <f>Funktional!F231</f>
        <v>125360.01524943384</v>
      </c>
      <c r="F253" s="48">
        <f>Funktional!U231</f>
        <v>6277.4773525028968</v>
      </c>
      <c r="G253" s="48">
        <f>Funktional!T231</f>
        <v>80351.710112037079</v>
      </c>
      <c r="H253" s="48">
        <f>Artengliederung!R231</f>
        <v>286.85779174100975</v>
      </c>
      <c r="I253" s="186">
        <f>Artengliederung!Q231</f>
        <v>3671.7797342849249</v>
      </c>
      <c r="J253" s="48">
        <f>Funktional!Z231</f>
        <v>728.10435388970211</v>
      </c>
      <c r="K253" s="48">
        <f>Funktional!Y231</f>
        <v>9319.7357297881863</v>
      </c>
      <c r="L253" s="48">
        <f>'Kennzahlen Revision'!O231</f>
        <v>272.45151473735609</v>
      </c>
      <c r="M253" s="48">
        <f>'Kennzahlen Revision'!N231</f>
        <v>3487.3793886381582</v>
      </c>
      <c r="N253" s="80">
        <f>Funktional!AG231</f>
        <v>601.53274462088541</v>
      </c>
      <c r="O253" s="43">
        <f>Funktional!AF231</f>
        <v>7699.6191311473331</v>
      </c>
      <c r="P253" s="43">
        <f>Funktional!AL231</f>
        <v>562.00505684452344</v>
      </c>
      <c r="Q253" s="43">
        <f>Funktional!AK231</f>
        <v>7193.6647276099002</v>
      </c>
      <c r="R253" s="80">
        <f>Funktional!AU231</f>
        <v>337.28197295709856</v>
      </c>
      <c r="S253" s="43">
        <f>Funktional!AT231</f>
        <v>4317.2092538508614</v>
      </c>
      <c r="T253" s="80">
        <f>Funktional!AQ231</f>
        <v>61.129457107573828</v>
      </c>
      <c r="U253" s="43">
        <f>Funktional!AP231</f>
        <v>782.45705097694497</v>
      </c>
      <c r="V253" s="80">
        <f t="shared" si="49"/>
        <v>1226.2202534393382</v>
      </c>
      <c r="W253" s="183">
        <f t="shared" si="49"/>
        <v>15695.619244023537</v>
      </c>
      <c r="X253" s="172">
        <f>Funktional!S231</f>
        <v>0.64096761596716523</v>
      </c>
      <c r="Y253" s="42">
        <f>Funktional!X231</f>
        <v>7.4343766720547502E-2</v>
      </c>
      <c r="Z253" s="42">
        <f>'Kennzahlen Revision'!L231</f>
        <v>2.7818913245177736E-2</v>
      </c>
      <c r="AA253" s="42">
        <f>Funktional!AE231</f>
        <v>6.1420055795518957E-2</v>
      </c>
      <c r="AB253" s="42">
        <f>Funktional!AJ231</f>
        <v>5.7384044771344178E-2</v>
      </c>
      <c r="AC253" s="42">
        <f>Funktional!AS231</f>
        <v>3.4438486986945065E-2</v>
      </c>
      <c r="AD253" s="42">
        <f>Funktional!AO231</f>
        <v>6.241679609084754E-3</v>
      </c>
      <c r="AE253" s="202">
        <f>Funktional!AV231</f>
        <v>0.12520435014939432</v>
      </c>
      <c r="AF253" s="176"/>
      <c r="AG253" s="177"/>
      <c r="AH253" s="177">
        <f>Artengliederung!AN231</f>
        <v>8.2288705671688431E-2</v>
      </c>
      <c r="AI253" s="178" t="str">
        <f t="shared" si="45"/>
        <v>Steckborn</v>
      </c>
    </row>
    <row r="254" spans="1:35" x14ac:dyDescent="0.25">
      <c r="A254" s="41" t="str">
        <f>Funktional!A232</f>
        <v>Steinebrunn</v>
      </c>
      <c r="B254" s="41" t="str">
        <f>Funktional!B232</f>
        <v>KiGa</v>
      </c>
      <c r="C254" s="352">
        <f>Funktional!D232</f>
        <v>19</v>
      </c>
      <c r="D254" s="348">
        <f>Funktional!G232</f>
        <v>6658.5576473097226</v>
      </c>
      <c r="E254" s="186">
        <f>Funktional!F232</f>
        <v>126512.59529888473</v>
      </c>
      <c r="F254" s="48">
        <f>Funktional!U232</f>
        <v>4734.6080361041068</v>
      </c>
      <c r="G254" s="48">
        <f>Funktional!T232</f>
        <v>89957.552685978037</v>
      </c>
      <c r="H254" s="48">
        <f>Artengliederung!R232</f>
        <v>281.01495295223793</v>
      </c>
      <c r="I254" s="186">
        <f>Artengliederung!Q232</f>
        <v>5339.2841060925202</v>
      </c>
      <c r="J254" s="48">
        <f>Funktional!Z232</f>
        <v>302.48411951592078</v>
      </c>
      <c r="K254" s="48">
        <f>Funktional!Y232</f>
        <v>5747.1982708024952</v>
      </c>
      <c r="L254" s="48">
        <f>'Kennzahlen Revision'!O232</f>
        <v>100.58113642165829</v>
      </c>
      <c r="M254" s="48">
        <f>'Kennzahlen Revision'!N232</f>
        <v>1911.0415920115074</v>
      </c>
      <c r="N254" s="80">
        <f>Funktional!AG232</f>
        <v>241.87390293234492</v>
      </c>
      <c r="O254" s="43">
        <f>Funktional!AF232</f>
        <v>4595.6041557145536</v>
      </c>
      <c r="P254" s="43">
        <f>Funktional!AL232</f>
        <v>830.06459755171124</v>
      </c>
      <c r="Q254" s="43">
        <f>Funktional!AK232</f>
        <v>15771.227353482513</v>
      </c>
      <c r="R254" s="80">
        <f>Funktional!AU232</f>
        <v>353.78196222232646</v>
      </c>
      <c r="S254" s="43">
        <f>Funktional!AT232</f>
        <v>6721.8572822242022</v>
      </c>
      <c r="T254" s="80">
        <f>Funktional!AQ232</f>
        <v>49.383883996245324</v>
      </c>
      <c r="U254" s="43">
        <f>Funktional!AP232</f>
        <v>938.29379592866121</v>
      </c>
      <c r="V254" s="80">
        <f t="shared" si="49"/>
        <v>146.36114498706709</v>
      </c>
      <c r="W254" s="183">
        <f t="shared" si="49"/>
        <v>2780.8617547542653</v>
      </c>
      <c r="X254" s="172">
        <f>Funktional!S232</f>
        <v>0.71105610056812307</v>
      </c>
      <c r="Y254" s="42">
        <f>Funktional!X232</f>
        <v>4.5427874254138863E-2</v>
      </c>
      <c r="Z254" s="42">
        <f>'Kennzahlen Revision'!L232</f>
        <v>1.51055441357178E-2</v>
      </c>
      <c r="AA254" s="42">
        <f>Funktional!AE232</f>
        <v>3.6325269787229365E-2</v>
      </c>
      <c r="AB254" s="42">
        <f>Funktional!AJ232</f>
        <v>0.12466132179347951</v>
      </c>
      <c r="AC254" s="42">
        <f>Funktional!AS232</f>
        <v>5.3131921500336646E-2</v>
      </c>
      <c r="AD254" s="42">
        <f>Funktional!AO232</f>
        <v>7.4166038070118756E-3</v>
      </c>
      <c r="AE254" s="202">
        <f>Funktional!AV232</f>
        <v>2.1980908289680662E-2</v>
      </c>
      <c r="AF254" s="176"/>
      <c r="AG254" s="177"/>
      <c r="AH254" s="177">
        <f>Artengliederung!AN232</f>
        <v>0.38819009858293679</v>
      </c>
      <c r="AI254" s="178" t="str">
        <f t="shared" si="45"/>
        <v>Steinebrunn</v>
      </c>
    </row>
    <row r="255" spans="1:35" x14ac:dyDescent="0.25">
      <c r="A255" s="41" t="str">
        <f>Funktional!A233</f>
        <v>Stettfurt</v>
      </c>
      <c r="B255" s="41" t="str">
        <f>Funktional!B233</f>
        <v>KiGa</v>
      </c>
      <c r="C255" s="352">
        <f>Funktional!D233</f>
        <v>30</v>
      </c>
      <c r="D255" s="348">
        <f>Funktional!G233</f>
        <v>8876.8754316198247</v>
      </c>
      <c r="E255" s="186">
        <f>Funktional!F233</f>
        <v>266306.26294859475</v>
      </c>
      <c r="F255" s="48">
        <f>Funktional!U233</f>
        <v>5497.0553370402031</v>
      </c>
      <c r="G255" s="48">
        <f>Funktional!T233</f>
        <v>164911.66011120609</v>
      </c>
      <c r="H255" s="48">
        <f>Artengliederung!R233</f>
        <v>372.33143056221485</v>
      </c>
      <c r="I255" s="186">
        <f>Artengliederung!Q233</f>
        <v>11169.942916866445</v>
      </c>
      <c r="J255" s="48">
        <f>Funktional!Z233</f>
        <v>449.15818983940164</v>
      </c>
      <c r="K255" s="48">
        <f>Funktional!Y233</f>
        <v>13474.74569518205</v>
      </c>
      <c r="L255" s="48">
        <f>'Kennzahlen Revision'!O233</f>
        <v>157.39739777309845</v>
      </c>
      <c r="M255" s="48">
        <f>'Kennzahlen Revision'!N233</f>
        <v>4721.9219331929535</v>
      </c>
      <c r="N255" s="80">
        <f>Funktional!AG233</f>
        <v>713.95573450309735</v>
      </c>
      <c r="O255" s="43">
        <f>Funktional!AF233</f>
        <v>21418.672035092921</v>
      </c>
      <c r="P255" s="43">
        <f>Funktional!AL233</f>
        <v>840.63543661472386</v>
      </c>
      <c r="Q255" s="43">
        <f>Funktional!AK233</f>
        <v>25219.063098441715</v>
      </c>
      <c r="R255" s="80">
        <f>Funktional!AU233</f>
        <v>464.62598008388551</v>
      </c>
      <c r="S255" s="43">
        <f>Funktional!AT233</f>
        <v>13938.779402516566</v>
      </c>
      <c r="T255" s="80">
        <f>Funktional!AQ233</f>
        <v>45.368417802846594</v>
      </c>
      <c r="U255" s="43">
        <f>Funktional!AP233</f>
        <v>1361.0525340853978</v>
      </c>
      <c r="V255" s="80">
        <f t="shared" si="49"/>
        <v>866.07633573566704</v>
      </c>
      <c r="W255" s="183">
        <f t="shared" si="49"/>
        <v>25982.290072070016</v>
      </c>
      <c r="X255" s="172">
        <f>Funktional!S233</f>
        <v>0.61925565807304761</v>
      </c>
      <c r="Y255" s="42">
        <f>Funktional!X233</f>
        <v>5.0598681180033259E-2</v>
      </c>
      <c r="Z255" s="42">
        <f>'Kennzahlen Revision'!L233</f>
        <v>1.77311711745376E-2</v>
      </c>
      <c r="AA255" s="42">
        <f>Funktional!AE233</f>
        <v>8.0428720668981712E-2</v>
      </c>
      <c r="AB255" s="42">
        <f>Funktional!AJ233</f>
        <v>9.4699474279017481E-2</v>
      </c>
      <c r="AC255" s="42">
        <f>Funktional!AS233</f>
        <v>5.2341162570431837E-2</v>
      </c>
      <c r="AD255" s="42">
        <f>Funktional!AO233</f>
        <v>5.110854393792919E-3</v>
      </c>
      <c r="AE255" s="202">
        <f>Funktional!AV233</f>
        <v>9.7565448834695201E-2</v>
      </c>
      <c r="AF255" s="176"/>
      <c r="AG255" s="177"/>
      <c r="AH255" s="177">
        <f>Artengliederung!AN233</f>
        <v>8.365888945077285E-2</v>
      </c>
      <c r="AI255" s="178" t="str">
        <f t="shared" si="45"/>
        <v>Stettfurt</v>
      </c>
    </row>
    <row r="256" spans="1:35" x14ac:dyDescent="0.25">
      <c r="A256" s="41" t="str">
        <f>Funktional!A234&amp;" (inkl. Zezikon)"</f>
        <v>Strohwilen-Wolfikon (inkl. Zezikon)</v>
      </c>
      <c r="B256" s="41" t="str">
        <f>Funktional!B234</f>
        <v>KiGa</v>
      </c>
      <c r="C256" s="352">
        <f>Funktional!D234</f>
        <v>16</v>
      </c>
      <c r="D256" s="348">
        <f>Funktional!G234</f>
        <v>5682.9759733786632</v>
      </c>
      <c r="E256" s="186">
        <f>Funktional!F234</f>
        <v>181855.23114811722</v>
      </c>
      <c r="F256" s="48">
        <f>Funktional!U234</f>
        <v>3885.3267534033648</v>
      </c>
      <c r="G256" s="48">
        <f>Funktional!T234</f>
        <v>124330.45610890767</v>
      </c>
      <c r="H256" s="48">
        <f>Artengliederung!R234</f>
        <v>298.66589806189387</v>
      </c>
      <c r="I256" s="186">
        <f>Artengliederung!Q234</f>
        <v>9557.3087379806038</v>
      </c>
      <c r="J256" s="48">
        <f>Funktional!Z234</f>
        <v>315.29064160356592</v>
      </c>
      <c r="K256" s="48">
        <f>Funktional!Y234</f>
        <v>10089.300531314109</v>
      </c>
      <c r="L256" s="48">
        <f>'Kennzahlen Revision'!O234</f>
        <v>136.75178482687448</v>
      </c>
      <c r="M256" s="48">
        <f>'Kennzahlen Revision'!N234</f>
        <v>4376.0571144599835</v>
      </c>
      <c r="N256" s="80">
        <f>Funktional!AG234</f>
        <v>608.03262328649066</v>
      </c>
      <c r="O256" s="43">
        <f>Funktional!AF234</f>
        <v>19457.043945167701</v>
      </c>
      <c r="P256" s="43">
        <f>Funktional!AL234</f>
        <v>-206.05075178789312</v>
      </c>
      <c r="Q256" s="43">
        <f>Funktional!AK234</f>
        <v>-6593.6240572125798</v>
      </c>
      <c r="R256" s="80">
        <f>Funktional!AU234</f>
        <v>349.60080971797362</v>
      </c>
      <c r="S256" s="43">
        <f>Funktional!AT234</f>
        <v>11187.225910975156</v>
      </c>
      <c r="T256" s="80">
        <f>Funktional!AQ234</f>
        <v>33.797348921306856</v>
      </c>
      <c r="U256" s="43">
        <f>Funktional!AP234</f>
        <v>1081.5151654818194</v>
      </c>
      <c r="V256" s="80">
        <f t="shared" si="49"/>
        <v>696.97854823385455</v>
      </c>
      <c r="W256" s="183">
        <f t="shared" si="49"/>
        <v>22303.313543483346</v>
      </c>
      <c r="X256" s="172">
        <f>Funktional!S234</f>
        <v>0.68367819459448576</v>
      </c>
      <c r="Y256" s="42">
        <f>Funktional!X234</f>
        <v>5.5479847720721259E-2</v>
      </c>
      <c r="Z256" s="42">
        <f>'Kennzahlen Revision'!L234</f>
        <v>2.4063410696697408E-2</v>
      </c>
      <c r="AA256" s="42">
        <f>Funktional!AE234</f>
        <v>0.10699193981019084</v>
      </c>
      <c r="AB256" s="42">
        <f>Funktional!AJ234</f>
        <v>-3.625754406724882E-2</v>
      </c>
      <c r="AC256" s="42">
        <f>Funktional!AS234</f>
        <v>6.1517207068205799E-2</v>
      </c>
      <c r="AD256" s="42">
        <f>Funktional!AO234</f>
        <v>5.9471215573719087E-3</v>
      </c>
      <c r="AE256" s="202">
        <f>Funktional!AV234</f>
        <v>0.12264323331627328</v>
      </c>
      <c r="AF256" s="176"/>
      <c r="AG256" s="177"/>
      <c r="AH256" s="177">
        <f>Artengliederung!AN234</f>
        <v>0.63319887401285513</v>
      </c>
      <c r="AI256" s="178" t="str">
        <f t="shared" si="45"/>
        <v>Strohwilen-Wolfikon (inkl. Zezikon)</v>
      </c>
    </row>
    <row r="257" spans="1:35" x14ac:dyDescent="0.25">
      <c r="A257" s="41" t="str">
        <f>Funktional!A235</f>
        <v>Sulgen</v>
      </c>
      <c r="B257" s="41" t="str">
        <f>Funktional!B235</f>
        <v>KiGa</v>
      </c>
      <c r="C257" s="352">
        <f>Funktional!D235</f>
        <v>98</v>
      </c>
      <c r="D257" s="348">
        <f>Funktional!G235</f>
        <v>5410.439971238824</v>
      </c>
      <c r="E257" s="186">
        <f>Funktional!F235</f>
        <v>132555.77929535118</v>
      </c>
      <c r="F257" s="48">
        <f>Funktional!U235</f>
        <v>3533.1882037732225</v>
      </c>
      <c r="G257" s="48">
        <f>Funktional!T235</f>
        <v>86563.110992443952</v>
      </c>
      <c r="H257" s="48">
        <f>Artengliederung!R235</f>
        <v>174.56007152500774</v>
      </c>
      <c r="I257" s="186">
        <f>Artengliederung!Q235</f>
        <v>4276.7217523626896</v>
      </c>
      <c r="J257" s="48">
        <f>Funktional!Z235</f>
        <v>208.44145905500739</v>
      </c>
      <c r="K257" s="48">
        <f>Funktional!Y235</f>
        <v>5106.8157468476811</v>
      </c>
      <c r="L257" s="48">
        <f>'Kennzahlen Revision'!O235</f>
        <v>96.435844242431514</v>
      </c>
      <c r="M257" s="48">
        <f>'Kennzahlen Revision'!N235</f>
        <v>2362.6781839395721</v>
      </c>
      <c r="N257" s="80">
        <f>Funktional!AG235</f>
        <v>319.84920294361916</v>
      </c>
      <c r="O257" s="43">
        <f>Funktional!AF235</f>
        <v>7836.3054721186691</v>
      </c>
      <c r="P257" s="43">
        <f>Funktional!AL235</f>
        <v>583.41658422218234</v>
      </c>
      <c r="Q257" s="43">
        <f>Funktional!AK235</f>
        <v>14293.706313443468</v>
      </c>
      <c r="R257" s="80">
        <f>Funktional!AU235</f>
        <v>268.09626526896801</v>
      </c>
      <c r="S257" s="43">
        <f>Funktional!AT235</f>
        <v>6568.3584990897161</v>
      </c>
      <c r="T257" s="80">
        <f>Funktional!AQ235</f>
        <v>29.99796617889935</v>
      </c>
      <c r="U257" s="43">
        <f>Funktional!AP235</f>
        <v>734.9501713830341</v>
      </c>
      <c r="V257" s="80">
        <f t="shared" si="49"/>
        <v>467.45028979692523</v>
      </c>
      <c r="W257" s="183">
        <f t="shared" si="49"/>
        <v>11452.532100024662</v>
      </c>
      <c r="X257" s="172">
        <f>Funktional!S235</f>
        <v>0.65303158755206214</v>
      </c>
      <c r="Y257" s="42">
        <f>Funktional!X235</f>
        <v>3.8525787211955841E-2</v>
      </c>
      <c r="Z257" s="42">
        <f>'Kennzahlen Revision'!L235</f>
        <v>1.7824029978166577E-2</v>
      </c>
      <c r="AA257" s="42">
        <f>Funktional!AE235</f>
        <v>5.9117041246903174E-2</v>
      </c>
      <c r="AB257" s="42">
        <f>Funktional!AJ235</f>
        <v>0.10783163427069647</v>
      </c>
      <c r="AC257" s="42">
        <f>Funktional!AS235</f>
        <v>4.9551656925154321E-2</v>
      </c>
      <c r="AD257" s="42">
        <f>Funktional!AO235</f>
        <v>5.5444596628674439E-3</v>
      </c>
      <c r="AE257" s="202">
        <f>Funktional!AV235</f>
        <v>8.6397833130360618E-2</v>
      </c>
      <c r="AF257" s="176"/>
      <c r="AG257" s="177"/>
      <c r="AH257" s="177">
        <f>Artengliederung!AN235</f>
        <v>0.34314093349103553</v>
      </c>
      <c r="AI257" s="178" t="str">
        <f t="shared" si="45"/>
        <v>Sulgen</v>
      </c>
    </row>
    <row r="258" spans="1:35" x14ac:dyDescent="0.25">
      <c r="A258" s="41" t="str">
        <f>Funktional!A236&amp;" (inkl. Gottl.)"</f>
        <v>Tägerwilen (inkl. Gottl.)</v>
      </c>
      <c r="B258" s="41" t="str">
        <f>Funktional!B236</f>
        <v>KiGa</v>
      </c>
      <c r="C258" s="352">
        <f>Funktional!D236</f>
        <v>93</v>
      </c>
      <c r="D258" s="348">
        <f>Funktional!G236</f>
        <v>7871.1663170337188</v>
      </c>
      <c r="E258" s="186">
        <f>Funktional!F236</f>
        <v>146403.69349682718</v>
      </c>
      <c r="F258" s="48">
        <f>Funktional!U236</f>
        <v>5120.1926764751161</v>
      </c>
      <c r="G258" s="48">
        <f>Funktional!T236</f>
        <v>95235.58378243717</v>
      </c>
      <c r="H258" s="48">
        <f>Artengliederung!R236</f>
        <v>271.96886218649644</v>
      </c>
      <c r="I258" s="186">
        <f>Artengliederung!Q236</f>
        <v>5058.6208366688334</v>
      </c>
      <c r="J258" s="48">
        <f>Funktional!Z236</f>
        <v>409.23001787331367</v>
      </c>
      <c r="K258" s="48">
        <f>Funktional!Y236</f>
        <v>7611.6783324436346</v>
      </c>
      <c r="L258" s="48">
        <f>'Kennzahlen Revision'!O236</f>
        <v>128.83597548545137</v>
      </c>
      <c r="M258" s="48">
        <f>'Kennzahlen Revision'!N236</f>
        <v>2396.3491440293956</v>
      </c>
      <c r="N258" s="80">
        <f>Funktional!AG236</f>
        <v>671.86814242417699</v>
      </c>
      <c r="O258" s="43">
        <f>Funktional!AF236</f>
        <v>12496.747449089691</v>
      </c>
      <c r="P258" s="43">
        <f>Funktional!AL236</f>
        <v>738.55272575685035</v>
      </c>
      <c r="Q258" s="43">
        <f>Funktional!AK236</f>
        <v>13737.080699077418</v>
      </c>
      <c r="R258" s="80">
        <f>Funktional!AU236</f>
        <v>590.55942964335941</v>
      </c>
      <c r="S258" s="43">
        <f>Funktional!AT236</f>
        <v>10984.405391366487</v>
      </c>
      <c r="T258" s="80">
        <f>Funktional!AQ236</f>
        <v>87.947702724554162</v>
      </c>
      <c r="U258" s="43">
        <f>Funktional!AP236</f>
        <v>1635.8272706767075</v>
      </c>
      <c r="V258" s="80">
        <f t="shared" si="49"/>
        <v>252.81562213634828</v>
      </c>
      <c r="W258" s="183">
        <f t="shared" si="49"/>
        <v>4702.3705717360735</v>
      </c>
      <c r="X258" s="172">
        <f>Funktional!S236</f>
        <v>0.65049987133351306</v>
      </c>
      <c r="Y258" s="42">
        <f>Funktional!X236</f>
        <v>5.1991026664969985E-2</v>
      </c>
      <c r="Z258" s="42">
        <f>'Kennzahlen Revision'!L236</f>
        <v>1.6368092134788449E-2</v>
      </c>
      <c r="AA258" s="42">
        <f>Funktional!AE236</f>
        <v>8.5358143299578151E-2</v>
      </c>
      <c r="AB258" s="42">
        <f>Funktional!AJ236</f>
        <v>9.3830151213877153E-2</v>
      </c>
      <c r="AC258" s="42">
        <f>Funktional!AS236</f>
        <v>7.5028198599405807E-2</v>
      </c>
      <c r="AD258" s="42">
        <f>Funktional!AO236</f>
        <v>1.1173401651319395E-2</v>
      </c>
      <c r="AE258" s="202">
        <f>Funktional!AV236</f>
        <v>3.2119207237336453E-2</v>
      </c>
      <c r="AF258" s="176"/>
      <c r="AG258" s="177"/>
      <c r="AH258" s="177">
        <f>Artengliederung!AN236</f>
        <v>3.0759459018441859E-2</v>
      </c>
      <c r="AI258" s="178" t="str">
        <f t="shared" si="45"/>
        <v>Tägerwilen (inkl. Gottl.)</v>
      </c>
    </row>
    <row r="259" spans="1:35" x14ac:dyDescent="0.25">
      <c r="A259" s="41" t="str">
        <f>Funktional!A237</f>
        <v>Thundorf</v>
      </c>
      <c r="B259" s="41" t="str">
        <f>Funktional!B237</f>
        <v>KiGa</v>
      </c>
      <c r="C259" s="352">
        <f>Funktional!D237</f>
        <v>38</v>
      </c>
      <c r="D259" s="348">
        <f>Funktional!G237</f>
        <v>6890.9087379469338</v>
      </c>
      <c r="E259" s="186">
        <f>Funktional!F237</f>
        <v>174569.68802798897</v>
      </c>
      <c r="F259" s="48">
        <f>Funktional!U237</f>
        <v>3432.8442608165847</v>
      </c>
      <c r="G259" s="48">
        <f>Funktional!T237</f>
        <v>86965.387940686822</v>
      </c>
      <c r="H259" s="48">
        <f>Artengliederung!R237</f>
        <v>179.45460452973006</v>
      </c>
      <c r="I259" s="186">
        <f>Artengliederung!Q237</f>
        <v>4546.1833147531615</v>
      </c>
      <c r="J259" s="48">
        <f>Funktional!Z237</f>
        <v>288.75842432918779</v>
      </c>
      <c r="K259" s="48">
        <f>Funktional!Y237</f>
        <v>7315.213416339423</v>
      </c>
      <c r="L259" s="48">
        <f>'Kennzahlen Revision'!O237</f>
        <v>124.9935602319931</v>
      </c>
      <c r="M259" s="48">
        <f>'Kennzahlen Revision'!N237</f>
        <v>3166.5035258771586</v>
      </c>
      <c r="N259" s="80">
        <f>Funktional!AG237</f>
        <v>756.05860823254352</v>
      </c>
      <c r="O259" s="43">
        <f>Funktional!AF237</f>
        <v>19153.484741891105</v>
      </c>
      <c r="P259" s="43">
        <f>Funktional!AL237</f>
        <v>967.27838804177463</v>
      </c>
      <c r="Q259" s="43">
        <f>Funktional!AK237</f>
        <v>24504.385830391624</v>
      </c>
      <c r="R259" s="80">
        <f>Funktional!AU237</f>
        <v>666.89769664740584</v>
      </c>
      <c r="S259" s="43">
        <f>Funktional!AT237</f>
        <v>16894.741648400948</v>
      </c>
      <c r="T259" s="80">
        <f>Funktional!AQ237</f>
        <v>24.036871357296331</v>
      </c>
      <c r="U259" s="43">
        <f>Funktional!AP237</f>
        <v>608.9340743848403</v>
      </c>
      <c r="V259" s="80">
        <f t="shared" si="49"/>
        <v>755.03448852214115</v>
      </c>
      <c r="W259" s="183">
        <f t="shared" si="49"/>
        <v>19127.540375894212</v>
      </c>
      <c r="X259" s="172">
        <f>Funktional!S237</f>
        <v>0.4981700369811255</v>
      </c>
      <c r="Y259" s="42">
        <f>Funktional!X237</f>
        <v>4.1904258975169653E-2</v>
      </c>
      <c r="Z259" s="42">
        <f>'Kennzahlen Revision'!L237</f>
        <v>1.813890808677775E-2</v>
      </c>
      <c r="AA259" s="42">
        <f>Funktional!AE237</f>
        <v>0.10971827330538736</v>
      </c>
      <c r="AB259" s="42">
        <f>Funktional!AJ237</f>
        <v>0.14037022181343881</v>
      </c>
      <c r="AC259" s="42">
        <f>Funktional!AS237</f>
        <v>9.677935407487348E-2</v>
      </c>
      <c r="AD259" s="42">
        <f>Funktional!AO237</f>
        <v>3.4882005075658334E-3</v>
      </c>
      <c r="AE259" s="202">
        <f>Funktional!AV237</f>
        <v>0.10956965434243943</v>
      </c>
      <c r="AF259" s="176"/>
      <c r="AG259" s="177"/>
      <c r="AH259" s="177">
        <f>Artengliederung!AN237</f>
        <v>0.42235910265014126</v>
      </c>
      <c r="AI259" s="178" t="str">
        <f t="shared" si="45"/>
        <v>Thundorf</v>
      </c>
    </row>
    <row r="260" spans="1:35" x14ac:dyDescent="0.25">
      <c r="A260" s="41" t="str">
        <f>Funktional!A238</f>
        <v>Tobel</v>
      </c>
      <c r="B260" s="41" t="str">
        <f>Funktional!B238</f>
        <v>KiGa</v>
      </c>
      <c r="C260" s="352">
        <f>Funktional!D238</f>
        <v>20</v>
      </c>
      <c r="D260" s="348">
        <f>Funktional!G238</f>
        <v>6396.6928081826336</v>
      </c>
      <c r="E260" s="186">
        <f>Funktional!F238</f>
        <v>127933.85616365267</v>
      </c>
      <c r="F260" s="48">
        <f>Funktional!U238</f>
        <v>4018.4614828328872</v>
      </c>
      <c r="G260" s="48">
        <f>Funktional!T238</f>
        <v>80369.229656657742</v>
      </c>
      <c r="H260" s="48">
        <f>Artengliederung!R238</f>
        <v>256.55095500428018</v>
      </c>
      <c r="I260" s="186">
        <f>Artengliederung!Q238</f>
        <v>5131.0191000856039</v>
      </c>
      <c r="J260" s="48">
        <f>Funktional!Z238</f>
        <v>350.19269396279054</v>
      </c>
      <c r="K260" s="48">
        <f>Funktional!Y238</f>
        <v>7003.8538792558111</v>
      </c>
      <c r="L260" s="48">
        <f>'Kennzahlen Revision'!O238</f>
        <v>98.556060245566385</v>
      </c>
      <c r="M260" s="48">
        <f>'Kennzahlen Revision'!N238</f>
        <v>1971.1212049113276</v>
      </c>
      <c r="N260" s="80">
        <f>Funktional!AG238</f>
        <v>280.08051705729423</v>
      </c>
      <c r="O260" s="43">
        <f>Funktional!AF238</f>
        <v>5601.6103411458844</v>
      </c>
      <c r="P260" s="43">
        <f>Funktional!AL238</f>
        <v>742.66537990643712</v>
      </c>
      <c r="Q260" s="43">
        <f>Funktional!AK238</f>
        <v>14853.307598128742</v>
      </c>
      <c r="R260" s="80">
        <f>Funktional!AU238</f>
        <v>648.58534541207996</v>
      </c>
      <c r="S260" s="43">
        <f>Funktional!AT238</f>
        <v>12971.7069082416</v>
      </c>
      <c r="T260" s="80">
        <f>Funktional!AQ238</f>
        <v>6.3587254341455512</v>
      </c>
      <c r="U260" s="43">
        <f>Funktional!AP238</f>
        <v>127.17450868291102</v>
      </c>
      <c r="V260" s="80">
        <f t="shared" si="49"/>
        <v>350.348663576999</v>
      </c>
      <c r="W260" s="183">
        <f t="shared" si="49"/>
        <v>7006.973271539985</v>
      </c>
      <c r="X260" s="172">
        <f>Funktional!S238</f>
        <v>0.62820923301060838</v>
      </c>
      <c r="Y260" s="42">
        <f>Funktional!X238</f>
        <v>5.4745898304640321E-2</v>
      </c>
      <c r="Z260" s="42">
        <f>'Kennzahlen Revision'!L238</f>
        <v>1.5407346139788627E-2</v>
      </c>
      <c r="AA260" s="42">
        <f>Funktional!AE238</f>
        <v>4.3785206739804031E-2</v>
      </c>
      <c r="AB260" s="42">
        <f>Funktional!AJ238</f>
        <v>0.1161014608918567</v>
      </c>
      <c r="AC260" s="42">
        <f>Funktional!AS238</f>
        <v>0.10139385536576201</v>
      </c>
      <c r="AD260" s="42">
        <f>Funktional!AO238</f>
        <v>9.9406453066051338E-4</v>
      </c>
      <c r="AE260" s="202">
        <f>Funktional!AV238</f>
        <v>5.4770281156668071E-2</v>
      </c>
      <c r="AF260" s="176"/>
      <c r="AG260" s="177"/>
      <c r="AH260" s="177">
        <f>Artengliederung!AN238</f>
        <v>0.2762512452969349</v>
      </c>
      <c r="AI260" s="178" t="str">
        <f t="shared" si="45"/>
        <v>Tobel</v>
      </c>
    </row>
    <row r="261" spans="1:35" x14ac:dyDescent="0.25">
      <c r="A261" s="41" t="str">
        <f>Funktional!A239&amp;" (inkl. Buch)"</f>
        <v>Uesslingen (inkl. Buch)</v>
      </c>
      <c r="B261" s="41" t="str">
        <f>Funktional!B239</f>
        <v>KiGa</v>
      </c>
      <c r="C261" s="352">
        <f>Funktional!D239</f>
        <v>39</v>
      </c>
      <c r="D261" s="348">
        <f>Funktional!G239</f>
        <v>6177.5814735169388</v>
      </c>
      <c r="E261" s="186">
        <f>Funktional!F239</f>
        <v>120462.8387335803</v>
      </c>
      <c r="F261" s="48">
        <f>Funktional!U239</f>
        <v>4124.8376472983782</v>
      </c>
      <c r="G261" s="48">
        <f>Funktional!T239</f>
        <v>80434.334122318382</v>
      </c>
      <c r="H261" s="48">
        <f>Artengliederung!R239</f>
        <v>205.0251815172528</v>
      </c>
      <c r="I261" s="186">
        <f>Artengliederung!Q239</f>
        <v>3997.9910395864299</v>
      </c>
      <c r="J261" s="48">
        <f>Funktional!Z239</f>
        <v>208.28433232732732</v>
      </c>
      <c r="K261" s="48">
        <f>Funktional!Y239</f>
        <v>4061.5444803828827</v>
      </c>
      <c r="L261" s="48">
        <f>'Kennzahlen Revision'!O239</f>
        <v>82.091272966828015</v>
      </c>
      <c r="M261" s="48">
        <f>'Kennzahlen Revision'!N239</f>
        <v>1600.7798228531462</v>
      </c>
      <c r="N261" s="80">
        <f>Funktional!AG239</f>
        <v>213.18276313090996</v>
      </c>
      <c r="O261" s="43">
        <f>Funktional!AF239</f>
        <v>4157.0638810527444</v>
      </c>
      <c r="P261" s="43">
        <f>Funktional!AL239</f>
        <v>635.29958874185365</v>
      </c>
      <c r="Q261" s="43">
        <f>Funktional!AK239</f>
        <v>12388.341980466146</v>
      </c>
      <c r="R261" s="80">
        <f>Funktional!AU239</f>
        <v>155.1143239198785</v>
      </c>
      <c r="S261" s="43">
        <f>Funktional!AT239</f>
        <v>3024.729316437631</v>
      </c>
      <c r="T261" s="80">
        <f>Funktional!AQ239</f>
        <v>21.72045991398274</v>
      </c>
      <c r="U261" s="43">
        <f>Funktional!AP239</f>
        <v>423.54896832266343</v>
      </c>
      <c r="V261" s="80">
        <f t="shared" si="49"/>
        <v>819.14235818460838</v>
      </c>
      <c r="W261" s="183">
        <f t="shared" si="49"/>
        <v>15973.27598459985</v>
      </c>
      <c r="X261" s="172">
        <f>Funktional!S239</f>
        <v>0.66771076431470855</v>
      </c>
      <c r="Y261" s="42">
        <f>Funktional!X239</f>
        <v>3.3716161125552854E-2</v>
      </c>
      <c r="Z261" s="42">
        <f>'Kennzahlen Revision'!L239</f>
        <v>1.3288577952188933E-2</v>
      </c>
      <c r="AA261" s="42">
        <f>Funktional!AE239</f>
        <v>3.4509097782816224E-2</v>
      </c>
      <c r="AB261" s="42">
        <f>Funktional!AJ239</f>
        <v>0.10283953218024874</v>
      </c>
      <c r="AC261" s="42">
        <f>Funktional!AS239</f>
        <v>2.5109231595705835E-2</v>
      </c>
      <c r="AD261" s="42">
        <f>Funktional!AO239</f>
        <v>3.516013509024129E-3</v>
      </c>
      <c r="AE261" s="202">
        <f>Funktional!AV239</f>
        <v>0.13259919949194365</v>
      </c>
      <c r="AF261" s="176"/>
      <c r="AG261" s="177"/>
      <c r="AH261" s="177">
        <f>Artengliederung!AN239</f>
        <v>0.28976516816489378</v>
      </c>
      <c r="AI261" s="178" t="str">
        <f t="shared" si="45"/>
        <v>Uesslingen (inkl. Buch)</v>
      </c>
    </row>
    <row r="262" spans="1:35" x14ac:dyDescent="0.25">
      <c r="A262" s="41" t="str">
        <f>Funktional!A240</f>
        <v>Uttwil</v>
      </c>
      <c r="B262" s="41" t="str">
        <f>Funktional!B240</f>
        <v>KiGa</v>
      </c>
      <c r="C262" s="352">
        <f>Funktional!D240</f>
        <v>44</v>
      </c>
      <c r="D262" s="348">
        <f>Funktional!G240</f>
        <v>4607.5996397859863</v>
      </c>
      <c r="E262" s="186">
        <f>Funktional!F240</f>
        <v>101367.19207529171</v>
      </c>
      <c r="F262" s="48">
        <f>Funktional!U240</f>
        <v>2964.2245231414304</v>
      </c>
      <c r="G262" s="48">
        <f>Funktional!T240</f>
        <v>65212.939509111464</v>
      </c>
      <c r="H262" s="48">
        <f>Artengliederung!R240</f>
        <v>153.32209236874419</v>
      </c>
      <c r="I262" s="186">
        <f>Artengliederung!Q240</f>
        <v>3373.0860321123723</v>
      </c>
      <c r="J262" s="48">
        <f>Funktional!Z240</f>
        <v>162.44023930106044</v>
      </c>
      <c r="K262" s="48">
        <f>Funktional!Y240</f>
        <v>3573.6852646233297</v>
      </c>
      <c r="L262" s="48">
        <f>'Kennzahlen Revision'!O240</f>
        <v>53.892703084752611</v>
      </c>
      <c r="M262" s="48">
        <f>'Kennzahlen Revision'!N240</f>
        <v>1185.6394678645574</v>
      </c>
      <c r="N262" s="80">
        <f>Funktional!AG240</f>
        <v>497.19616634531849</v>
      </c>
      <c r="O262" s="43">
        <f>Funktional!AF240</f>
        <v>10938.315659597007</v>
      </c>
      <c r="P262" s="43">
        <f>Funktional!AL240</f>
        <v>486.92057237073988</v>
      </c>
      <c r="Q262" s="43">
        <f>Funktional!AK240</f>
        <v>10712.252592156277</v>
      </c>
      <c r="R262" s="80">
        <f>Funktional!AU240</f>
        <v>365.82008607637891</v>
      </c>
      <c r="S262" s="43">
        <f>Funktional!AT240</f>
        <v>8048.0418936803362</v>
      </c>
      <c r="T262" s="80">
        <f>Funktional!AQ240</f>
        <v>23.186634585556195</v>
      </c>
      <c r="U262" s="43">
        <f>Funktional!AP240</f>
        <v>510.10596088223633</v>
      </c>
      <c r="V262" s="80">
        <f t="shared" si="49"/>
        <v>107.8114179655019</v>
      </c>
      <c r="W262" s="183">
        <f t="shared" si="49"/>
        <v>2371.8511952410554</v>
      </c>
      <c r="X262" s="172">
        <f>Funktional!S240</f>
        <v>0.64333378654381357</v>
      </c>
      <c r="Y262" s="42">
        <f>Funktional!X240</f>
        <v>3.525485111562459E-2</v>
      </c>
      <c r="Z262" s="42">
        <f>'Kennzahlen Revision'!L240</f>
        <v>1.169648131304564E-2</v>
      </c>
      <c r="AA262" s="42">
        <f>Funktional!AE240</f>
        <v>0.10790784903534115</v>
      </c>
      <c r="AB262" s="42">
        <f>Funktional!AJ240</f>
        <v>0.10567770866336736</v>
      </c>
      <c r="AC262" s="42">
        <f>Funktional!AS240</f>
        <v>7.9394937641190211E-2</v>
      </c>
      <c r="AD262" s="42">
        <f>Funktional!AO240</f>
        <v>5.032258963071099E-3</v>
      </c>
      <c r="AE262" s="202">
        <f>Funktional!AV240</f>
        <v>2.3398608037592042E-2</v>
      </c>
      <c r="AF262" s="176"/>
      <c r="AG262" s="177"/>
      <c r="AH262" s="177">
        <f>Artengliederung!AN240</f>
        <v>4.4168076949054655E-2</v>
      </c>
      <c r="AI262" s="178" t="str">
        <f t="shared" si="45"/>
        <v>Uttwil</v>
      </c>
    </row>
    <row r="263" spans="1:35" x14ac:dyDescent="0.25">
      <c r="A263" s="41" t="str">
        <f>Funktional!A241</f>
        <v>Wagenhausen-Rheinklingen</v>
      </c>
      <c r="B263" s="41" t="str">
        <f>Funktional!B241</f>
        <v>KiGa</v>
      </c>
      <c r="C263" s="352">
        <f>Funktional!D241</f>
        <v>18</v>
      </c>
      <c r="D263" s="348">
        <f>Funktional!G241</f>
        <v>6912.8440137103689</v>
      </c>
      <c r="E263" s="186">
        <f>Funktional!F241</f>
        <v>124431.19224678664</v>
      </c>
      <c r="F263" s="48">
        <f>Funktional!U241</f>
        <v>4685.7391912799385</v>
      </c>
      <c r="G263" s="48">
        <f>Funktional!T241</f>
        <v>84343.305443038887</v>
      </c>
      <c r="H263" s="48">
        <f>Artengliederung!R241</f>
        <v>184.36257845157786</v>
      </c>
      <c r="I263" s="186">
        <f>Artengliederung!Q241</f>
        <v>3318.5264121284013</v>
      </c>
      <c r="J263" s="48">
        <f>Funktional!Z241</f>
        <v>336.46863395682925</v>
      </c>
      <c r="K263" s="48">
        <f>Funktional!Y241</f>
        <v>6056.4354112229266</v>
      </c>
      <c r="L263" s="48">
        <f>'Kennzahlen Revision'!O241</f>
        <v>173.47812706424921</v>
      </c>
      <c r="M263" s="48">
        <f>'Kennzahlen Revision'!N241</f>
        <v>3122.6062871564859</v>
      </c>
      <c r="N263" s="80">
        <f>Funktional!AG241</f>
        <v>618.31074048239702</v>
      </c>
      <c r="O263" s="43">
        <f>Funktional!AF241</f>
        <v>11129.593328683146</v>
      </c>
      <c r="P263" s="43">
        <f>Funktional!AL241</f>
        <v>363.21288941568923</v>
      </c>
      <c r="Q263" s="43">
        <f>Funktional!AK241</f>
        <v>6537.8320094824057</v>
      </c>
      <c r="R263" s="80">
        <f>Funktional!AU241</f>
        <v>229.53324687188473</v>
      </c>
      <c r="S263" s="43">
        <f>Funktional!AT241</f>
        <v>4131.5984436939252</v>
      </c>
      <c r="T263" s="80">
        <f>Funktional!AQ241</f>
        <v>23.567437256995916</v>
      </c>
      <c r="U263" s="43">
        <f>Funktional!AP241</f>
        <v>424.21387062592652</v>
      </c>
      <c r="V263" s="80">
        <f t="shared" si="49"/>
        <v>656.01187444663412</v>
      </c>
      <c r="W263" s="183">
        <f t="shared" si="49"/>
        <v>11808.213740039422</v>
      </c>
      <c r="X263" s="172">
        <f>Funktional!S241</f>
        <v>0.67783088725662355</v>
      </c>
      <c r="Y263" s="42">
        <f>Funktional!X241</f>
        <v>4.8672967781350905E-2</v>
      </c>
      <c r="Z263" s="42">
        <f>'Kennzahlen Revision'!L241</f>
        <v>2.5095044343570735E-2</v>
      </c>
      <c r="AA263" s="42">
        <f>Funktional!AE241</f>
        <v>8.9443757049354811E-2</v>
      </c>
      <c r="AB263" s="42">
        <f>Funktional!AJ241</f>
        <v>5.2541745292577484E-2</v>
      </c>
      <c r="AC263" s="42">
        <f>Funktional!AS241</f>
        <v>3.3203880547087027E-2</v>
      </c>
      <c r="AD263" s="42">
        <f>Funktional!AO241</f>
        <v>3.4092245116849437E-3</v>
      </c>
      <c r="AE263" s="202">
        <f>Funktional!AV241</f>
        <v>9.4897537561321299E-2</v>
      </c>
      <c r="AF263" s="176"/>
      <c r="AG263" s="177"/>
      <c r="AH263" s="177">
        <f>Artengliederung!AN241</f>
        <v>0.23220356698450798</v>
      </c>
      <c r="AI263" s="178" t="str">
        <f t="shared" si="45"/>
        <v>Wagenhausen-Rheinklingen</v>
      </c>
    </row>
    <row r="264" spans="1:35" hidden="1" x14ac:dyDescent="0.25">
      <c r="A264" s="41" t="str">
        <f>Funktional!A242</f>
        <v>Wäldi</v>
      </c>
      <c r="B264" s="41" t="str">
        <f>Funktional!B242</f>
        <v>KiGa</v>
      </c>
      <c r="C264" s="352">
        <f>Funktional!D242</f>
        <v>0</v>
      </c>
      <c r="D264" s="348">
        <f>Funktional!G242</f>
        <v>0</v>
      </c>
      <c r="E264" s="186">
        <f>Funktional!F242</f>
        <v>0</v>
      </c>
      <c r="F264" s="48">
        <f>Funktional!U242</f>
        <v>0</v>
      </c>
      <c r="G264" s="48">
        <f>Funktional!T242</f>
        <v>0</v>
      </c>
      <c r="H264" s="48">
        <f>Artengliederung!R242</f>
        <v>0</v>
      </c>
      <c r="I264" s="186">
        <f>Artengliederung!Q242</f>
        <v>0</v>
      </c>
      <c r="J264" s="48">
        <f>Funktional!Z242</f>
        <v>0</v>
      </c>
      <c r="K264" s="48">
        <f>Funktional!Y242</f>
        <v>0</v>
      </c>
      <c r="L264" s="48">
        <f>'Kennzahlen Revision'!O242</f>
        <v>0</v>
      </c>
      <c r="M264" s="48">
        <f>'Kennzahlen Revision'!N242</f>
        <v>0</v>
      </c>
      <c r="N264" s="80">
        <f>Funktional!AG242</f>
        <v>0</v>
      </c>
      <c r="O264" s="43">
        <f>Funktional!AF242</f>
        <v>0</v>
      </c>
      <c r="P264" s="43">
        <f>Funktional!AL242</f>
        <v>0</v>
      </c>
      <c r="Q264" s="43">
        <f>Funktional!AK242</f>
        <v>0</v>
      </c>
      <c r="R264" s="80">
        <f>Funktional!AU242</f>
        <v>0</v>
      </c>
      <c r="S264" s="43">
        <f>Funktional!AT242</f>
        <v>0</v>
      </c>
      <c r="T264" s="80">
        <f>Funktional!AQ242</f>
        <v>0</v>
      </c>
      <c r="U264" s="43">
        <f>Funktional!AP242</f>
        <v>0</v>
      </c>
      <c r="V264" s="80">
        <f t="shared" si="49"/>
        <v>0</v>
      </c>
      <c r="W264" s="183">
        <f t="shared" si="49"/>
        <v>0</v>
      </c>
      <c r="X264" s="172">
        <f>Funktional!S242</f>
        <v>0</v>
      </c>
      <c r="Y264" s="42">
        <f>Funktional!X242</f>
        <v>0</v>
      </c>
      <c r="Z264" s="42">
        <f>'Kennzahlen Revision'!L242</f>
        <v>0</v>
      </c>
      <c r="AA264" s="42">
        <f>Funktional!AE242</f>
        <v>0</v>
      </c>
      <c r="AB264" s="42">
        <f>Funktional!AJ242</f>
        <v>0</v>
      </c>
      <c r="AC264" s="42">
        <f>Funktional!AS242</f>
        <v>0</v>
      </c>
      <c r="AD264" s="42">
        <f>Funktional!AO242</f>
        <v>0</v>
      </c>
      <c r="AE264" s="202">
        <f>Funktional!AV242</f>
        <v>0</v>
      </c>
      <c r="AF264" s="176"/>
      <c r="AG264" s="177"/>
      <c r="AH264" s="177">
        <f>Artengliederung!AN242</f>
        <v>0</v>
      </c>
      <c r="AI264" s="178" t="str">
        <f t="shared" si="45"/>
        <v>Wäldi</v>
      </c>
    </row>
    <row r="265" spans="1:35" x14ac:dyDescent="0.25">
      <c r="A265" s="41" t="str">
        <f>Funktional!A243</f>
        <v>Warth-Weiningen</v>
      </c>
      <c r="B265" s="41" t="str">
        <f>Funktional!B243</f>
        <v>KiGa</v>
      </c>
      <c r="C265" s="352">
        <f>Funktional!D243</f>
        <v>29</v>
      </c>
      <c r="D265" s="348">
        <f>Funktional!G243</f>
        <v>4866.1172497188118</v>
      </c>
      <c r="E265" s="186">
        <f>Funktional!F243</f>
        <v>141117.40024184555</v>
      </c>
      <c r="F265" s="48">
        <f>Funktional!U243</f>
        <v>2942.0607141669411</v>
      </c>
      <c r="G265" s="48">
        <f>Funktional!T243</f>
        <v>85319.760710841292</v>
      </c>
      <c r="H265" s="48">
        <f>Artengliederung!R243</f>
        <v>127.57062906383766</v>
      </c>
      <c r="I265" s="186">
        <f>Artengliederung!Q243</f>
        <v>3699.5482428512919</v>
      </c>
      <c r="J265" s="48">
        <f>Funktional!Z243</f>
        <v>183.79201407618504</v>
      </c>
      <c r="K265" s="48">
        <f>Funktional!Y243</f>
        <v>5329.9684082093663</v>
      </c>
      <c r="L265" s="48">
        <f>'Kennzahlen Revision'!O243</f>
        <v>28.323943063003131</v>
      </c>
      <c r="M265" s="48">
        <f>'Kennzahlen Revision'!N243</f>
        <v>821.39434882709077</v>
      </c>
      <c r="N265" s="80">
        <f>Funktional!AG243</f>
        <v>301.58020999314692</v>
      </c>
      <c r="O265" s="43">
        <f>Funktional!AF243</f>
        <v>8745.8260898012613</v>
      </c>
      <c r="P265" s="43">
        <f>Funktional!AL243</f>
        <v>912.24770636692199</v>
      </c>
      <c r="Q265" s="43">
        <f>Funktional!AK243</f>
        <v>26455.183484640736</v>
      </c>
      <c r="R265" s="80">
        <f>Funktional!AU243</f>
        <v>207.18451235676227</v>
      </c>
      <c r="S265" s="43">
        <f>Funktional!AT243</f>
        <v>6008.3508583461062</v>
      </c>
      <c r="T265" s="80">
        <f>Funktional!AQ243</f>
        <v>19.593600728742977</v>
      </c>
      <c r="U265" s="43">
        <f>Funktional!AP243</f>
        <v>568.21442113354635</v>
      </c>
      <c r="V265" s="80">
        <f t="shared" si="49"/>
        <v>299.65849203011152</v>
      </c>
      <c r="W265" s="183">
        <f t="shared" si="49"/>
        <v>8690.0962688732416</v>
      </c>
      <c r="X265" s="172">
        <f>Funktional!S243</f>
        <v>0.60460127925132667</v>
      </c>
      <c r="Y265" s="42">
        <f>Funktional!X243</f>
        <v>3.7769746318135976E-2</v>
      </c>
      <c r="Z265" s="42">
        <f>'Kennzahlen Revision'!L243</f>
        <v>5.8206454159401575E-3</v>
      </c>
      <c r="AA265" s="42">
        <f>Funktional!AE243</f>
        <v>6.1975532959172679E-2</v>
      </c>
      <c r="AB265" s="42">
        <f>Funktional!AJ243</f>
        <v>0.18746932298428198</v>
      </c>
      <c r="AC265" s="42">
        <f>Funktional!AS243</f>
        <v>4.2576966752852989E-2</v>
      </c>
      <c r="AD265" s="42">
        <f>Funktional!AO243</f>
        <v>4.0265369129515302E-3</v>
      </c>
      <c r="AE265" s="202">
        <f>Funktional!AV243</f>
        <v>6.1580614821278183E-2</v>
      </c>
      <c r="AF265" s="176"/>
      <c r="AG265" s="177"/>
      <c r="AH265" s="177">
        <f>Artengliederung!AN243</f>
        <v>3.2378816376816097E-2</v>
      </c>
      <c r="AI265" s="178" t="str">
        <f t="shared" si="45"/>
        <v>Warth-Weiningen</v>
      </c>
    </row>
    <row r="266" spans="1:35" x14ac:dyDescent="0.25">
      <c r="A266" s="41" t="str">
        <f>Funktional!A244</f>
        <v>Weinfelden</v>
      </c>
      <c r="B266" s="41" t="str">
        <f>Funktional!B244</f>
        <v>KiGa</v>
      </c>
      <c r="C266" s="352">
        <f>Funktional!D244</f>
        <v>222</v>
      </c>
      <c r="D266" s="348">
        <f>Funktional!G244</f>
        <v>5845.6523236965077</v>
      </c>
      <c r="E266" s="186">
        <f>Funktional!F244</f>
        <v>129773.48158606247</v>
      </c>
      <c r="F266" s="48">
        <f>Funktional!U244</f>
        <v>4597.2427649226047</v>
      </c>
      <c r="G266" s="48">
        <f>Funktional!T244</f>
        <v>102058.78938128184</v>
      </c>
      <c r="H266" s="48">
        <f>Artengliederung!R244</f>
        <v>192.05266643145276</v>
      </c>
      <c r="I266" s="186">
        <f>Artengliederung!Q244</f>
        <v>4263.5691947782516</v>
      </c>
      <c r="J266" s="48">
        <f>Funktional!Z244</f>
        <v>330.59940327186604</v>
      </c>
      <c r="K266" s="48">
        <f>Funktional!Y244</f>
        <v>7339.3067526354262</v>
      </c>
      <c r="L266" s="48">
        <f>'Kennzahlen Revision'!O244</f>
        <v>147.08306032836606</v>
      </c>
      <c r="M266" s="48">
        <f>'Kennzahlen Revision'!N244</f>
        <v>3265.2439392897268</v>
      </c>
      <c r="N266" s="80">
        <f>Funktional!AG244</f>
        <v>53.904786507778141</v>
      </c>
      <c r="O266" s="43">
        <f>Funktional!AF244</f>
        <v>1196.6862604726748</v>
      </c>
      <c r="P266" s="43">
        <f>Funktional!AL244</f>
        <v>396.00785625459338</v>
      </c>
      <c r="Q266" s="43">
        <f>Funktional!AK244</f>
        <v>8791.3744088519725</v>
      </c>
      <c r="R266" s="80">
        <f>Funktional!AU244</f>
        <v>0</v>
      </c>
      <c r="S266" s="43">
        <f>Funktional!AT244</f>
        <v>0</v>
      </c>
      <c r="T266" s="80">
        <f>Funktional!AQ244</f>
        <v>26.924054737553551</v>
      </c>
      <c r="U266" s="43">
        <f>Funktional!AP244</f>
        <v>597.71401517368884</v>
      </c>
      <c r="V266" s="80">
        <f t="shared" si="49"/>
        <v>440.97345800211184</v>
      </c>
      <c r="W266" s="183">
        <f t="shared" si="49"/>
        <v>9789.6107676468655</v>
      </c>
      <c r="X266" s="172">
        <f>Funktional!S244</f>
        <v>0.78643793889122904</v>
      </c>
      <c r="Y266" s="42">
        <f>Funktional!X244</f>
        <v>5.6554749575460729E-2</v>
      </c>
      <c r="Z266" s="42">
        <f>'Kennzahlen Revision'!L244</f>
        <v>2.5161103018757344E-2</v>
      </c>
      <c r="AA266" s="42">
        <f>Funktional!AE244</f>
        <v>9.221346656089079E-3</v>
      </c>
      <c r="AB266" s="42">
        <f>Funktional!AJ244</f>
        <v>6.774399747472104E-2</v>
      </c>
      <c r="AC266" s="42">
        <f>Funktional!AS244</f>
        <v>0</v>
      </c>
      <c r="AD266" s="42">
        <f>Funktional!AO244</f>
        <v>4.6058255343739097E-3</v>
      </c>
      <c r="AE266" s="202">
        <f>Funktional!AV244</f>
        <v>7.5436141868126208E-2</v>
      </c>
      <c r="AF266" s="176"/>
      <c r="AG266" s="177"/>
      <c r="AH266" s="177">
        <f>Artengliederung!AN244</f>
        <v>2.0415659709334063E-2</v>
      </c>
      <c r="AI266" s="178" t="str">
        <f t="shared" si="45"/>
        <v>Weinfelden</v>
      </c>
    </row>
    <row r="267" spans="1:35" x14ac:dyDescent="0.25">
      <c r="A267" s="41" t="str">
        <f>Funktional!A245&amp;" (inkl. Engwang)"</f>
        <v>Wigoltingen (inkl. Engwang)</v>
      </c>
      <c r="B267" s="41" t="str">
        <f>Funktional!B245</f>
        <v>KiGa</v>
      </c>
      <c r="C267" s="352">
        <f>Funktional!D245</f>
        <v>51</v>
      </c>
      <c r="D267" s="348">
        <f>Funktional!G245</f>
        <v>5417.4378546456855</v>
      </c>
      <c r="E267" s="186">
        <f>Funktional!F245</f>
        <v>138144.66529346499</v>
      </c>
      <c r="F267" s="48">
        <f>Funktional!U245</f>
        <v>3883.8975428552294</v>
      </c>
      <c r="G267" s="48">
        <f>Funktional!T245</f>
        <v>99039.387342808346</v>
      </c>
      <c r="H267" s="48">
        <f>Artengliederung!R245</f>
        <v>174.41294939449713</v>
      </c>
      <c r="I267" s="186">
        <f>Artengliederung!Q245</f>
        <v>4447.5302095596771</v>
      </c>
      <c r="J267" s="48">
        <f>Funktional!Z245</f>
        <v>221.60831035461598</v>
      </c>
      <c r="K267" s="48">
        <f>Funktional!Y245</f>
        <v>5651.0119140427078</v>
      </c>
      <c r="L267" s="48">
        <f>'Kennzahlen Revision'!O245</f>
        <v>84.206242640125566</v>
      </c>
      <c r="M267" s="48">
        <f>'Kennzahlen Revision'!N245</f>
        <v>2147.2591873232018</v>
      </c>
      <c r="N267" s="80">
        <f>Funktional!AG245</f>
        <v>142.63866091335819</v>
      </c>
      <c r="O267" s="43">
        <f>Funktional!AF245</f>
        <v>3637.2858532906339</v>
      </c>
      <c r="P267" s="43">
        <f>Funktional!AL245</f>
        <v>691.15225061699834</v>
      </c>
      <c r="Q267" s="43">
        <f>Funktional!AK245</f>
        <v>17624.382390733459</v>
      </c>
      <c r="R267" s="80">
        <f>Funktional!AU245</f>
        <v>212.36898320327347</v>
      </c>
      <c r="S267" s="43">
        <f>Funktional!AT245</f>
        <v>5415.4090716834735</v>
      </c>
      <c r="T267" s="80">
        <f>Funktional!AQ245</f>
        <v>13.529089691687018</v>
      </c>
      <c r="U267" s="43">
        <f>Funktional!AP245</f>
        <v>344.99178713801894</v>
      </c>
      <c r="V267" s="80">
        <f t="shared" si="49"/>
        <v>252.24301701052329</v>
      </c>
      <c r="W267" s="183">
        <f t="shared" si="49"/>
        <v>6432.1969337683549</v>
      </c>
      <c r="X267" s="172">
        <f>Funktional!S245</f>
        <v>0.71692516777550486</v>
      </c>
      <c r="Y267" s="42">
        <f>Funktional!X245</f>
        <v>4.0906479465117877E-2</v>
      </c>
      <c r="Z267" s="42">
        <f>'Kennzahlen Revision'!L245</f>
        <v>1.5543554886913023E-2</v>
      </c>
      <c r="AA267" s="42">
        <f>Funktional!AE245</f>
        <v>2.6329542625217087E-2</v>
      </c>
      <c r="AB267" s="42">
        <f>Funktional!AJ245</f>
        <v>0.12757917472450664</v>
      </c>
      <c r="AC267" s="42">
        <f>Funktional!AS245</f>
        <v>3.9201000343946343E-2</v>
      </c>
      <c r="AD267" s="42">
        <f>Funktional!AO245</f>
        <v>2.4973225452111537E-3</v>
      </c>
      <c r="AE267" s="202">
        <f>Funktional!AV245</f>
        <v>4.6561312520496043E-2</v>
      </c>
      <c r="AF267" s="176"/>
      <c r="AG267" s="177"/>
      <c r="AH267" s="177">
        <f>Artengliederung!AN245</f>
        <v>0.27192855417906164</v>
      </c>
      <c r="AI267" s="178" t="str">
        <f t="shared" si="45"/>
        <v>Wigoltingen (inkl. Engwang)</v>
      </c>
    </row>
    <row r="268" spans="1:35" x14ac:dyDescent="0.25">
      <c r="A268" s="41" t="str">
        <f>Funktional!A246</f>
        <v>Wilen bei Wil</v>
      </c>
      <c r="B268" s="41" t="str">
        <f>Funktional!B246</f>
        <v>KiGa</v>
      </c>
      <c r="C268" s="352">
        <f>Funktional!D246</f>
        <v>53</v>
      </c>
      <c r="D268" s="348">
        <f>Funktional!G246</f>
        <v>5101.486679055819</v>
      </c>
      <c r="E268" s="186">
        <f>Funktional!F246</f>
        <v>90126.264663319467</v>
      </c>
      <c r="F268" s="48">
        <f>Funktional!U246</f>
        <v>3253.9150152650755</v>
      </c>
      <c r="G268" s="48">
        <f>Funktional!T246</f>
        <v>57485.831936349663</v>
      </c>
      <c r="H268" s="48">
        <f>Artengliederung!R246</f>
        <v>151.5376428073526</v>
      </c>
      <c r="I268" s="186">
        <f>Artengliederung!Q246</f>
        <v>2677.1650229298957</v>
      </c>
      <c r="J268" s="48">
        <f>Funktional!Z246</f>
        <v>259.12650186392801</v>
      </c>
      <c r="K268" s="48">
        <f>Funktional!Y246</f>
        <v>4577.9015329293952</v>
      </c>
      <c r="L268" s="48">
        <f>'Kennzahlen Revision'!O246</f>
        <v>83.163018889177863</v>
      </c>
      <c r="M268" s="48">
        <f>'Kennzahlen Revision'!N246</f>
        <v>1469.2133337088089</v>
      </c>
      <c r="N268" s="80">
        <f>Funktional!AG246</f>
        <v>263.82134438377636</v>
      </c>
      <c r="O268" s="43">
        <f>Funktional!AF246</f>
        <v>4660.843750780049</v>
      </c>
      <c r="P268" s="43">
        <f>Funktional!AL246</f>
        <v>645.02693828895542</v>
      </c>
      <c r="Q268" s="43">
        <f>Funktional!AK246</f>
        <v>11395.475909771545</v>
      </c>
      <c r="R268" s="80">
        <f>Funktional!AU246</f>
        <v>264.92315182219534</v>
      </c>
      <c r="S268" s="43">
        <f>Funktional!AT246</f>
        <v>4680.3090155254513</v>
      </c>
      <c r="T268" s="80">
        <f>Funktional!AQ246</f>
        <v>30.428346435635451</v>
      </c>
      <c r="U268" s="43">
        <f>Funktional!AP246</f>
        <v>537.56745369622627</v>
      </c>
      <c r="V268" s="80">
        <f t="shared" si="49"/>
        <v>384.24538099625278</v>
      </c>
      <c r="W268" s="183">
        <f t="shared" si="49"/>
        <v>6788.3350642671394</v>
      </c>
      <c r="X268" s="172">
        <f>Funktional!S246</f>
        <v>0.6378366190044249</v>
      </c>
      <c r="Y268" s="42">
        <f>Funktional!X246</f>
        <v>5.0794311181439178E-2</v>
      </c>
      <c r="Z268" s="42">
        <f>'Kennzahlen Revision'!L246</f>
        <v>1.6301722247086144E-2</v>
      </c>
      <c r="AA268" s="42">
        <f>Funktional!AE246</f>
        <v>5.1714600268760139E-2</v>
      </c>
      <c r="AB268" s="42">
        <f>Funktional!AJ246</f>
        <v>0.12643901256022425</v>
      </c>
      <c r="AC268" s="42">
        <f>Funktional!AS246</f>
        <v>5.1930577984225415E-2</v>
      </c>
      <c r="AD268" s="42">
        <f>Funktional!AO246</f>
        <v>5.9646037223931581E-3</v>
      </c>
      <c r="AE268" s="202">
        <f>Funktional!AV246</f>
        <v>7.5320275278532953E-2</v>
      </c>
      <c r="AF268" s="176"/>
      <c r="AG268" s="177"/>
      <c r="AH268" s="177">
        <f>Artengliederung!AN246</f>
        <v>0.19743005474087311</v>
      </c>
      <c r="AI268" s="178" t="str">
        <f t="shared" si="45"/>
        <v>Wilen bei Wil</v>
      </c>
    </row>
    <row r="269" spans="1:35" x14ac:dyDescent="0.25">
      <c r="A269" s="41" t="str">
        <f>Funktional!A247</f>
        <v>Wittenwil</v>
      </c>
      <c r="B269" s="41" t="str">
        <f>Funktional!B247</f>
        <v>KiGa</v>
      </c>
      <c r="C269" s="352">
        <f>Funktional!D247</f>
        <v>17</v>
      </c>
      <c r="D269" s="348">
        <f>Funktional!G247</f>
        <v>5051.4680923385604</v>
      </c>
      <c r="E269" s="186">
        <f>Funktional!F247</f>
        <v>171749.91513951105</v>
      </c>
      <c r="F269" s="48">
        <f>Funktional!U247</f>
        <v>3639.6376401414504</v>
      </c>
      <c r="G269" s="48">
        <f>Funktional!T247</f>
        <v>123747.67976480932</v>
      </c>
      <c r="H269" s="48">
        <f>Artengliederung!R247</f>
        <v>162.21723797015213</v>
      </c>
      <c r="I269" s="186">
        <f>Artengliederung!Q247</f>
        <v>5515.3860909851719</v>
      </c>
      <c r="J269" s="48">
        <f>Funktional!Z247</f>
        <v>193.64293223891394</v>
      </c>
      <c r="K269" s="48">
        <f>Funktional!Y247</f>
        <v>6583.8596961230742</v>
      </c>
      <c r="L269" s="48">
        <f>'Kennzahlen Revision'!O247</f>
        <v>94.705459828065955</v>
      </c>
      <c r="M269" s="48">
        <f>'Kennzahlen Revision'!N247</f>
        <v>3219.9856341542422</v>
      </c>
      <c r="N269" s="80">
        <f>Funktional!AG247</f>
        <v>71.579708009584735</v>
      </c>
      <c r="O269" s="43">
        <f>Funktional!AF247</f>
        <v>2433.7100723258809</v>
      </c>
      <c r="P269" s="43">
        <f>Funktional!AL247</f>
        <v>574.83516111257211</v>
      </c>
      <c r="Q269" s="43">
        <f>Funktional!AK247</f>
        <v>19544.395477827453</v>
      </c>
      <c r="R269" s="80">
        <f>Funktional!AU247</f>
        <v>194.8674958590164</v>
      </c>
      <c r="S269" s="43">
        <f>Funktional!AT247</f>
        <v>6625.4948592065575</v>
      </c>
      <c r="T269" s="80">
        <f>Funktional!AQ247</f>
        <v>14.1513082734949</v>
      </c>
      <c r="U269" s="43">
        <f>Funktional!AP247</f>
        <v>481.14448129882658</v>
      </c>
      <c r="V269" s="80">
        <f t="shared" si="49"/>
        <v>362.75384670352781</v>
      </c>
      <c r="W269" s="183">
        <f t="shared" si="49"/>
        <v>12333.630787919939</v>
      </c>
      <c r="X269" s="172">
        <f>Funktional!S247</f>
        <v>0.72051086409149079</v>
      </c>
      <c r="Y269" s="42">
        <f>Funktional!X247</f>
        <v>3.8333990970388886E-2</v>
      </c>
      <c r="Z269" s="42">
        <f>'Kennzahlen Revision'!L247</f>
        <v>1.8748106114280606E-2</v>
      </c>
      <c r="AA269" s="42">
        <f>Funktional!AE247</f>
        <v>1.4170080202653947E-2</v>
      </c>
      <c r="AB269" s="42">
        <f>Funktional!AJ247</f>
        <v>0.11379566308345306</v>
      </c>
      <c r="AC269" s="42">
        <f>Funktional!AS247</f>
        <v>3.8576408342471218E-2</v>
      </c>
      <c r="AD269" s="42">
        <f>Funktional!AO247</f>
        <v>2.8014248560646847E-3</v>
      </c>
      <c r="AE269" s="202">
        <f>Funktional!AV247</f>
        <v>7.1811568453477415E-2</v>
      </c>
      <c r="AF269" s="176"/>
      <c r="AG269" s="177"/>
      <c r="AH269" s="177">
        <f>Artengliederung!AN247</f>
        <v>0.25550834617723933</v>
      </c>
      <c r="AI269" s="178" t="str">
        <f t="shared" si="45"/>
        <v>Wittenwil</v>
      </c>
    </row>
    <row r="270" spans="1:35" x14ac:dyDescent="0.25">
      <c r="A270" s="41" t="str">
        <f>Funktional!A248</f>
        <v>Wuppenau</v>
      </c>
      <c r="B270" s="41" t="str">
        <f>Funktional!B248</f>
        <v>KiGa</v>
      </c>
      <c r="C270" s="352">
        <f>Funktional!D248</f>
        <v>21</v>
      </c>
      <c r="D270" s="348">
        <f>Funktional!G248</f>
        <v>4818.9078127707226</v>
      </c>
      <c r="E270" s="186">
        <f>Funktional!F248</f>
        <v>202394.12813637033</v>
      </c>
      <c r="F270" s="48">
        <f>Funktional!U248</f>
        <v>3334.8993676107893</v>
      </c>
      <c r="G270" s="48">
        <f>Funktional!T248</f>
        <v>140065.77343965316</v>
      </c>
      <c r="H270" s="48">
        <f>Artengliederung!R248</f>
        <v>118.33736322813044</v>
      </c>
      <c r="I270" s="186">
        <f>Artengliederung!Q248</f>
        <v>4970.1692555814789</v>
      </c>
      <c r="J270" s="48">
        <f>Funktional!Z248</f>
        <v>118.67213455256258</v>
      </c>
      <c r="K270" s="48">
        <f>Funktional!Y248</f>
        <v>4984.2296512076282</v>
      </c>
      <c r="L270" s="48">
        <f>'Kennzahlen Revision'!O248</f>
        <v>55.977643225923735</v>
      </c>
      <c r="M270" s="48">
        <f>'Kennzahlen Revision'!N248</f>
        <v>2351.0610154887968</v>
      </c>
      <c r="N270" s="80">
        <f>Funktional!AG248</f>
        <v>236.85735742633875</v>
      </c>
      <c r="O270" s="43">
        <f>Funktional!AF248</f>
        <v>9948.0090119062279</v>
      </c>
      <c r="P270" s="43">
        <f>Funktional!AL248</f>
        <v>677.15029203050153</v>
      </c>
      <c r="Q270" s="43">
        <f>Funktional!AK248</f>
        <v>28440.312265281063</v>
      </c>
      <c r="R270" s="80">
        <f>Funktional!AU248</f>
        <v>92.833448615577453</v>
      </c>
      <c r="S270" s="43">
        <f>Funktional!AT248</f>
        <v>3899.0048418542533</v>
      </c>
      <c r="T270" s="80">
        <f>Funktional!AQ248</f>
        <v>16.713704642631882</v>
      </c>
      <c r="U270" s="43">
        <f>Funktional!AP248</f>
        <v>701.97559499053909</v>
      </c>
      <c r="V270" s="80">
        <f t="shared" si="49"/>
        <v>341.78150789232109</v>
      </c>
      <c r="W270" s="183">
        <f t="shared" si="49"/>
        <v>14354.823331477457</v>
      </c>
      <c r="X270" s="172">
        <f>Funktional!S248</f>
        <v>0.69204464936492027</v>
      </c>
      <c r="Y270" s="42">
        <f>Funktional!X248</f>
        <v>2.4626355008922612E-2</v>
      </c>
      <c r="Z270" s="42">
        <f>'Kennzahlen Revision'!L248</f>
        <v>1.1616251109343868E-2</v>
      </c>
      <c r="AA270" s="42">
        <f>Funktional!AE248</f>
        <v>4.9151668101771205E-2</v>
      </c>
      <c r="AB270" s="42">
        <f>Funktional!AJ248</f>
        <v>0.14051945344045941</v>
      </c>
      <c r="AC270" s="42">
        <f>Funktional!AS248</f>
        <v>1.9264416797838909E-2</v>
      </c>
      <c r="AD270" s="42">
        <f>Funktional!AO248</f>
        <v>3.4683594897454624E-3</v>
      </c>
      <c r="AE270" s="202">
        <f>Funktional!AV248</f>
        <v>7.092509779634211E-2</v>
      </c>
      <c r="AF270" s="176"/>
      <c r="AG270" s="177"/>
      <c r="AH270" s="177">
        <f>Artengliederung!AN248</f>
        <v>0.5012048940239352</v>
      </c>
      <c r="AI270" s="178" t="str">
        <f t="shared" si="45"/>
        <v>Wuppenau</v>
      </c>
    </row>
    <row r="271" spans="1:35" hidden="1" x14ac:dyDescent="0.25">
      <c r="A271" s="41" t="str">
        <f>Funktional!A249</f>
        <v>Zezikon</v>
      </c>
      <c r="B271" s="41" t="str">
        <f>Funktional!B249</f>
        <v>KiGa</v>
      </c>
      <c r="C271" s="352">
        <f>Funktional!D249</f>
        <v>0</v>
      </c>
      <c r="D271" s="348">
        <f>Funktional!G249</f>
        <v>0</v>
      </c>
      <c r="E271" s="186">
        <f>Funktional!F249</f>
        <v>0</v>
      </c>
      <c r="F271" s="48">
        <f>Funktional!U249</f>
        <v>0</v>
      </c>
      <c r="G271" s="48">
        <f>Funktional!T249</f>
        <v>0</v>
      </c>
      <c r="H271" s="48">
        <f>Artengliederung!R249</f>
        <v>0</v>
      </c>
      <c r="I271" s="186">
        <f>Artengliederung!Q249</f>
        <v>0</v>
      </c>
      <c r="J271" s="48">
        <f>Funktional!Z249</f>
        <v>0</v>
      </c>
      <c r="K271" s="48">
        <f>Funktional!Y249</f>
        <v>0</v>
      </c>
      <c r="L271" s="48">
        <f>'Kennzahlen Revision'!O249</f>
        <v>0</v>
      </c>
      <c r="M271" s="48">
        <f>'Kennzahlen Revision'!N249</f>
        <v>0</v>
      </c>
      <c r="N271" s="80">
        <f>Funktional!AG249</f>
        <v>0</v>
      </c>
      <c r="O271" s="43">
        <f>Funktional!AF249</f>
        <v>0</v>
      </c>
      <c r="P271" s="43">
        <f>Funktional!AL249</f>
        <v>0</v>
      </c>
      <c r="Q271" s="43">
        <f>Funktional!AK249</f>
        <v>0</v>
      </c>
      <c r="R271" s="80">
        <f>Funktional!AU249</f>
        <v>0</v>
      </c>
      <c r="S271" s="43">
        <f>Funktional!AT249</f>
        <v>0</v>
      </c>
      <c r="T271" s="80">
        <f>Funktional!AQ249</f>
        <v>0</v>
      </c>
      <c r="U271" s="43">
        <f>Funktional!AP249</f>
        <v>0</v>
      </c>
      <c r="V271" s="80">
        <f t="shared" si="49"/>
        <v>0</v>
      </c>
      <c r="W271" s="183">
        <f t="shared" si="49"/>
        <v>0</v>
      </c>
      <c r="X271" s="172">
        <f>Funktional!S249</f>
        <v>0</v>
      </c>
      <c r="Y271" s="42">
        <f>Funktional!X249</f>
        <v>0</v>
      </c>
      <c r="Z271" s="42">
        <f>'Kennzahlen Revision'!L249</f>
        <v>0</v>
      </c>
      <c r="AA271" s="42">
        <f>Funktional!AE249</f>
        <v>0</v>
      </c>
      <c r="AB271" s="42">
        <f>Funktional!AJ249</f>
        <v>0</v>
      </c>
      <c r="AC271" s="42">
        <f>Funktional!AS249</f>
        <v>0</v>
      </c>
      <c r="AD271" s="42">
        <f>Funktional!AO249</f>
        <v>0</v>
      </c>
      <c r="AE271" s="202">
        <f>Funktional!AV249</f>
        <v>0</v>
      </c>
      <c r="AF271" s="176"/>
      <c r="AG271" s="177"/>
      <c r="AH271" s="177">
        <f>Artengliederung!AN249</f>
        <v>0</v>
      </c>
      <c r="AI271" s="178" t="str">
        <f t="shared" si="45"/>
        <v>Zezikon</v>
      </c>
    </row>
    <row r="272" spans="1:35" x14ac:dyDescent="0.25">
      <c r="A272" s="41" t="str">
        <f>Funktional!A250</f>
        <v>Zihlschlacht</v>
      </c>
      <c r="B272" s="41" t="str">
        <f>Funktional!B250</f>
        <v>KiGa</v>
      </c>
      <c r="C272" s="352">
        <f>Funktional!D250</f>
        <v>17</v>
      </c>
      <c r="D272" s="348">
        <f>Funktional!G250</f>
        <v>9929.1008438814824</v>
      </c>
      <c r="E272" s="186">
        <f>Funktional!F250</f>
        <v>168794.71434598521</v>
      </c>
      <c r="F272" s="48">
        <f>Funktional!U250</f>
        <v>6557.6214104334949</v>
      </c>
      <c r="G272" s="48">
        <f>Funktional!T250</f>
        <v>111479.56397736941</v>
      </c>
      <c r="H272" s="48">
        <f>Artengliederung!R250</f>
        <v>265.3180669757752</v>
      </c>
      <c r="I272" s="186">
        <f>Artengliederung!Q250</f>
        <v>4510.407138588178</v>
      </c>
      <c r="J272" s="48">
        <f>Funktional!Z250</f>
        <v>374.61146419988233</v>
      </c>
      <c r="K272" s="48">
        <f>Funktional!Y250</f>
        <v>6368.3948913979993</v>
      </c>
      <c r="L272" s="48">
        <f>'Kennzahlen Revision'!O250</f>
        <v>142.45068730387607</v>
      </c>
      <c r="M272" s="48">
        <f>'Kennzahlen Revision'!N250</f>
        <v>2421.6616841658933</v>
      </c>
      <c r="N272" s="80">
        <f>Funktional!AG250</f>
        <v>672.62041436172126</v>
      </c>
      <c r="O272" s="43">
        <f>Funktional!AF250</f>
        <v>11434.547044149262</v>
      </c>
      <c r="P272" s="43">
        <f>Funktional!AL250</f>
        <v>1592.9217768327921</v>
      </c>
      <c r="Q272" s="43">
        <f>Funktional!AK250</f>
        <v>27079.670206157465</v>
      </c>
      <c r="R272" s="80">
        <f>Funktional!AU250</f>
        <v>365.00926409319635</v>
      </c>
      <c r="S272" s="43">
        <f>Funktional!AT250</f>
        <v>6205.1574895843378</v>
      </c>
      <c r="T272" s="80">
        <f>Funktional!AQ250</f>
        <v>40.220463567582115</v>
      </c>
      <c r="U272" s="43">
        <f>Funktional!AP250</f>
        <v>683.74788064889594</v>
      </c>
      <c r="V272" s="80">
        <f t="shared" si="49"/>
        <v>326.09605039281342</v>
      </c>
      <c r="W272" s="183">
        <f t="shared" si="49"/>
        <v>5543.6328566778329</v>
      </c>
      <c r="X272" s="172">
        <f>Funktional!S250</f>
        <v>0.66044463779159179</v>
      </c>
      <c r="Y272" s="42">
        <f>Funktional!X250</f>
        <v>3.7728639288695069E-2</v>
      </c>
      <c r="Z272" s="42">
        <f>'Kennzahlen Revision'!L250</f>
        <v>1.4346786234088572E-2</v>
      </c>
      <c r="AA272" s="42">
        <f>Funktional!AE250</f>
        <v>6.7742328830933757E-2</v>
      </c>
      <c r="AB272" s="42">
        <f>Funktional!AJ250</f>
        <v>0.16042961008039144</v>
      </c>
      <c r="AC272" s="42">
        <f>Funktional!AS250</f>
        <v>3.6761562787240958E-2</v>
      </c>
      <c r="AD272" s="42">
        <f>Funktional!AO250</f>
        <v>4.0507659454749921E-3</v>
      </c>
      <c r="AE272" s="202">
        <f>Funktional!AV250</f>
        <v>3.2842455275671985E-2</v>
      </c>
      <c r="AF272" s="176"/>
      <c r="AG272" s="177"/>
      <c r="AH272" s="177">
        <f>Artengliederung!AN250</f>
        <v>0.42665733507009324</v>
      </c>
      <c r="AI272" s="178" t="str">
        <f t="shared" si="45"/>
        <v>Zihlschlacht</v>
      </c>
    </row>
    <row r="273" spans="1:35" hidden="1" x14ac:dyDescent="0.25">
      <c r="A273" s="41" t="s">
        <v>43</v>
      </c>
      <c r="B273" s="41" t="s">
        <v>35</v>
      </c>
      <c r="C273" s="352">
        <f>Funktional!D251</f>
        <v>0</v>
      </c>
      <c r="D273" s="348">
        <f>Funktional!G251</f>
        <v>0</v>
      </c>
      <c r="E273" s="186">
        <f>Funktional!F251</f>
        <v>0</v>
      </c>
      <c r="F273" s="48">
        <f>Funktional!U251</f>
        <v>0</v>
      </c>
      <c r="G273" s="48">
        <f>Funktional!T251</f>
        <v>0</v>
      </c>
      <c r="H273" s="48">
        <f>Artengliederung!R251</f>
        <v>0</v>
      </c>
      <c r="I273" s="186">
        <f>Artengliederung!Q251</f>
        <v>0</v>
      </c>
      <c r="J273" s="48">
        <f>Funktional!Z251</f>
        <v>0</v>
      </c>
      <c r="K273" s="48">
        <f>Funktional!Y251</f>
        <v>0</v>
      </c>
      <c r="L273" s="48">
        <f>'Kennzahlen Revision'!O251</f>
        <v>0</v>
      </c>
      <c r="M273" s="48">
        <f>'Kennzahlen Revision'!N251</f>
        <v>0</v>
      </c>
      <c r="N273" s="80">
        <f>Funktional!AG251</f>
        <v>0</v>
      </c>
      <c r="O273" s="43">
        <f>Funktional!AF251</f>
        <v>0</v>
      </c>
      <c r="P273" s="43">
        <f>Funktional!AL251</f>
        <v>0</v>
      </c>
      <c r="Q273" s="43">
        <f>Funktional!AK251</f>
        <v>0</v>
      </c>
      <c r="R273" s="80">
        <f>Funktional!AU251</f>
        <v>0</v>
      </c>
      <c r="S273" s="43">
        <f>Funktional!AT251</f>
        <v>0</v>
      </c>
      <c r="T273" s="80">
        <f>Funktional!AQ251</f>
        <v>0</v>
      </c>
      <c r="U273" s="43">
        <f>Funktional!AP251</f>
        <v>0</v>
      </c>
      <c r="V273" s="80">
        <f t="shared" si="49"/>
        <v>0</v>
      </c>
      <c r="W273" s="183">
        <f t="shared" si="49"/>
        <v>0</v>
      </c>
      <c r="X273" s="172">
        <f>Funktional!S252</f>
        <v>0.76448751411680294</v>
      </c>
      <c r="Y273" s="42">
        <f>Funktional!X252</f>
        <v>5.0753007203510093E-2</v>
      </c>
      <c r="Z273" s="42">
        <f>'Kennzahlen Revision'!L252</f>
        <v>1.6991878300797143E-2</v>
      </c>
      <c r="AA273" s="42">
        <f>Funktional!AE252</f>
        <v>6.3595336233136417E-3</v>
      </c>
      <c r="AB273" s="42">
        <f>Funktional!AJ252</f>
        <v>5.7729008195697165E-2</v>
      </c>
      <c r="AC273" s="42">
        <f>Funktional!AS252</f>
        <v>3.9263483270494483E-2</v>
      </c>
      <c r="AD273" s="42">
        <f>Funktional!AO252</f>
        <v>8.3901967437722911E-3</v>
      </c>
      <c r="AE273" s="202">
        <f>Funktional!AV252</f>
        <v>7.301725684640939E-2</v>
      </c>
      <c r="AF273" s="176"/>
      <c r="AG273" s="177"/>
      <c r="AH273" s="177"/>
      <c r="AI273" s="178" t="str">
        <f t="shared" si="45"/>
        <v>Zuben-Schönenb.</v>
      </c>
    </row>
    <row r="274" spans="1:35" ht="34.15" customHeight="1" x14ac:dyDescent="0.25">
      <c r="A274" s="192" t="s">
        <v>44</v>
      </c>
      <c r="B274" s="192"/>
      <c r="C274" s="356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2"/>
      <c r="Y274" s="42"/>
      <c r="Z274" s="42"/>
      <c r="AA274" s="42"/>
      <c r="AB274" s="42"/>
      <c r="AC274" s="42"/>
      <c r="AD274" s="42"/>
      <c r="AE274" s="202"/>
      <c r="AF274" s="177"/>
      <c r="AG274" s="177"/>
      <c r="AH274" s="177"/>
      <c r="AI274" s="178"/>
    </row>
    <row r="275" spans="1:35" x14ac:dyDescent="0.25">
      <c r="A275" s="41" t="str">
        <f>Funktional!A252</f>
        <v>Arbon</v>
      </c>
      <c r="B275" s="41" t="str">
        <f>Funktional!B252</f>
        <v>VSG</v>
      </c>
      <c r="C275" s="352">
        <f>Funktional!D252</f>
        <v>1775</v>
      </c>
      <c r="D275" s="348">
        <f>Funktional!G252</f>
        <v>11022.001436619719</v>
      </c>
      <c r="E275" s="186">
        <f>Funktional!F252</f>
        <v>224874.16724137933</v>
      </c>
      <c r="F275" s="48">
        <f>Funktional!U252</f>
        <v>8426.1824788732392</v>
      </c>
      <c r="G275" s="48">
        <f>Funktional!T252</f>
        <v>171913.49310344827</v>
      </c>
      <c r="H275" s="48">
        <f>Artengliederung!R252</f>
        <v>357.38267605633803</v>
      </c>
      <c r="I275" s="186">
        <f>Artengliederung!Q252</f>
        <v>7291.4281609195405</v>
      </c>
      <c r="J275" s="48">
        <f>Funktional!Z252</f>
        <v>559.39971830985917</v>
      </c>
      <c r="K275" s="48">
        <f>Funktional!Y252</f>
        <v>11413.040229885057</v>
      </c>
      <c r="L275" s="48">
        <f>'Kennzahlen Revision'!O252</f>
        <v>187.28450704225352</v>
      </c>
      <c r="M275" s="48">
        <f>'Kennzahlen Revision'!N252</f>
        <v>3821.0344827586205</v>
      </c>
      <c r="N275" s="80">
        <f>Funktional!AG252</f>
        <v>70.094788732394363</v>
      </c>
      <c r="O275" s="43">
        <f>Funktional!AF252</f>
        <v>1430.094827586207</v>
      </c>
      <c r="P275" s="43">
        <f>Funktional!AL252</f>
        <v>636.28921126760565</v>
      </c>
      <c r="Q275" s="43">
        <f>Funktional!AK252</f>
        <v>12981.762643678161</v>
      </c>
      <c r="R275" s="80">
        <f>Funktional!AU252</f>
        <v>432.76216901408452</v>
      </c>
      <c r="S275" s="43">
        <f>Funktional!AT252</f>
        <v>8829.3431034482765</v>
      </c>
      <c r="T275" s="80">
        <f>Funktional!AQ252</f>
        <v>92.476760563380282</v>
      </c>
      <c r="U275" s="43">
        <f>Funktional!AP252</f>
        <v>1886.7385057471265</v>
      </c>
      <c r="V275" s="80">
        <f t="shared" ref="V275:W294" si="50">D275-F275-J275-N275-P275-R275-T275</f>
        <v>804.79630985915617</v>
      </c>
      <c r="W275" s="183">
        <f t="shared" si="50"/>
        <v>16419.694827586231</v>
      </c>
      <c r="X275" s="172">
        <f>Funktional!S252</f>
        <v>0.76448751411680294</v>
      </c>
      <c r="Y275" s="42">
        <f>Funktional!X252</f>
        <v>5.0753007203510093E-2</v>
      </c>
      <c r="Z275" s="42">
        <f>'Kennzahlen Revision'!L252</f>
        <v>1.6991878300797143E-2</v>
      </c>
      <c r="AA275" s="42">
        <f>Funktional!AE252</f>
        <v>6.3595336233136417E-3</v>
      </c>
      <c r="AB275" s="42">
        <f>Funktional!AJ252</f>
        <v>5.7729008195697165E-2</v>
      </c>
      <c r="AC275" s="42">
        <f>Funktional!AS252</f>
        <v>3.9263483270494483E-2</v>
      </c>
      <c r="AD275" s="42">
        <f>Funktional!AO252</f>
        <v>8.3901967437722911E-3</v>
      </c>
      <c r="AE275" s="202">
        <f>Funktional!AV252</f>
        <v>7.301725684640939E-2</v>
      </c>
      <c r="AF275" s="176">
        <f>'Kennzahlen Revision'!C252</f>
        <v>4.5199999999999997E-2</v>
      </c>
      <c r="AG275" s="177">
        <f>'Kennzahlen Revision'!D252</f>
        <v>3.9600000000000003E-2</v>
      </c>
      <c r="AH275" s="177">
        <f>Artengliederung!AN252</f>
        <v>4.4816962015367313E-2</v>
      </c>
      <c r="AI275" s="178" t="str">
        <f t="shared" ref="AI275:AI294" si="51">A275</f>
        <v>Arbon</v>
      </c>
    </row>
    <row r="276" spans="1:35" x14ac:dyDescent="0.25">
      <c r="A276" s="41" t="str">
        <f>Funktional!A253</f>
        <v>Erlen-Riedt-Ennetaach</v>
      </c>
      <c r="B276" s="41" t="str">
        <f>Funktional!B253</f>
        <v>VSG</v>
      </c>
      <c r="C276" s="352">
        <f>Funktional!D253</f>
        <v>506</v>
      </c>
      <c r="D276" s="348">
        <f>Funktional!G253</f>
        <v>10322.906126482212</v>
      </c>
      <c r="E276" s="186">
        <f>Funktional!F253</f>
        <v>208935.61999999997</v>
      </c>
      <c r="F276" s="48">
        <f>Funktional!U253</f>
        <v>7622.9814229249014</v>
      </c>
      <c r="G276" s="48">
        <f>Funktional!T253</f>
        <v>154289.144</v>
      </c>
      <c r="H276" s="48">
        <f>Artengliederung!R253</f>
        <v>366.4506916996047</v>
      </c>
      <c r="I276" s="186">
        <f>Artengliederung!Q253</f>
        <v>7416.9619999999995</v>
      </c>
      <c r="J276" s="48">
        <f>Funktional!Z253</f>
        <v>601.61867588932807</v>
      </c>
      <c r="K276" s="48">
        <f>Funktional!Y253</f>
        <v>12176.761999999999</v>
      </c>
      <c r="L276" s="48">
        <f>'Kennzahlen Revision'!O253</f>
        <v>312.2529644268775</v>
      </c>
      <c r="M276" s="48">
        <f>'Kennzahlen Revision'!N253</f>
        <v>6320</v>
      </c>
      <c r="N276" s="80">
        <f>Funktional!AG253</f>
        <v>240.95849802371541</v>
      </c>
      <c r="O276" s="43">
        <f>Funktional!AF253</f>
        <v>4877</v>
      </c>
      <c r="P276" s="43">
        <f>Funktional!AL253</f>
        <v>1474.407114624506</v>
      </c>
      <c r="Q276" s="43">
        <f>Funktional!AK253</f>
        <v>29842</v>
      </c>
      <c r="R276" s="80">
        <f>Funktional!AU253</f>
        <v>139.33903162055336</v>
      </c>
      <c r="S276" s="43">
        <f>Funktional!AT253</f>
        <v>2820.2220000000002</v>
      </c>
      <c r="T276" s="80">
        <f>Funktional!AQ253</f>
        <v>44.898952569169957</v>
      </c>
      <c r="U276" s="43">
        <f>Funktional!AP253</f>
        <v>908.75479999999993</v>
      </c>
      <c r="V276" s="80">
        <f t="shared" si="50"/>
        <v>198.70243083003777</v>
      </c>
      <c r="W276" s="183">
        <f t="shared" si="50"/>
        <v>4021.7371999999641</v>
      </c>
      <c r="X276" s="172">
        <f>Funktional!S253</f>
        <v>0.73845304118081934</v>
      </c>
      <c r="Y276" s="42">
        <f>Funktional!X253</f>
        <v>5.8279971600821351E-2</v>
      </c>
      <c r="Z276" s="42">
        <f>'Kennzahlen Revision'!L253</f>
        <v>3.024855216166588E-2</v>
      </c>
      <c r="AA276" s="42">
        <f>Funktional!AE253</f>
        <v>2.3342118495639955E-2</v>
      </c>
      <c r="AB276" s="42">
        <f>Funktional!AJ253</f>
        <v>0.1428286856975369</v>
      </c>
      <c r="AC276" s="42">
        <f>Funktional!AS253</f>
        <v>1.3498043081404697E-2</v>
      </c>
      <c r="AD276" s="42">
        <f>Funktional!AO253</f>
        <v>4.3494488876525701E-3</v>
      </c>
      <c r="AE276" s="202">
        <f>Funktional!AV253</f>
        <v>1.9248691056125193E-2</v>
      </c>
      <c r="AF276" s="176">
        <f>'Kennzahlen Revision'!C253</f>
        <v>3.6600000000000001E-2</v>
      </c>
      <c r="AG276" s="177">
        <f>'Kennzahlen Revision'!D253</f>
        <v>1.6E-2</v>
      </c>
      <c r="AH276" s="177">
        <f>Artengliederung!AN253</f>
        <v>0.20122867512968831</v>
      </c>
      <c r="AI276" s="178" t="str">
        <f t="shared" si="51"/>
        <v>Erlen-Riedt-Ennetaach</v>
      </c>
    </row>
    <row r="277" spans="1:35" x14ac:dyDescent="0.25">
      <c r="A277" s="41" t="str">
        <f>Funktional!A254</f>
        <v>Eschlikon</v>
      </c>
      <c r="B277" s="41" t="str">
        <f>Funktional!B254</f>
        <v>VSG</v>
      </c>
      <c r="C277" s="352">
        <f>Funktional!D254</f>
        <v>444</v>
      </c>
      <c r="D277" s="348">
        <f>Funktional!G254</f>
        <v>12273.570270270271</v>
      </c>
      <c r="E277" s="186">
        <f>Funktional!F254</f>
        <v>236933.2695652174</v>
      </c>
      <c r="F277" s="48">
        <f>Funktional!U254</f>
        <v>7662.7666666666664</v>
      </c>
      <c r="G277" s="48">
        <f>Funktional!T254</f>
        <v>147924.71304347826</v>
      </c>
      <c r="H277" s="48">
        <f>Artengliederung!R254</f>
        <v>309.34977477477474</v>
      </c>
      <c r="I277" s="186">
        <f>Artengliederung!Q254</f>
        <v>5971.7956521739125</v>
      </c>
      <c r="J277" s="48">
        <f>Funktional!Z254</f>
        <v>543.36047297297296</v>
      </c>
      <c r="K277" s="48">
        <f>Funktional!Y254</f>
        <v>10489.21956521739</v>
      </c>
      <c r="L277" s="48">
        <f>'Kennzahlen Revision'!O254</f>
        <v>248.25</v>
      </c>
      <c r="M277" s="48">
        <f>'Kennzahlen Revision'!N254</f>
        <v>4792.304347826087</v>
      </c>
      <c r="N277" s="80">
        <f>Funktional!AG254</f>
        <v>1523.8808558558558</v>
      </c>
      <c r="O277" s="43">
        <f>Funktional!AF254</f>
        <v>29417.526086956521</v>
      </c>
      <c r="P277" s="43">
        <f>Funktional!AL254</f>
        <v>1305.4018018018016</v>
      </c>
      <c r="Q277" s="43">
        <f>Funktional!AK254</f>
        <v>25199.930434782604</v>
      </c>
      <c r="R277" s="80">
        <f>Funktional!AU254</f>
        <v>1012.0565315315315</v>
      </c>
      <c r="S277" s="43">
        <f>Funktional!AT254</f>
        <v>19537.091304347825</v>
      </c>
      <c r="T277" s="80">
        <f>Funktional!AQ254</f>
        <v>10.896846846846847</v>
      </c>
      <c r="U277" s="43">
        <f>Funktional!AP254</f>
        <v>210.35652173913041</v>
      </c>
      <c r="V277" s="80">
        <f t="shared" si="50"/>
        <v>215.2070945945957</v>
      </c>
      <c r="W277" s="183">
        <f t="shared" si="50"/>
        <v>4154.4326086956744</v>
      </c>
      <c r="X277" s="172">
        <f>Funktional!S254</f>
        <v>0.62433069579011158</v>
      </c>
      <c r="Y277" s="42">
        <f>Funktional!X254</f>
        <v>4.4270775414805841E-2</v>
      </c>
      <c r="Z277" s="42">
        <f>'Kennzahlen Revision'!L254</f>
        <v>2.0226388453677985E-2</v>
      </c>
      <c r="AA277" s="42">
        <f>Funktional!AE254</f>
        <v>0.12415954138031746</v>
      </c>
      <c r="AB277" s="42">
        <f>Funktional!AJ254</f>
        <v>0.10635876709516374</v>
      </c>
      <c r="AC277" s="42">
        <f>Funktional!AS254</f>
        <v>8.245820158646025E-2</v>
      </c>
      <c r="AD277" s="42">
        <f>Funktional!AO254</f>
        <v>8.8783024066288192E-4</v>
      </c>
      <c r="AE277" s="202">
        <f>Funktional!AV254</f>
        <v>1.7534188492478259E-2</v>
      </c>
      <c r="AF277" s="176">
        <f>'Kennzahlen Revision'!C254</f>
        <v>0.23200000000000001</v>
      </c>
      <c r="AG277" s="177">
        <f>'Kennzahlen Revision'!D254</f>
        <v>9.6600000000000005E-2</v>
      </c>
      <c r="AH277" s="177">
        <f>Artengliederung!AN254</f>
        <v>5.0766366945512377E-2</v>
      </c>
      <c r="AI277" s="178" t="str">
        <f t="shared" si="51"/>
        <v>Eschlikon</v>
      </c>
    </row>
    <row r="278" spans="1:35" x14ac:dyDescent="0.25">
      <c r="A278" s="41" t="str">
        <f>Funktional!A255</f>
        <v>Horn</v>
      </c>
      <c r="B278" s="41" t="str">
        <f>Funktional!B255</f>
        <v>VSG</v>
      </c>
      <c r="C278" s="352">
        <f>Funktional!D255</f>
        <v>300</v>
      </c>
      <c r="D278" s="348">
        <f>Funktional!G255</f>
        <v>11746.915766666667</v>
      </c>
      <c r="E278" s="186">
        <f>Funktional!F255</f>
        <v>220254.670625</v>
      </c>
      <c r="F278" s="48">
        <f>Funktional!U255</f>
        <v>8169.8723</v>
      </c>
      <c r="G278" s="48">
        <f>Funktional!T255</f>
        <v>153185.105625</v>
      </c>
      <c r="H278" s="48">
        <f>Artengliederung!R255</f>
        <v>360.50933333333336</v>
      </c>
      <c r="I278" s="186">
        <f>Artengliederung!Q255</f>
        <v>6759.55</v>
      </c>
      <c r="J278" s="48">
        <f>Funktional!Z255</f>
        <v>483.9325</v>
      </c>
      <c r="K278" s="48">
        <f>Funktional!Y255</f>
        <v>9073.734375</v>
      </c>
      <c r="L278" s="48">
        <f>'Kennzahlen Revision'!O255</f>
        <v>161.53333333333333</v>
      </c>
      <c r="M278" s="48">
        <f>'Kennzahlen Revision'!N255</f>
        <v>3028.75</v>
      </c>
      <c r="N278" s="80">
        <f>Funktional!AG255</f>
        <v>666.66666666666663</v>
      </c>
      <c r="O278" s="43">
        <f>Funktional!AF255</f>
        <v>12500</v>
      </c>
      <c r="P278" s="43">
        <f>Funktional!AL255</f>
        <v>1327.7663333333335</v>
      </c>
      <c r="Q278" s="43">
        <f>Funktional!AK255</f>
        <v>24895.618750000001</v>
      </c>
      <c r="R278" s="80">
        <f>Funktional!AU255</f>
        <v>590.89949999999999</v>
      </c>
      <c r="S278" s="43">
        <f>Funktional!AT255</f>
        <v>11079.365625</v>
      </c>
      <c r="T278" s="80">
        <f>Funktional!AQ255</f>
        <v>104.97330000000001</v>
      </c>
      <c r="U278" s="43">
        <f>Funktional!AP255</f>
        <v>1968.2493750000001</v>
      </c>
      <c r="V278" s="80">
        <f t="shared" si="50"/>
        <v>402.80516666666711</v>
      </c>
      <c r="W278" s="183">
        <f t="shared" si="50"/>
        <v>7552.5968750000002</v>
      </c>
      <c r="X278" s="172">
        <f>Funktional!S255</f>
        <v>0.69549083881090112</v>
      </c>
      <c r="Y278" s="42">
        <f>Funktional!X255</f>
        <v>4.1196558280703656E-2</v>
      </c>
      <c r="Z278" s="42">
        <f>'Kennzahlen Revision'!L255</f>
        <v>1.3751127235602068E-2</v>
      </c>
      <c r="AA278" s="42">
        <f>Funktional!AE255</f>
        <v>5.6752485495675062E-2</v>
      </c>
      <c r="AB278" s="42">
        <f>Funktional!AJ255</f>
        <v>0.11303105936121849</v>
      </c>
      <c r="AC278" s="42">
        <f>Funktional!AS255</f>
        <v>5.0302522954727466E-2</v>
      </c>
      <c r="AD278" s="42">
        <f>Funktional!AO255</f>
        <v>8.9362435285247205E-3</v>
      </c>
      <c r="AE278" s="202">
        <f>Funktional!AV255</f>
        <v>3.4290291568249462E-2</v>
      </c>
      <c r="AF278" s="176">
        <f>'Kennzahlen Revision'!C255</f>
        <v>0.10730000000000001</v>
      </c>
      <c r="AG278" s="177">
        <f>'Kennzahlen Revision'!D255</f>
        <v>5.1299999999999998E-2</v>
      </c>
      <c r="AH278" s="177">
        <f>Artengliederung!AN255</f>
        <v>2.3510270453316974E-2</v>
      </c>
      <c r="AI278" s="173" t="str">
        <f t="shared" si="51"/>
        <v>Horn</v>
      </c>
    </row>
    <row r="279" spans="1:35" x14ac:dyDescent="0.25">
      <c r="A279" s="41" t="str">
        <f>Funktional!A256</f>
        <v>Münchwilen</v>
      </c>
      <c r="B279" s="41" t="str">
        <f>Funktional!B256</f>
        <v>VSG</v>
      </c>
      <c r="C279" s="352">
        <f>Funktional!D256</f>
        <v>666</v>
      </c>
      <c r="D279" s="348">
        <f>Funktional!G256</f>
        <v>10833.785510510512</v>
      </c>
      <c r="E279" s="186">
        <f>Funktional!F256</f>
        <v>206151.46142857143</v>
      </c>
      <c r="F279" s="48">
        <f>Funktional!U256</f>
        <v>7425.0633633633634</v>
      </c>
      <c r="G279" s="48">
        <f>Funktional!T256</f>
        <v>141288.34857142856</v>
      </c>
      <c r="H279" s="48">
        <f>Artengliederung!R256</f>
        <v>353.73340840840842</v>
      </c>
      <c r="I279" s="186">
        <f>Artengliederung!Q256</f>
        <v>6731.0414285714287</v>
      </c>
      <c r="J279" s="48">
        <f>Funktional!Z256</f>
        <v>597.09414414414414</v>
      </c>
      <c r="K279" s="48">
        <f>Funktional!Y256</f>
        <v>11361.848571428573</v>
      </c>
      <c r="L279" s="48">
        <f>'Kennzahlen Revision'!O256</f>
        <v>323.30330330330332</v>
      </c>
      <c r="M279" s="48">
        <f>'Kennzahlen Revision'!N256</f>
        <v>6152</v>
      </c>
      <c r="N279" s="80">
        <f>Funktional!AG256</f>
        <v>770.27027027027032</v>
      </c>
      <c r="O279" s="43">
        <f>Funktional!AF256</f>
        <v>14657.142857142857</v>
      </c>
      <c r="P279" s="43">
        <f>Funktional!AL256</f>
        <v>1295.5536786786786</v>
      </c>
      <c r="Q279" s="43">
        <f>Funktional!AK256</f>
        <v>24652.535714285714</v>
      </c>
      <c r="R279" s="80">
        <f>Funktional!AU256</f>
        <v>388.56043543543541</v>
      </c>
      <c r="S279" s="43">
        <f>Funktional!AT256</f>
        <v>7393.75</v>
      </c>
      <c r="T279" s="80">
        <f>Funktional!AQ256</f>
        <v>48.184159159159158</v>
      </c>
      <c r="U279" s="43">
        <f>Funktional!AP256</f>
        <v>916.87571428571437</v>
      </c>
      <c r="V279" s="80">
        <f t="shared" si="50"/>
        <v>309.05945945946075</v>
      </c>
      <c r="W279" s="183">
        <f t="shared" si="50"/>
        <v>5880.9600000000173</v>
      </c>
      <c r="X279" s="172">
        <f>Funktional!S256</f>
        <v>0.68536185769598823</v>
      </c>
      <c r="Y279" s="42">
        <f>Funktional!X256</f>
        <v>5.5114082105914591E-2</v>
      </c>
      <c r="Z279" s="42">
        <f>'Kennzahlen Revision'!L256</f>
        <v>2.9842136249572895E-2</v>
      </c>
      <c r="AA279" s="42">
        <f>Funktional!AE256</f>
        <v>7.1098903474042796E-2</v>
      </c>
      <c r="AB279" s="42">
        <f>Funktional!AJ256</f>
        <v>0.11958457894720027</v>
      </c>
      <c r="AC279" s="42">
        <f>Funktional!AS256</f>
        <v>3.5865620106514888E-2</v>
      </c>
      <c r="AD279" s="42">
        <f>Funktional!AO256</f>
        <v>4.4475828981857535E-3</v>
      </c>
      <c r="AE279" s="202">
        <f>Funktional!AV256</f>
        <v>2.8527374772153453E-2</v>
      </c>
      <c r="AF279" s="176">
        <f>'Kennzahlen Revision'!C256</f>
        <v>0.1055</v>
      </c>
      <c r="AG279" s="177">
        <f>'Kennzahlen Revision'!D256</f>
        <v>3.7400000000000003E-2</v>
      </c>
      <c r="AH279" s="177">
        <f>Artengliederung!AN256</f>
        <v>3.3909707289209959E-2</v>
      </c>
      <c r="AI279" s="178" t="str">
        <f t="shared" si="51"/>
        <v>Münchwilen</v>
      </c>
    </row>
    <row r="280" spans="1:35" x14ac:dyDescent="0.25">
      <c r="A280" s="41" t="str">
        <f>Funktional!A257</f>
        <v>Wängi</v>
      </c>
      <c r="B280" s="41" t="str">
        <f>Funktional!B257</f>
        <v>VSG</v>
      </c>
      <c r="C280" s="352">
        <f>Funktional!D257</f>
        <v>692</v>
      </c>
      <c r="D280" s="348">
        <f>Funktional!G257</f>
        <v>9738.2110693641607</v>
      </c>
      <c r="E280" s="186">
        <f>Funktional!F257</f>
        <v>182130.86648648648</v>
      </c>
      <c r="F280" s="48">
        <f>Funktional!U257</f>
        <v>7658.9255924855488</v>
      </c>
      <c r="G280" s="48">
        <f>Funktional!T257</f>
        <v>143242.60837837838</v>
      </c>
      <c r="H280" s="48">
        <f>Artengliederung!R257</f>
        <v>413.50745664739878</v>
      </c>
      <c r="I280" s="186">
        <f>Artengliederung!Q257</f>
        <v>7733.707027027026</v>
      </c>
      <c r="J280" s="48">
        <f>Funktional!Z257</f>
        <v>276.72933526011565</v>
      </c>
      <c r="K280" s="48">
        <f>Funktional!Y257</f>
        <v>5175.586486486487</v>
      </c>
      <c r="L280" s="48">
        <f>'Kennzahlen Revision'!O257</f>
        <v>85.982658959537574</v>
      </c>
      <c r="M280" s="48">
        <f>'Kennzahlen Revision'!N257</f>
        <v>1608.1081081081081</v>
      </c>
      <c r="N280" s="80">
        <f>Funktional!AG257</f>
        <v>491.32947976878614</v>
      </c>
      <c r="O280" s="43">
        <f>Funktional!AF257</f>
        <v>9189.1891891891901</v>
      </c>
      <c r="P280" s="43">
        <f>Funktional!AL257</f>
        <v>786.31322254335259</v>
      </c>
      <c r="Q280" s="43">
        <f>Funktional!AK257</f>
        <v>14706.182432432432</v>
      </c>
      <c r="R280" s="80">
        <f>Funktional!AU257</f>
        <v>278.30361271676304</v>
      </c>
      <c r="S280" s="43">
        <f>Funktional!AT257</f>
        <v>5205.0297297297302</v>
      </c>
      <c r="T280" s="80">
        <f>Funktional!AQ257</f>
        <v>19.047687861271676</v>
      </c>
      <c r="U280" s="43">
        <f>Funktional!AP257</f>
        <v>356.24324324324323</v>
      </c>
      <c r="V280" s="80">
        <f t="shared" si="50"/>
        <v>227.56213872832282</v>
      </c>
      <c r="W280" s="183">
        <f t="shared" si="50"/>
        <v>4256.0270270270203</v>
      </c>
      <c r="X280" s="172">
        <f>Funktional!S257</f>
        <v>0.78648178170835481</v>
      </c>
      <c r="Y280" s="42">
        <f>Funktional!X257</f>
        <v>2.8416855343245725E-2</v>
      </c>
      <c r="Z280" s="42">
        <f>'Kennzahlen Revision'!L257</f>
        <v>8.8294100782056323E-3</v>
      </c>
      <c r="AA280" s="42">
        <f>Funktional!AE257</f>
        <v>5.0453771875460754E-2</v>
      </c>
      <c r="AB280" s="42">
        <f>Funktional!AJ257</f>
        <v>8.0745140656998879E-2</v>
      </c>
      <c r="AC280" s="42">
        <f>Funktional!AS257</f>
        <v>2.8578515164072567E-2</v>
      </c>
      <c r="AD280" s="42">
        <f>Funktional!AO257</f>
        <v>1.9559740208542594E-3</v>
      </c>
      <c r="AE280" s="202">
        <f>Funktional!AV257</f>
        <v>2.3367961231013E-2</v>
      </c>
      <c r="AF280" s="176">
        <f>'Kennzahlen Revision'!C257</f>
        <v>6.1800000000000001E-2</v>
      </c>
      <c r="AG280" s="177">
        <f>'Kennzahlen Revision'!D257</f>
        <v>2.7400000000000001E-2</v>
      </c>
      <c r="AH280" s="177">
        <f>Artengliederung!AN257</f>
        <v>9.3959005770199056E-2</v>
      </c>
      <c r="AI280" s="178" t="str">
        <f t="shared" si="51"/>
        <v>Wängi</v>
      </c>
    </row>
    <row r="281" spans="1:35" x14ac:dyDescent="0.25">
      <c r="A281" s="41" t="str">
        <f>Funktional!A258</f>
        <v>Andwil</v>
      </c>
      <c r="B281" s="41" t="str">
        <f>Funktional!B258</f>
        <v>VSG*</v>
      </c>
      <c r="C281" s="352">
        <f>Funktional!D258</f>
        <v>39</v>
      </c>
      <c r="D281" s="348">
        <f>Funktional!G258</f>
        <v>13548.449973333698</v>
      </c>
      <c r="E281" s="186">
        <f>Funktional!F258</f>
        <v>211355.81958400569</v>
      </c>
      <c r="F281" s="48">
        <f>Funktional!U258</f>
        <v>7536.1647980350699</v>
      </c>
      <c r="G281" s="48">
        <f>Funktional!T258</f>
        <v>117564.17084934709</v>
      </c>
      <c r="H281" s="48">
        <f>Artengliederung!R258</f>
        <v>378.96478536249248</v>
      </c>
      <c r="I281" s="186">
        <f>Artengliederung!Q258</f>
        <v>5911.8506516548823</v>
      </c>
      <c r="J281" s="48">
        <f>Funktional!Z258</f>
        <v>879.53825094096044</v>
      </c>
      <c r="K281" s="48">
        <f>Funktional!Y258</f>
        <v>13720.796714678983</v>
      </c>
      <c r="L281" s="48">
        <f>'Kennzahlen Revision'!O258</f>
        <v>300.91581940394838</v>
      </c>
      <c r="M281" s="48">
        <f>'Kennzahlen Revision'!N258</f>
        <v>4694.2867827015943</v>
      </c>
      <c r="N281" s="80">
        <f>Funktional!AG258</f>
        <v>972.45245837805976</v>
      </c>
      <c r="O281" s="43">
        <f>Funktional!AF258</f>
        <v>15170.258350697733</v>
      </c>
      <c r="P281" s="43">
        <f>Funktional!AL258</f>
        <v>2511.5218817982691</v>
      </c>
      <c r="Q281" s="43">
        <f>Funktional!AK258</f>
        <v>39179.741356052997</v>
      </c>
      <c r="R281" s="80">
        <f>Funktional!AU258</f>
        <v>782.8131595909814</v>
      </c>
      <c r="S281" s="43">
        <f>Funktional!AT258</f>
        <v>12211.885289619309</v>
      </c>
      <c r="T281" s="80">
        <f>Funktional!AQ258</f>
        <v>68.673288785401084</v>
      </c>
      <c r="U281" s="43">
        <f>Funktional!AP258</f>
        <v>1071.3033050522567</v>
      </c>
      <c r="V281" s="80">
        <f t="shared" si="50"/>
        <v>797.28613580495698</v>
      </c>
      <c r="W281" s="183">
        <f t="shared" si="50"/>
        <v>12437.663718557309</v>
      </c>
      <c r="X281" s="172">
        <f>Funktional!S258</f>
        <v>0.55623815365358287</v>
      </c>
      <c r="Y281" s="42">
        <f>Funktional!X258</f>
        <v>6.491799819699548E-2</v>
      </c>
      <c r="Z281" s="42">
        <f>'Kennzahlen Revision'!L258</f>
        <v>2.2210350261189747E-2</v>
      </c>
      <c r="AA281" s="42">
        <f>Funktional!AE258</f>
        <v>7.177591977621485E-2</v>
      </c>
      <c r="AB281" s="42">
        <f>Funktional!AJ258</f>
        <v>0.18537337383549346</v>
      </c>
      <c r="AC281" s="42">
        <f>Funktional!AS258</f>
        <v>5.7778798396254057E-2</v>
      </c>
      <c r="AD281" s="42">
        <f>Funktional!AO258</f>
        <v>5.0687192203215181E-3</v>
      </c>
      <c r="AE281" s="202">
        <f>Funktional!AV258</f>
        <v>5.8847036921137734E-2</v>
      </c>
      <c r="AF281" s="176">
        <f>'Kennzahlen Revision'!C258</f>
        <v>0.09</v>
      </c>
      <c r="AG281" s="177">
        <f>'Kennzahlen Revision'!D258</f>
        <v>2.18E-2</v>
      </c>
      <c r="AH281" s="177">
        <f>Artengliederung!AN258</f>
        <v>0.26899113846685913</v>
      </c>
      <c r="AI281" s="178" t="str">
        <f t="shared" si="51"/>
        <v>Andwil</v>
      </c>
    </row>
    <row r="282" spans="1:35" x14ac:dyDescent="0.25">
      <c r="A282" s="41" t="str">
        <f>Funktional!A259</f>
        <v>Frasnacht</v>
      </c>
      <c r="B282" s="41" t="str">
        <f>Funktional!B259</f>
        <v>VSG*</v>
      </c>
      <c r="C282" s="352">
        <f>Funktional!D259</f>
        <v>96</v>
      </c>
      <c r="D282" s="348">
        <f>Funktional!G259</f>
        <v>10988.841848515351</v>
      </c>
      <c r="E282" s="186">
        <f>Funktional!F259</f>
        <v>210985.76349149473</v>
      </c>
      <c r="F282" s="48">
        <f>Funktional!U259</f>
        <v>5665.6644564249191</v>
      </c>
      <c r="G282" s="48">
        <f>Funktional!T259</f>
        <v>108780.75756335845</v>
      </c>
      <c r="H282" s="48">
        <f>Artengliederung!R259</f>
        <v>361.81551069536476</v>
      </c>
      <c r="I282" s="186">
        <f>Artengliederung!Q259</f>
        <v>6946.8578053510037</v>
      </c>
      <c r="J282" s="48">
        <f>Funktional!Z259</f>
        <v>737.42598142783743</v>
      </c>
      <c r="K282" s="48">
        <f>Funktional!Y259</f>
        <v>14158.578843414478</v>
      </c>
      <c r="L282" s="48">
        <f>'Kennzahlen Revision'!O259</f>
        <v>177.22909933778695</v>
      </c>
      <c r="M282" s="48">
        <f>'Kennzahlen Revision'!N259</f>
        <v>3402.7987072855094</v>
      </c>
      <c r="N282" s="80">
        <f>Funktional!AG259</f>
        <v>2178.702876020076</v>
      </c>
      <c r="O282" s="43">
        <f>Funktional!AF259</f>
        <v>41831.095219585455</v>
      </c>
      <c r="P282" s="43">
        <f>Funktional!AL259</f>
        <v>1053.3672271433102</v>
      </c>
      <c r="Q282" s="43">
        <f>Funktional!AK259</f>
        <v>20224.650761151555</v>
      </c>
      <c r="R282" s="80">
        <f>Funktional!AU259</f>
        <v>497.52607488001075</v>
      </c>
      <c r="S282" s="43">
        <f>Funktional!AT259</f>
        <v>9552.5006376962065</v>
      </c>
      <c r="T282" s="80">
        <f>Funktional!AQ259</f>
        <v>107.91324835588591</v>
      </c>
      <c r="U282" s="43">
        <f>Funktional!AP259</f>
        <v>2071.9343684330097</v>
      </c>
      <c r="V282" s="80">
        <f t="shared" si="50"/>
        <v>748.24198426331111</v>
      </c>
      <c r="W282" s="183">
        <f t="shared" si="50"/>
        <v>14366.246097855575</v>
      </c>
      <c r="X282" s="172">
        <f>Funktional!S259</f>
        <v>0.51558340128358293</v>
      </c>
      <c r="Y282" s="42">
        <f>Funktional!X259</f>
        <v>6.710679720333472E-2</v>
      </c>
      <c r="Z282" s="42">
        <f>'Kennzahlen Revision'!L259</f>
        <v>1.6128096279930677E-2</v>
      </c>
      <c r="AA282" s="42">
        <f>Funktional!AE259</f>
        <v>0.19826501337030616</v>
      </c>
      <c r="AB282" s="42">
        <f>Funktional!AJ259</f>
        <v>9.5857893094132174E-2</v>
      </c>
      <c r="AC282" s="42">
        <f>Funktional!AS259</f>
        <v>4.5275569685920003E-2</v>
      </c>
      <c r="AD282" s="42">
        <f>Funktional!AO259</f>
        <v>9.8202567516671967E-3</v>
      </c>
      <c r="AE282" s="202">
        <f>Funktional!AV259</f>
        <v>6.8091068611056793E-2</v>
      </c>
      <c r="AF282" s="176">
        <f>'Kennzahlen Revision'!C259</f>
        <v>6.6600000000000006E-2</v>
      </c>
      <c r="AG282" s="177">
        <f>'Kennzahlen Revision'!D259</f>
        <v>5.4000000000000003E-3</v>
      </c>
      <c r="AH282" s="177">
        <f>Artengliederung!AN259</f>
        <v>0</v>
      </c>
      <c r="AI282" s="178" t="str">
        <f t="shared" si="51"/>
        <v>Frasnacht</v>
      </c>
    </row>
    <row r="283" spans="1:35" x14ac:dyDescent="0.25">
      <c r="A283" s="41" t="str">
        <f>Funktional!A260</f>
        <v>Freidorf-Watt</v>
      </c>
      <c r="B283" s="41" t="str">
        <f>Funktional!B260</f>
        <v>VSG*</v>
      </c>
      <c r="C283" s="352">
        <f>Funktional!D260</f>
        <v>106</v>
      </c>
      <c r="D283" s="348">
        <f>Funktional!G260</f>
        <v>9567.4004920551342</v>
      </c>
      <c r="E283" s="186">
        <f>Funktional!F260</f>
        <v>184389.90039233534</v>
      </c>
      <c r="F283" s="48">
        <f>Funktional!U260</f>
        <v>4888.6735137435217</v>
      </c>
      <c r="G283" s="48">
        <f>Funktional!T260</f>
        <v>94218.071355784239</v>
      </c>
      <c r="H283" s="48">
        <f>Artengliederung!R260</f>
        <v>312.69517827540136</v>
      </c>
      <c r="I283" s="186">
        <f>Artengliederung!Q260</f>
        <v>6026.4888903986439</v>
      </c>
      <c r="J283" s="48">
        <f>Funktional!Z260</f>
        <v>371.1978696854797</v>
      </c>
      <c r="K283" s="48">
        <f>Funktional!Y260</f>
        <v>7153.995306665608</v>
      </c>
      <c r="L283" s="48">
        <f>'Kennzahlen Revision'!O260</f>
        <v>82.707129895831116</v>
      </c>
      <c r="M283" s="48">
        <f>'Kennzahlen Revision'!N260</f>
        <v>1593.9919579923815</v>
      </c>
      <c r="N283" s="80">
        <f>Funktional!AG260</f>
        <v>1591.1276418055129</v>
      </c>
      <c r="O283" s="43">
        <f>Funktional!AF260</f>
        <v>30665.369096615341</v>
      </c>
      <c r="P283" s="43">
        <f>Funktional!AL260</f>
        <v>931.15349581050634</v>
      </c>
      <c r="Q283" s="43">
        <f>Funktional!AK260</f>
        <v>17945.867373802485</v>
      </c>
      <c r="R283" s="80">
        <f>Funktional!AU260</f>
        <v>1528.5774209957231</v>
      </c>
      <c r="S283" s="43">
        <f>Funktional!AT260</f>
        <v>29459.855750099392</v>
      </c>
      <c r="T283" s="80">
        <f>Funktional!AQ260</f>
        <v>69.466506086459944</v>
      </c>
      <c r="U283" s="43">
        <f>Funktional!AP260</f>
        <v>1338.8090263935917</v>
      </c>
      <c r="V283" s="80">
        <f t="shared" si="50"/>
        <v>187.2040439279308</v>
      </c>
      <c r="W283" s="183">
        <f t="shared" si="50"/>
        <v>3607.932482974702</v>
      </c>
      <c r="X283" s="172">
        <f>Funktional!S260</f>
        <v>0.5109719738191294</v>
      </c>
      <c r="Y283" s="42">
        <f>Funktional!X260</f>
        <v>3.8798194974039822E-2</v>
      </c>
      <c r="Z283" s="42">
        <f>'Kennzahlen Revision'!L260</f>
        <v>8.644681485269895E-3</v>
      </c>
      <c r="AA283" s="42">
        <f>Funktional!AE260</f>
        <v>0.16630720571662086</v>
      </c>
      <c r="AB283" s="42">
        <f>Funktional!AJ260</f>
        <v>9.7325652520111966E-2</v>
      </c>
      <c r="AC283" s="42">
        <f>Funktional!AS260</f>
        <v>0.15976935660476105</v>
      </c>
      <c r="AD283" s="42">
        <f>Funktional!AO260</f>
        <v>7.2607503097780451E-3</v>
      </c>
      <c r="AE283" s="202">
        <f>Funktional!AV260</f>
        <v>1.9566866055558907E-2</v>
      </c>
      <c r="AF283" s="176">
        <f>'Kennzahlen Revision'!C260</f>
        <v>0.27100000000000002</v>
      </c>
      <c r="AG283" s="177">
        <f>'Kennzahlen Revision'!D260</f>
        <v>0.12909999999999999</v>
      </c>
      <c r="AH283" s="177">
        <f>Artengliederung!AN260</f>
        <v>4.2889969711917643E-2</v>
      </c>
      <c r="AI283" s="178" t="str">
        <f t="shared" si="51"/>
        <v>Freidorf-Watt</v>
      </c>
    </row>
    <row r="284" spans="1:35" x14ac:dyDescent="0.25">
      <c r="A284" s="41" t="str">
        <f>Funktional!A261</f>
        <v>Kümmertshausen</v>
      </c>
      <c r="B284" s="41" t="str">
        <f>Funktional!B261</f>
        <v>VSG*</v>
      </c>
      <c r="C284" s="352">
        <f>Funktional!D261</f>
        <v>58</v>
      </c>
      <c r="D284" s="348">
        <f>Funktional!G261</f>
        <v>9985.1540121884755</v>
      </c>
      <c r="E284" s="186">
        <f>Funktional!F261</f>
        <v>289569.4663534658</v>
      </c>
      <c r="F284" s="48">
        <f>Funktional!U261</f>
        <v>7771.8130395351309</v>
      </c>
      <c r="G284" s="48">
        <f>Funktional!T261</f>
        <v>225382.57814651879</v>
      </c>
      <c r="H284" s="48">
        <f>Artengliederung!R261</f>
        <v>314.90203076657332</v>
      </c>
      <c r="I284" s="186">
        <f>Artengliederung!Q261</f>
        <v>9132.1588922306255</v>
      </c>
      <c r="J284" s="48">
        <f>Funktional!Z261</f>
        <v>390.29704050067522</v>
      </c>
      <c r="K284" s="48">
        <f>Funktional!Y261</f>
        <v>11318.614174519582</v>
      </c>
      <c r="L284" s="48">
        <f>'Kennzahlen Revision'!O261</f>
        <v>143.26062761166148</v>
      </c>
      <c r="M284" s="48">
        <f>'Kennzahlen Revision'!N261</f>
        <v>4154.5582007381827</v>
      </c>
      <c r="N284" s="80">
        <f>Funktional!AG261</f>
        <v>453.1012591885804</v>
      </c>
      <c r="O284" s="43">
        <f>Funktional!AF261</f>
        <v>13139.936516468832</v>
      </c>
      <c r="P284" s="43">
        <f>Funktional!AL261</f>
        <v>669.18629253082815</v>
      </c>
      <c r="Q284" s="43">
        <f>Funktional!AK261</f>
        <v>19406.402483394017</v>
      </c>
      <c r="R284" s="80">
        <f>Funktional!AU261</f>
        <v>304.0335900077705</v>
      </c>
      <c r="S284" s="43">
        <f>Funktional!AT261</f>
        <v>8816.9741102253447</v>
      </c>
      <c r="T284" s="80">
        <f>Funktional!AQ261</f>
        <v>70.196035344969076</v>
      </c>
      <c r="U284" s="43">
        <f>Funktional!AP261</f>
        <v>2035.6850250041032</v>
      </c>
      <c r="V284" s="80">
        <f t="shared" si="50"/>
        <v>326.52675508052135</v>
      </c>
      <c r="W284" s="183">
        <f t="shared" si="50"/>
        <v>9469.2758973351356</v>
      </c>
      <c r="X284" s="172">
        <f>Funktional!S261</f>
        <v>0.77833682185055841</v>
      </c>
      <c r="Y284" s="42">
        <f>Funktional!X261</f>
        <v>3.9087733651805005E-2</v>
      </c>
      <c r="Z284" s="42">
        <f>'Kennzahlen Revision'!L261</f>
        <v>1.4347362838549009E-2</v>
      </c>
      <c r="AA284" s="42">
        <f>Funktional!AE261</f>
        <v>4.5377493290088257E-2</v>
      </c>
      <c r="AB284" s="42">
        <f>Funktional!AJ261</f>
        <v>6.7018124278702101E-2</v>
      </c>
      <c r="AC284" s="42">
        <f>Funktional!AS261</f>
        <v>3.0448562900146449E-2</v>
      </c>
      <c r="AD284" s="42">
        <f>Funktional!AO261</f>
        <v>7.0300403237930631E-3</v>
      </c>
      <c r="AE284" s="202">
        <f>Funktional!AV261</f>
        <v>3.2701223704906711E-2</v>
      </c>
      <c r="AF284" s="176">
        <f>'Kennzahlen Revision'!C261</f>
        <v>3.5200000000000002E-2</v>
      </c>
      <c r="AG284" s="177">
        <f>'Kennzahlen Revision'!D261</f>
        <v>2.8999999999999998E-3</v>
      </c>
      <c r="AH284" s="177">
        <f>Artengliederung!AN261</f>
        <v>0.54276542526099558</v>
      </c>
      <c r="AI284" s="178" t="str">
        <f t="shared" si="51"/>
        <v>Kümmertshausen</v>
      </c>
    </row>
    <row r="285" spans="1:35" x14ac:dyDescent="0.25">
      <c r="A285" s="41" t="str">
        <f>Funktional!A262</f>
        <v>Neunforn</v>
      </c>
      <c r="B285" s="41" t="str">
        <f>Funktional!B262</f>
        <v>VSG*</v>
      </c>
      <c r="C285" s="352">
        <f>Funktional!D262</f>
        <v>120</v>
      </c>
      <c r="D285" s="348">
        <f>Funktional!G262</f>
        <v>9773.0837491892198</v>
      </c>
      <c r="E285" s="186">
        <f>Funktional!F262</f>
        <v>195461.67498378441</v>
      </c>
      <c r="F285" s="48">
        <f>Funktional!U262</f>
        <v>6528.4982776726793</v>
      </c>
      <c r="G285" s="48">
        <f>Funktional!T262</f>
        <v>130569.96555345359</v>
      </c>
      <c r="H285" s="48">
        <f>Artengliederung!R262</f>
        <v>334.74970932528907</v>
      </c>
      <c r="I285" s="186">
        <f>Artengliederung!Q262</f>
        <v>6694.9941865057817</v>
      </c>
      <c r="J285" s="48">
        <f>Funktional!Z262</f>
        <v>445.87098494827308</v>
      </c>
      <c r="K285" s="48">
        <f>Funktional!Y262</f>
        <v>8917.4196989654611</v>
      </c>
      <c r="L285" s="48">
        <f>'Kennzahlen Revision'!O262</f>
        <v>142.94636656560613</v>
      </c>
      <c r="M285" s="48">
        <f>'Kennzahlen Revision'!N262</f>
        <v>2858.9273313121225</v>
      </c>
      <c r="N285" s="80">
        <f>Funktional!AG262</f>
        <v>739.33255386429687</v>
      </c>
      <c r="O285" s="43">
        <f>Funktional!AF262</f>
        <v>14786.651077285938</v>
      </c>
      <c r="P285" s="43">
        <f>Funktional!AL262</f>
        <v>1517.6347278020996</v>
      </c>
      <c r="Q285" s="43">
        <f>Funktional!AK262</f>
        <v>30352.694556041995</v>
      </c>
      <c r="R285" s="80">
        <f>Funktional!AU262</f>
        <v>156.31115454014122</v>
      </c>
      <c r="S285" s="43">
        <f>Funktional!AT262</f>
        <v>3126.2230908028246</v>
      </c>
      <c r="T285" s="80">
        <f>Funktional!AQ262</f>
        <v>34.471341972458639</v>
      </c>
      <c r="U285" s="43">
        <f>Funktional!AP262</f>
        <v>689.4268394491728</v>
      </c>
      <c r="V285" s="80">
        <f t="shared" si="50"/>
        <v>350.96470838927149</v>
      </c>
      <c r="W285" s="183">
        <f t="shared" si="50"/>
        <v>7019.2941677854333</v>
      </c>
      <c r="X285" s="172">
        <f>Funktional!S262</f>
        <v>0.66800801519932607</v>
      </c>
      <c r="Y285" s="42">
        <f>Funktional!X262</f>
        <v>4.5622343611376785E-2</v>
      </c>
      <c r="Z285" s="42">
        <f>'Kennzahlen Revision'!L262</f>
        <v>1.4626536539960074E-2</v>
      </c>
      <c r="AA285" s="42">
        <f>Funktional!AE262</f>
        <v>7.5649873963848133E-2</v>
      </c>
      <c r="AB285" s="42">
        <f>Funktional!AJ262</f>
        <v>0.15528719150984494</v>
      </c>
      <c r="AC285" s="42">
        <f>Funktional!AS262</f>
        <v>1.5994046357487614E-2</v>
      </c>
      <c r="AD285" s="42">
        <f>Funktional!AO262</f>
        <v>3.5271714493716887E-3</v>
      </c>
      <c r="AE285" s="202">
        <f>Funktional!AV262</f>
        <v>3.5911357908744772E-2</v>
      </c>
      <c r="AF285" s="176">
        <f>'Kennzahlen Revision'!C262</f>
        <v>1.0500000000000001E-2</v>
      </c>
      <c r="AG285" s="177">
        <f>'Kennzahlen Revision'!D262</f>
        <v>3.3E-3</v>
      </c>
      <c r="AH285" s="177">
        <f>Artengliederung!AN262</f>
        <v>0.21225248555691947</v>
      </c>
      <c r="AI285" s="178" t="str">
        <f t="shared" si="51"/>
        <v>Neunforn</v>
      </c>
    </row>
    <row r="286" spans="1:35" x14ac:dyDescent="0.25">
      <c r="A286" s="41" t="str">
        <f>Funktional!A263</f>
        <v>Roggwil</v>
      </c>
      <c r="B286" s="41" t="str">
        <f>Funktional!B263</f>
        <v>VSG*</v>
      </c>
      <c r="C286" s="352">
        <f>Funktional!D263</f>
        <v>120</v>
      </c>
      <c r="D286" s="348">
        <f>Funktional!G263</f>
        <v>10015.073464168267</v>
      </c>
      <c r="E286" s="186">
        <f>Funktional!F263</f>
        <v>200301.46928336532</v>
      </c>
      <c r="F286" s="48">
        <f>Funktional!U263</f>
        <v>7032.7633737968135</v>
      </c>
      <c r="G286" s="48">
        <f>Funktional!T263</f>
        <v>140655.26747593627</v>
      </c>
      <c r="H286" s="48">
        <f>Artengliederung!R263</f>
        <v>290.92670484393346</v>
      </c>
      <c r="I286" s="186">
        <f>Artengliederung!Q263</f>
        <v>5818.5340968786695</v>
      </c>
      <c r="J286" s="48">
        <f>Funktional!Z263</f>
        <v>519.50618459131613</v>
      </c>
      <c r="K286" s="48">
        <f>Funktional!Y263</f>
        <v>10390.123691826322</v>
      </c>
      <c r="L286" s="48">
        <f>'Kennzahlen Revision'!O263</f>
        <v>192.26246371740538</v>
      </c>
      <c r="M286" s="48">
        <f>'Kennzahlen Revision'!N263</f>
        <v>3845.2492743481075</v>
      </c>
      <c r="N286" s="80">
        <f>Funktional!AG263</f>
        <v>746.86906864752041</v>
      </c>
      <c r="O286" s="43">
        <f>Funktional!AF263</f>
        <v>14937.381372950409</v>
      </c>
      <c r="P286" s="43">
        <f>Funktional!AL263</f>
        <v>1028.1318718690736</v>
      </c>
      <c r="Q286" s="43">
        <f>Funktional!AK263</f>
        <v>20562.637437381472</v>
      </c>
      <c r="R286" s="80">
        <f>Funktional!AU263</f>
        <v>425.00855763869282</v>
      </c>
      <c r="S286" s="43">
        <f>Funktional!AT263</f>
        <v>8500.1711527738571</v>
      </c>
      <c r="T286" s="80">
        <f>Funktional!AQ263</f>
        <v>90.696200164578428</v>
      </c>
      <c r="U286" s="43">
        <f>Funktional!AP263</f>
        <v>1813.9240032915686</v>
      </c>
      <c r="V286" s="80">
        <f t="shared" si="50"/>
        <v>172.09820746027174</v>
      </c>
      <c r="W286" s="183">
        <f t="shared" si="50"/>
        <v>3441.9641492054207</v>
      </c>
      <c r="X286" s="172">
        <f>Funktional!S263</f>
        <v>0.70221785181691343</v>
      </c>
      <c r="Y286" s="42">
        <f>Funktional!X263</f>
        <v>5.187242873953897E-2</v>
      </c>
      <c r="Z286" s="42">
        <f>'Kennzahlen Revision'!L263</f>
        <v>1.9197309376239549E-2</v>
      </c>
      <c r="AA286" s="42">
        <f>Funktional!AE263</f>
        <v>7.4574497263515227E-2</v>
      </c>
      <c r="AB286" s="42">
        <f>Funktional!AJ263</f>
        <v>0.10265844534715632</v>
      </c>
      <c r="AC286" s="42">
        <f>Funktional!AS263</f>
        <v>4.2436888671788589E-2</v>
      </c>
      <c r="AD286" s="42">
        <f>Funktional!AO263</f>
        <v>9.0559695332310362E-3</v>
      </c>
      <c r="AE286" s="202">
        <f>Funktional!AV263</f>
        <v>1.718391862785644E-2</v>
      </c>
      <c r="AF286" s="176">
        <f>'Kennzahlen Revision'!C263</f>
        <v>7.2900000000000006E-2</v>
      </c>
      <c r="AG286" s="177">
        <f>'Kennzahlen Revision'!D263</f>
        <v>2.18E-2</v>
      </c>
      <c r="AH286" s="177">
        <f>Artengliederung!AN263</f>
        <v>0.10049878276973417</v>
      </c>
      <c r="AI286" s="178" t="str">
        <f t="shared" si="51"/>
        <v>Roggwil</v>
      </c>
    </row>
    <row r="287" spans="1:35" x14ac:dyDescent="0.25">
      <c r="A287" s="41" t="str">
        <f>Funktional!A264</f>
        <v>Speiserslehn</v>
      </c>
      <c r="B287" s="41" t="str">
        <f>Funktional!B264</f>
        <v>VSG*</v>
      </c>
      <c r="C287" s="352">
        <f>Funktional!D264</f>
        <v>27</v>
      </c>
      <c r="D287" s="348">
        <f>Funktional!G264</f>
        <v>26239.185145667565</v>
      </c>
      <c r="E287" s="186">
        <f>Funktional!F264</f>
        <v>708457.99893302424</v>
      </c>
      <c r="F287" s="48">
        <f>Funktional!U264</f>
        <v>18800.93859927771</v>
      </c>
      <c r="G287" s="48">
        <f>Funktional!T264</f>
        <v>507625.34218049818</v>
      </c>
      <c r="H287" s="48">
        <f>Artengliederung!R264</f>
        <v>0</v>
      </c>
      <c r="I287" s="186">
        <f>Artengliederung!Q264</f>
        <v>0</v>
      </c>
      <c r="J287" s="48">
        <f>Funktional!Z264</f>
        <v>1448.1489360564126</v>
      </c>
      <c r="K287" s="48">
        <f>Funktional!Y264</f>
        <v>39100.02127352314</v>
      </c>
      <c r="L287" s="48">
        <f>'Kennzahlen Revision'!O264</f>
        <v>319.64343389963892</v>
      </c>
      <c r="M287" s="48">
        <f>'Kennzahlen Revision'!N264</f>
        <v>8630.3727152902502</v>
      </c>
      <c r="N287" s="80">
        <f>Funktional!AG264</f>
        <v>0</v>
      </c>
      <c r="O287" s="43">
        <f>Funktional!AF264</f>
        <v>0</v>
      </c>
      <c r="P287" s="43">
        <f>Funktional!AL264</f>
        <v>982.35290078026253</v>
      </c>
      <c r="Q287" s="43">
        <f>Funktional!AK264</f>
        <v>26523.52832106709</v>
      </c>
      <c r="R287" s="80">
        <f>Funktional!AU264</f>
        <v>0</v>
      </c>
      <c r="S287" s="43">
        <f>Funktional!AT264</f>
        <v>0</v>
      </c>
      <c r="T287" s="80">
        <f>Funktional!AQ264</f>
        <v>318.36631308873984</v>
      </c>
      <c r="U287" s="43">
        <f>Funktional!AP264</f>
        <v>8595.8904533959758</v>
      </c>
      <c r="V287" s="80">
        <f t="shared" si="50"/>
        <v>4689.3783964644399</v>
      </c>
      <c r="W287" s="183">
        <f t="shared" si="50"/>
        <v>126613.21670453988</v>
      </c>
      <c r="X287" s="172">
        <f>Funktional!S264</f>
        <v>0.71652143520859268</v>
      </c>
      <c r="Y287" s="42">
        <f>Funktional!X264</f>
        <v>5.5190316620618116E-2</v>
      </c>
      <c r="Z287" s="42">
        <f>'Kennzahlen Revision'!L264</f>
        <v>1.2181911599965071E-2</v>
      </c>
      <c r="AA287" s="42">
        <f>Funktional!AE264</f>
        <v>0</v>
      </c>
      <c r="AB287" s="42">
        <f>Funktional!AJ264</f>
        <v>3.7438392058545385E-2</v>
      </c>
      <c r="AC287" s="42">
        <f>Funktional!AS264</f>
        <v>0</v>
      </c>
      <c r="AD287" s="42">
        <f>Funktional!AO264</f>
        <v>1.2133239325890664E-2</v>
      </c>
      <c r="AE287" s="202">
        <f>Funktional!AV264</f>
        <v>0.17871661678635314</v>
      </c>
      <c r="AF287" s="176">
        <f>'Kennzahlen Revision'!C264</f>
        <v>0</v>
      </c>
      <c r="AG287" s="177">
        <f>'Kennzahlen Revision'!D264</f>
        <v>0</v>
      </c>
      <c r="AH287" s="177">
        <f>Artengliederung!AN264</f>
        <v>0</v>
      </c>
      <c r="AI287" s="178" t="str">
        <f t="shared" si="51"/>
        <v>Speiserslehn</v>
      </c>
    </row>
    <row r="288" spans="1:35" x14ac:dyDescent="0.25">
      <c r="A288" s="41" t="str">
        <f>Funktional!A265</f>
        <v>Andwil</v>
      </c>
      <c r="B288" s="41" t="str">
        <f>Funktional!B265</f>
        <v>KiGa*</v>
      </c>
      <c r="C288" s="352">
        <f>Funktional!D265</f>
        <v>15</v>
      </c>
      <c r="D288" s="348">
        <f>Funktional!G265</f>
        <v>6796.4800693323896</v>
      </c>
      <c r="E288" s="186">
        <f>Funktional!F265</f>
        <v>203894.40207997168</v>
      </c>
      <c r="F288" s="48">
        <f>Funktional!U265</f>
        <v>3780.461525108823</v>
      </c>
      <c r="G288" s="48">
        <f>Funktional!T265</f>
        <v>113413.84575326469</v>
      </c>
      <c r="H288" s="48">
        <f>Artengliederung!R265</f>
        <v>190.10489139085294</v>
      </c>
      <c r="I288" s="186">
        <f>Artengliederung!Q265</f>
        <v>5703.1467417255881</v>
      </c>
      <c r="J288" s="48">
        <f>Funktional!Z265</f>
        <v>441.2138808868358</v>
      </c>
      <c r="K288" s="48">
        <f>Funktional!Y265</f>
        <v>13236.416426605074</v>
      </c>
      <c r="L288" s="48">
        <f>'Kennzahlen Revision'!O265</f>
        <v>150.95220288306757</v>
      </c>
      <c r="M288" s="48">
        <f>'Kennzahlen Revision'!N265</f>
        <v>4528.5660864920274</v>
      </c>
      <c r="N288" s="80">
        <f>Funktional!AG265</f>
        <v>487.82360821704475</v>
      </c>
      <c r="O288" s="43">
        <f>Funktional!AF265</f>
        <v>14634.708246511342</v>
      </c>
      <c r="P288" s="43">
        <f>Funktional!AL265</f>
        <v>1259.8864406578334</v>
      </c>
      <c r="Q288" s="43">
        <f>Funktional!AK265</f>
        <v>37796.593219735005</v>
      </c>
      <c r="R288" s="80">
        <f>Funktional!AU265</f>
        <v>392.69245173011495</v>
      </c>
      <c r="S288" s="43">
        <f>Funktional!AT265</f>
        <v>11780.773551903449</v>
      </c>
      <c r="T288" s="80">
        <f>Funktional!AQ265</f>
        <v>34.449449157957211</v>
      </c>
      <c r="U288" s="43">
        <f>Funktional!AP265</f>
        <v>1033.4834747387163</v>
      </c>
      <c r="V288" s="80">
        <f t="shared" si="50"/>
        <v>399.9527135737805</v>
      </c>
      <c r="W288" s="183">
        <f t="shared" si="50"/>
        <v>11998.581407213405</v>
      </c>
      <c r="X288" s="172">
        <f>Funktional!S265</f>
        <v>0.55623815365358287</v>
      </c>
      <c r="Y288" s="42">
        <f>Funktional!X265</f>
        <v>6.491799819699548E-2</v>
      </c>
      <c r="Z288" s="42">
        <f>'Kennzahlen Revision'!L265</f>
        <v>2.2210350261189751E-2</v>
      </c>
      <c r="AA288" s="42">
        <f>Funktional!AE265</f>
        <v>7.177591977621485E-2</v>
      </c>
      <c r="AB288" s="42">
        <f>Funktional!AJ265</f>
        <v>0.18537337383549346</v>
      </c>
      <c r="AC288" s="42">
        <f>Funktional!AS265</f>
        <v>5.7778798396254064E-2</v>
      </c>
      <c r="AD288" s="42">
        <f>Funktional!AO265</f>
        <v>5.0687192203215181E-3</v>
      </c>
      <c r="AE288" s="202">
        <f>Funktional!AV265</f>
        <v>5.8847036921137727E-2</v>
      </c>
      <c r="AF288" s="176"/>
      <c r="AG288" s="177"/>
      <c r="AH288" s="177">
        <f>Artengliederung!AN265</f>
        <v>0.26899113846685913</v>
      </c>
      <c r="AI288" s="178" t="str">
        <f t="shared" si="51"/>
        <v>Andwil</v>
      </c>
    </row>
    <row r="289" spans="1:35" x14ac:dyDescent="0.25">
      <c r="A289" s="41" t="str">
        <f>Funktional!A266</f>
        <v>Frasnacht</v>
      </c>
      <c r="B289" s="41" t="str">
        <f>Funktional!B266</f>
        <v>KiGa*</v>
      </c>
      <c r="C289" s="352">
        <f>Funktional!D266</f>
        <v>42</v>
      </c>
      <c r="D289" s="348">
        <f>Funktional!G266</f>
        <v>6105.8876795839651</v>
      </c>
      <c r="E289" s="186">
        <f>Funktional!F266</f>
        <v>128223.64127126327</v>
      </c>
      <c r="F289" s="48">
        <f>Funktional!U266</f>
        <v>3148.0943376954251</v>
      </c>
      <c r="G289" s="48">
        <f>Funktional!T266</f>
        <v>66109.981091603928</v>
      </c>
      <c r="H289" s="48">
        <f>Artengliederung!R266</f>
        <v>201.04073745821387</v>
      </c>
      <c r="I289" s="186">
        <f>Artengliederung!Q266</f>
        <v>4221.8554866224913</v>
      </c>
      <c r="J289" s="48">
        <f>Funktional!Z266</f>
        <v>409.74656626018111</v>
      </c>
      <c r="K289" s="48">
        <f>Funktional!Y266</f>
        <v>8604.6778914638035</v>
      </c>
      <c r="L289" s="48">
        <f>'Kennzahlen Revision'!O266</f>
        <v>98.476344370772694</v>
      </c>
      <c r="M289" s="48">
        <f>'Kennzahlen Revision'!N266</f>
        <v>2068.0032317862265</v>
      </c>
      <c r="N289" s="80">
        <f>Funktional!AG266</f>
        <v>1210.5839024303027</v>
      </c>
      <c r="O289" s="43">
        <f>Funktional!AF266</f>
        <v>25422.261951036355</v>
      </c>
      <c r="P289" s="43">
        <f>Funktional!AL266</f>
        <v>585.29752843433846</v>
      </c>
      <c r="Q289" s="43">
        <f>Funktional!AK266</f>
        <v>12291.248097121108</v>
      </c>
      <c r="R289" s="80">
        <f>Funktional!AU266</f>
        <v>276.44754313140419</v>
      </c>
      <c r="S289" s="43">
        <f>Funktional!AT266</f>
        <v>5805.398405759488</v>
      </c>
      <c r="T289" s="80">
        <f>Funktional!AQ266</f>
        <v>59.961384710355993</v>
      </c>
      <c r="U289" s="43">
        <f>Funktional!AP266</f>
        <v>1259.1890789174759</v>
      </c>
      <c r="V289" s="80">
        <f t="shared" si="50"/>
        <v>415.7564169219574</v>
      </c>
      <c r="W289" s="183">
        <f t="shared" si="50"/>
        <v>8730.884755361114</v>
      </c>
      <c r="X289" s="172">
        <f>Funktional!S266</f>
        <v>0.51558340128358304</v>
      </c>
      <c r="Y289" s="42">
        <f>Funktional!X266</f>
        <v>6.7106797203334706E-2</v>
      </c>
      <c r="Z289" s="42">
        <f>'Kennzahlen Revision'!L266</f>
        <v>1.6128096279930674E-2</v>
      </c>
      <c r="AA289" s="42">
        <f>Funktional!AE266</f>
        <v>0.19826501337030616</v>
      </c>
      <c r="AB289" s="42">
        <f>Funktional!AJ266</f>
        <v>9.585789309413216E-2</v>
      </c>
      <c r="AC289" s="42">
        <f>Funktional!AS266</f>
        <v>4.5275569685919996E-2</v>
      </c>
      <c r="AD289" s="42">
        <f>Funktional!AO266</f>
        <v>9.8202567516671967E-3</v>
      </c>
      <c r="AE289" s="202">
        <f>Funktional!AV266</f>
        <v>6.8091068611056738E-2</v>
      </c>
      <c r="AF289" s="176"/>
      <c r="AG289" s="177"/>
      <c r="AH289" s="177">
        <f>Artengliederung!AN266</f>
        <v>0</v>
      </c>
      <c r="AI289" s="178" t="str">
        <f t="shared" si="51"/>
        <v>Frasnacht</v>
      </c>
    </row>
    <row r="290" spans="1:35" x14ac:dyDescent="0.25">
      <c r="A290" s="41" t="str">
        <f>Funktional!A267</f>
        <v>Freidorf-Watt</v>
      </c>
      <c r="B290" s="41" t="str">
        <f>Funktional!B267</f>
        <v>KiGa*</v>
      </c>
      <c r="C290" s="352">
        <f>Funktional!D267</f>
        <v>26</v>
      </c>
      <c r="D290" s="348">
        <f>Funktional!G267</f>
        <v>7710.5845323905996</v>
      </c>
      <c r="E290" s="186">
        <f>Funktional!F267</f>
        <v>100237.59892107779</v>
      </c>
      <c r="F290" s="48">
        <f>Funktional!U267</f>
        <v>3939.8925978148736</v>
      </c>
      <c r="G290" s="48">
        <f>Funktional!T267</f>
        <v>51218.603771593356</v>
      </c>
      <c r="H290" s="48">
        <f>Artengliederung!R267</f>
        <v>252.0081193387484</v>
      </c>
      <c r="I290" s="186">
        <f>Artengliederung!Q267</f>
        <v>3276.1055514037294</v>
      </c>
      <c r="J290" s="48">
        <f>Funktional!Z267</f>
        <v>299.15676205150618</v>
      </c>
      <c r="K290" s="48">
        <f>Funktional!Y267</f>
        <v>3889.03790666958</v>
      </c>
      <c r="L290" s="48">
        <f>'Kennzahlen Revision'!O267</f>
        <v>66.655547347765463</v>
      </c>
      <c r="M290" s="48">
        <f>'Kennzahlen Revision'!N267</f>
        <v>866.52211552095093</v>
      </c>
      <c r="N290" s="80">
        <f>Funktional!AG267</f>
        <v>1282.3257680236784</v>
      </c>
      <c r="O290" s="43">
        <f>Funktional!AF267</f>
        <v>16670.234984307819</v>
      </c>
      <c r="P290" s="43">
        <f>Funktional!AL267</f>
        <v>750.43767092639746</v>
      </c>
      <c r="Q290" s="43">
        <f>Funktional!AK267</f>
        <v>9755.6897220431674</v>
      </c>
      <c r="R290" s="80">
        <f>Funktional!AU267</f>
        <v>1231.9151297866681</v>
      </c>
      <c r="S290" s="43">
        <f>Funktional!AT267</f>
        <v>16014.896687226686</v>
      </c>
      <c r="T290" s="80">
        <f>Funktional!AQ267</f>
        <v>55.984629032124843</v>
      </c>
      <c r="U290" s="43">
        <f>Funktional!AP267</f>
        <v>727.80017741762299</v>
      </c>
      <c r="V290" s="80">
        <f t="shared" si="50"/>
        <v>150.87197475535109</v>
      </c>
      <c r="W290" s="183">
        <f t="shared" si="50"/>
        <v>1961.3356718195571</v>
      </c>
      <c r="X290" s="172">
        <f>Funktional!S267</f>
        <v>0.5109719738191294</v>
      </c>
      <c r="Y290" s="42">
        <f>Funktional!X267</f>
        <v>3.8798194974039822E-2</v>
      </c>
      <c r="Z290" s="42">
        <f>'Kennzahlen Revision'!L267</f>
        <v>8.6446814852698967E-3</v>
      </c>
      <c r="AA290" s="42">
        <f>Funktional!AE267</f>
        <v>0.16630720571662089</v>
      </c>
      <c r="AB290" s="42">
        <f>Funktional!AJ267</f>
        <v>9.7325652520111966E-2</v>
      </c>
      <c r="AC290" s="42">
        <f>Funktional!AS267</f>
        <v>0.15976935660476102</v>
      </c>
      <c r="AD290" s="42">
        <f>Funktional!AO267</f>
        <v>7.2607503097780451E-3</v>
      </c>
      <c r="AE290" s="202">
        <f>Funktional!AV267</f>
        <v>1.9566866055558907E-2</v>
      </c>
      <c r="AF290" s="176"/>
      <c r="AG290" s="177"/>
      <c r="AH290" s="177">
        <f>Artengliederung!AN267</f>
        <v>4.2889969711917643E-2</v>
      </c>
      <c r="AI290" s="178" t="str">
        <f t="shared" si="51"/>
        <v>Freidorf-Watt</v>
      </c>
    </row>
    <row r="291" spans="1:35" x14ac:dyDescent="0.25">
      <c r="A291" s="41" t="str">
        <f>Funktional!A268</f>
        <v>Kümmertshausen</v>
      </c>
      <c r="B291" s="41" t="str">
        <f>Funktional!B268</f>
        <v>KiGa*</v>
      </c>
      <c r="C291" s="352">
        <f>Funktional!D268</f>
        <v>12</v>
      </c>
      <c r="D291" s="348">
        <f>Funktional!G268</f>
        <v>6475.5431077556959</v>
      </c>
      <c r="E291" s="186">
        <f>Funktional!F268</f>
        <v>155413.03458613669</v>
      </c>
      <c r="F291" s="48">
        <f>Funktional!U268</f>
        <v>5040.1536422468571</v>
      </c>
      <c r="G291" s="48">
        <f>Funktional!T268</f>
        <v>120963.68741392458</v>
      </c>
      <c r="H291" s="48">
        <f>Artengliederung!R268</f>
        <v>204.21935129489574</v>
      </c>
      <c r="I291" s="186">
        <f>Artengliederung!Q268</f>
        <v>4901.2644310774976</v>
      </c>
      <c r="J291" s="48">
        <f>Funktional!Z268</f>
        <v>253.11430424673628</v>
      </c>
      <c r="K291" s="48">
        <f>Funktional!Y268</f>
        <v>6074.7433019216705</v>
      </c>
      <c r="L291" s="48">
        <f>'Kennzahlen Revision'!O268</f>
        <v>92.906966543636216</v>
      </c>
      <c r="M291" s="48">
        <f>'Kennzahlen Revision'!N268</f>
        <v>2229.7671970472693</v>
      </c>
      <c r="N291" s="80">
        <f>Funktional!AG268</f>
        <v>293.84391392186131</v>
      </c>
      <c r="O291" s="43">
        <f>Funktional!AF268</f>
        <v>7052.253934124672</v>
      </c>
      <c r="P291" s="43">
        <f>Funktional!AL268</f>
        <v>433.97875276766405</v>
      </c>
      <c r="Q291" s="43">
        <f>Funktional!AK268</f>
        <v>10415.490066423938</v>
      </c>
      <c r="R291" s="80">
        <f>Funktional!AU268</f>
        <v>197.17098162910915</v>
      </c>
      <c r="S291" s="43">
        <f>Funktional!AT268</f>
        <v>4732.1035590986194</v>
      </c>
      <c r="T291" s="80">
        <f>Funktional!AQ268</f>
        <v>45.523329165982794</v>
      </c>
      <c r="U291" s="43">
        <f>Funktional!AP268</f>
        <v>1092.559899983587</v>
      </c>
      <c r="V291" s="80">
        <f t="shared" si="50"/>
        <v>211.7581837774853</v>
      </c>
      <c r="W291" s="183">
        <f t="shared" si="50"/>
        <v>5082.1964106596297</v>
      </c>
      <c r="X291" s="172">
        <f>Funktional!S268</f>
        <v>0.77833682185055864</v>
      </c>
      <c r="Y291" s="42">
        <f>Funktional!X268</f>
        <v>3.9087733651805005E-2</v>
      </c>
      <c r="Z291" s="42">
        <f>'Kennzahlen Revision'!L268</f>
        <v>1.4347362838549007E-2</v>
      </c>
      <c r="AA291" s="42">
        <f>Funktional!AE268</f>
        <v>4.5377493290088257E-2</v>
      </c>
      <c r="AB291" s="42">
        <f>Funktional!AJ268</f>
        <v>6.7018124278702101E-2</v>
      </c>
      <c r="AC291" s="42">
        <f>Funktional!AS268</f>
        <v>3.0448562900146452E-2</v>
      </c>
      <c r="AD291" s="42">
        <f>Funktional!AO268</f>
        <v>7.030040323793064E-3</v>
      </c>
      <c r="AE291" s="202">
        <f>Funktional!AV268</f>
        <v>3.2701223704906482E-2</v>
      </c>
      <c r="AF291" s="176"/>
      <c r="AG291" s="177"/>
      <c r="AH291" s="177">
        <f>Artengliederung!AN268</f>
        <v>0.54276542526099558</v>
      </c>
      <c r="AI291" s="178" t="str">
        <f t="shared" si="51"/>
        <v>Kümmertshausen</v>
      </c>
    </row>
    <row r="292" spans="1:35" x14ac:dyDescent="0.25">
      <c r="A292" s="41" t="str">
        <f>Funktional!A269</f>
        <v>Neunforn</v>
      </c>
      <c r="B292" s="41" t="str">
        <f>Funktional!B269</f>
        <v>KiGa*</v>
      </c>
      <c r="C292" s="352">
        <f>Funktional!D269</f>
        <v>32</v>
      </c>
      <c r="D292" s="348">
        <f>Funktional!G269</f>
        <v>7149.7531280404237</v>
      </c>
      <c r="E292" s="186">
        <f>Funktional!F269</f>
        <v>114396.05004864678</v>
      </c>
      <c r="F292" s="48">
        <f>Funktional!U269</f>
        <v>4776.0923962274564</v>
      </c>
      <c r="G292" s="48">
        <f>Funktional!T269</f>
        <v>76417.478339639303</v>
      </c>
      <c r="H292" s="48">
        <f>Artengliederung!R269</f>
        <v>244.89484003016591</v>
      </c>
      <c r="I292" s="186">
        <f>Artengliederung!Q269</f>
        <v>3918.3174404826545</v>
      </c>
      <c r="J292" s="48">
        <f>Funktional!Z269</f>
        <v>326.1884939439762</v>
      </c>
      <c r="K292" s="48">
        <f>Funktional!Y269</f>
        <v>5219.0159031036192</v>
      </c>
      <c r="L292" s="48">
        <f>'Kennzahlen Revision'!O269</f>
        <v>104.57612537897708</v>
      </c>
      <c r="M292" s="48">
        <f>'Kennzahlen Revision'!N269</f>
        <v>1673.2180060636333</v>
      </c>
      <c r="N292" s="80">
        <f>Funktional!AG269</f>
        <v>540.87792300888691</v>
      </c>
      <c r="O292" s="43">
        <f>Funktional!AF269</f>
        <v>8654.0467681421906</v>
      </c>
      <c r="P292" s="43">
        <f>Funktional!AL269</f>
        <v>1110.2650832421261</v>
      </c>
      <c r="Q292" s="43">
        <f>Funktional!AK269</f>
        <v>17764.241331874018</v>
      </c>
      <c r="R292" s="80">
        <f>Funktional!AU269</f>
        <v>114.35348297447058</v>
      </c>
      <c r="S292" s="43">
        <f>Funktional!AT269</f>
        <v>1829.6557275915293</v>
      </c>
      <c r="T292" s="80">
        <f>Funktional!AQ269</f>
        <v>25.218405103280109</v>
      </c>
      <c r="U292" s="43">
        <f>Funktional!AP269</f>
        <v>403.49448165248174</v>
      </c>
      <c r="V292" s="80">
        <f t="shared" si="50"/>
        <v>256.75734354022723</v>
      </c>
      <c r="W292" s="183">
        <f t="shared" si="50"/>
        <v>4108.1174966436356</v>
      </c>
      <c r="X292" s="172">
        <f>Funktional!S269</f>
        <v>0.66800801519932607</v>
      </c>
      <c r="Y292" s="42">
        <f>Funktional!X269</f>
        <v>4.5622343611376785E-2</v>
      </c>
      <c r="Z292" s="42">
        <f>'Kennzahlen Revision'!L269</f>
        <v>1.4626536539960072E-2</v>
      </c>
      <c r="AA292" s="42">
        <f>Funktional!AE269</f>
        <v>7.5649873963848119E-2</v>
      </c>
      <c r="AB292" s="42">
        <f>Funktional!AJ269</f>
        <v>0.15528719150984494</v>
      </c>
      <c r="AC292" s="42">
        <f>Funktional!AS269</f>
        <v>1.599404635748761E-2</v>
      </c>
      <c r="AD292" s="42">
        <f>Funktional!AO269</f>
        <v>3.5271714493716891E-3</v>
      </c>
      <c r="AE292" s="202">
        <f>Funktional!AV269</f>
        <v>3.5911357908744793E-2</v>
      </c>
      <c r="AF292" s="176"/>
      <c r="AG292" s="177"/>
      <c r="AH292" s="177">
        <f>Artengliederung!AN269</f>
        <v>0.21225248555691947</v>
      </c>
      <c r="AI292" s="178" t="str">
        <f t="shared" si="51"/>
        <v>Neunforn</v>
      </c>
    </row>
    <row r="293" spans="1:35" x14ac:dyDescent="0.25">
      <c r="A293" s="41" t="str">
        <f>Funktional!A270</f>
        <v>Roggwil</v>
      </c>
      <c r="B293" s="41" t="str">
        <f>Funktional!B270</f>
        <v>KiGa*</v>
      </c>
      <c r="C293" s="352">
        <f>Funktional!D270</f>
        <v>32</v>
      </c>
      <c r="D293" s="348">
        <f>Funktional!G270</f>
        <v>7436.7588843690046</v>
      </c>
      <c r="E293" s="186">
        <f>Funktional!F270</f>
        <v>118988.14214990407</v>
      </c>
      <c r="F293" s="48">
        <f>Funktional!U270</f>
        <v>5222.224848261948</v>
      </c>
      <c r="G293" s="48">
        <f>Funktional!T270</f>
        <v>83555.597572191167</v>
      </c>
      <c r="H293" s="48">
        <f>Artengliederung!R270</f>
        <v>216.02954433524968</v>
      </c>
      <c r="I293" s="186">
        <f>Artengliederung!Q270</f>
        <v>3456.4727093639949</v>
      </c>
      <c r="J293" s="48">
        <f>Funktional!Z270</f>
        <v>385.76274528256448</v>
      </c>
      <c r="K293" s="48">
        <f>Funktional!Y270</f>
        <v>6172.2039245210317</v>
      </c>
      <c r="L293" s="48">
        <f>'Kennzahlen Revision'!O270</f>
        <v>142.76576105972987</v>
      </c>
      <c r="M293" s="48">
        <f>'Kennzahlen Revision'!N270</f>
        <v>2284.2521769556779</v>
      </c>
      <c r="N293" s="80">
        <f>Funktional!AG270</f>
        <v>554.59255507179887</v>
      </c>
      <c r="O293" s="43">
        <f>Funktional!AF270</f>
        <v>8873.4808811487819</v>
      </c>
      <c r="P293" s="43">
        <f>Funktional!AL270</f>
        <v>763.44610549097467</v>
      </c>
      <c r="Q293" s="43">
        <f>Funktional!AK270</f>
        <v>12215.137687855595</v>
      </c>
      <c r="R293" s="80">
        <f>Funktional!AU270</f>
        <v>315.59290885490213</v>
      </c>
      <c r="S293" s="43">
        <f>Funktional!AT270</f>
        <v>5049.4865416784342</v>
      </c>
      <c r="T293" s="80">
        <f>Funktional!AQ270</f>
        <v>67.347061882830928</v>
      </c>
      <c r="U293" s="43">
        <f>Funktional!AP270</f>
        <v>1077.5529901252949</v>
      </c>
      <c r="V293" s="80">
        <f t="shared" si="50"/>
        <v>127.79265952398549</v>
      </c>
      <c r="W293" s="183">
        <f t="shared" si="50"/>
        <v>2044.6825523837679</v>
      </c>
      <c r="X293" s="172">
        <f>Funktional!S270</f>
        <v>0.70221785181691343</v>
      </c>
      <c r="Y293" s="42">
        <f>Funktional!X270</f>
        <v>5.1872428739538963E-2</v>
      </c>
      <c r="Z293" s="42">
        <f>'Kennzahlen Revision'!L270</f>
        <v>1.9197309376239549E-2</v>
      </c>
      <c r="AA293" s="42">
        <f>Funktional!AE270</f>
        <v>7.4574497263515227E-2</v>
      </c>
      <c r="AB293" s="42">
        <f>Funktional!AJ270</f>
        <v>0.10265844534715632</v>
      </c>
      <c r="AC293" s="42">
        <f>Funktional!AS270</f>
        <v>4.2436888671788589E-2</v>
      </c>
      <c r="AD293" s="42">
        <f>Funktional!AO270</f>
        <v>9.0559695332310345E-3</v>
      </c>
      <c r="AE293" s="202">
        <f>Funktional!AV270</f>
        <v>1.7183918627856447E-2</v>
      </c>
      <c r="AF293" s="176"/>
      <c r="AG293" s="177"/>
      <c r="AH293" s="177">
        <f>Artengliederung!AN270</f>
        <v>0.10049878276973416</v>
      </c>
      <c r="AI293" s="178" t="str">
        <f t="shared" si="51"/>
        <v>Roggwil</v>
      </c>
    </row>
    <row r="294" spans="1:35" x14ac:dyDescent="0.25">
      <c r="A294" s="41" t="str">
        <f>Funktional!A271</f>
        <v>Speiserslehn</v>
      </c>
      <c r="B294" s="41" t="str">
        <f>Funktional!B271</f>
        <v>KiGa*</v>
      </c>
      <c r="C294" s="352">
        <f>Funktional!D271</f>
        <v>20</v>
      </c>
      <c r="D294" s="348">
        <f>Funktional!G271</f>
        <v>9726.0075533487834</v>
      </c>
      <c r="E294" s="186">
        <f>Funktional!F271</f>
        <v>194520.15106697567</v>
      </c>
      <c r="F294" s="48">
        <f>Funktional!U271</f>
        <v>6968.8928909750848</v>
      </c>
      <c r="G294" s="48">
        <f>Funktional!T271</f>
        <v>139377.85781950169</v>
      </c>
      <c r="H294" s="48">
        <f>Artengliederung!R271</f>
        <v>0</v>
      </c>
      <c r="I294" s="186">
        <f>Artengliederung!Q271</f>
        <v>0</v>
      </c>
      <c r="J294" s="48">
        <f>Funktional!Z271</f>
        <v>536.78143632384285</v>
      </c>
      <c r="K294" s="48">
        <f>Funktional!Y271</f>
        <v>10735.628726476856</v>
      </c>
      <c r="L294" s="48">
        <f>'Kennzahlen Revision'!O271</f>
        <v>118.48136423548745</v>
      </c>
      <c r="M294" s="48">
        <f>'Kennzahlen Revision'!N271</f>
        <v>2369.6272847097489</v>
      </c>
      <c r="N294" s="80">
        <f>Funktional!AG271</f>
        <v>0</v>
      </c>
      <c r="O294" s="43">
        <f>Funktional!AF271</f>
        <v>0</v>
      </c>
      <c r="P294" s="43">
        <f>Funktional!AL271</f>
        <v>364.12608394664551</v>
      </c>
      <c r="Q294" s="43">
        <f>Funktional!AK271</f>
        <v>7282.5216789329106</v>
      </c>
      <c r="R294" s="80">
        <f>Funktional!AU271</f>
        <v>0</v>
      </c>
      <c r="S294" s="43">
        <f>Funktional!AT271</f>
        <v>0</v>
      </c>
      <c r="T294" s="80">
        <f>Funktional!AQ271</f>
        <v>118.0079773302011</v>
      </c>
      <c r="U294" s="43">
        <f>Funktional!AP271</f>
        <v>2360.1595466040221</v>
      </c>
      <c r="V294" s="80">
        <f t="shared" si="50"/>
        <v>1738.199164773009</v>
      </c>
      <c r="W294" s="183">
        <f t="shared" si="50"/>
        <v>34763.983295460188</v>
      </c>
      <c r="X294" s="172">
        <f>Funktional!S271</f>
        <v>0.71652143520859279</v>
      </c>
      <c r="Y294" s="42">
        <f>Funktional!X271</f>
        <v>5.5190316620618129E-2</v>
      </c>
      <c r="Z294" s="42">
        <f>'Kennzahlen Revision'!L271</f>
        <v>1.2181911599965071E-2</v>
      </c>
      <c r="AA294" s="42">
        <f>Funktional!AE271</f>
        <v>0</v>
      </c>
      <c r="AB294" s="42">
        <f>Funktional!AJ271</f>
        <v>3.7438392058545385E-2</v>
      </c>
      <c r="AC294" s="42">
        <f>Funktional!AS271</f>
        <v>0</v>
      </c>
      <c r="AD294" s="42">
        <f>Funktional!AO271</f>
        <v>1.2133239325890664E-2</v>
      </c>
      <c r="AE294" s="202">
        <f>Funktional!AV271</f>
        <v>0.17871661678635303</v>
      </c>
      <c r="AF294" s="176"/>
      <c r="AG294" s="177"/>
      <c r="AH294" s="177">
        <f>Artengliederung!AN271</f>
        <v>0</v>
      </c>
      <c r="AI294" s="178" t="str">
        <f t="shared" si="51"/>
        <v>Speiserslehn</v>
      </c>
    </row>
    <row r="295" spans="1:35" s="9" customFormat="1" ht="24.6" customHeight="1" x14ac:dyDescent="0.2">
      <c r="A295" s="312" t="s">
        <v>45</v>
      </c>
      <c r="B295" s="312"/>
      <c r="C295" s="353">
        <f t="shared" ref="C295:AE295" si="52">C8</f>
        <v>9414</v>
      </c>
      <c r="D295" s="349">
        <f t="shared" si="52"/>
        <v>16206.279648750087</v>
      </c>
      <c r="E295" s="314">
        <f t="shared" si="52"/>
        <v>298660.84818270797</v>
      </c>
      <c r="F295" s="313">
        <f t="shared" si="52"/>
        <v>10609.321286027904</v>
      </c>
      <c r="G295" s="313">
        <f t="shared" si="52"/>
        <v>195516.11860358896</v>
      </c>
      <c r="H295" s="313">
        <f t="shared" si="52"/>
        <v>630.97665887685014</v>
      </c>
      <c r="I295" s="314">
        <f t="shared" si="52"/>
        <v>11628.086655791192</v>
      </c>
      <c r="J295" s="313">
        <f t="shared" si="52"/>
        <v>700.40618936335932</v>
      </c>
      <c r="K295" s="313">
        <f t="shared" si="52"/>
        <v>12907.583425774874</v>
      </c>
      <c r="L295" s="313">
        <f t="shared" si="52"/>
        <v>246.11851143686707</v>
      </c>
      <c r="M295" s="314">
        <f t="shared" si="52"/>
        <v>4535.6469820554648</v>
      </c>
      <c r="N295" s="313">
        <f t="shared" si="52"/>
        <v>1724.8617573118051</v>
      </c>
      <c r="O295" s="313">
        <f t="shared" si="52"/>
        <v>31786.979282218599</v>
      </c>
      <c r="P295" s="313">
        <f t="shared" si="52"/>
        <v>1386.2360990723041</v>
      </c>
      <c r="Q295" s="314">
        <f t="shared" si="52"/>
        <v>25546.544802610122</v>
      </c>
      <c r="R295" s="313">
        <f t="shared" si="52"/>
        <v>767.66262481410672</v>
      </c>
      <c r="S295" s="314">
        <f t="shared" si="52"/>
        <v>14147.0328548124</v>
      </c>
      <c r="T295" s="313">
        <f t="shared" si="52"/>
        <v>45.955819701154304</v>
      </c>
      <c r="U295" s="314">
        <f t="shared" si="52"/>
        <v>846.90653181076664</v>
      </c>
      <c r="V295" s="313">
        <f t="shared" si="52"/>
        <v>971.83587245945432</v>
      </c>
      <c r="W295" s="320">
        <f t="shared" si="52"/>
        <v>17909.682681892242</v>
      </c>
      <c r="X295" s="317">
        <f t="shared" si="52"/>
        <v>0.65464261483641317</v>
      </c>
      <c r="Y295" s="317">
        <f t="shared" si="52"/>
        <v>4.3218197176881266E-2</v>
      </c>
      <c r="Z295" s="317">
        <f t="shared" si="52"/>
        <v>1.5186613878765754E-2</v>
      </c>
      <c r="AA295" s="317">
        <f t="shared" si="52"/>
        <v>0.10643169158473922</v>
      </c>
      <c r="AB295" s="317">
        <f t="shared" si="52"/>
        <v>8.5536972649933138E-2</v>
      </c>
      <c r="AC295" s="317">
        <f t="shared" si="52"/>
        <v>4.7368220310409916E-2</v>
      </c>
      <c r="AD295" s="317">
        <f t="shared" si="52"/>
        <v>2.835679791857637E-3</v>
      </c>
      <c r="AE295" s="318">
        <f t="shared" si="52"/>
        <v>5.9966623649765662E-2</v>
      </c>
      <c r="AF295" s="321"/>
      <c r="AG295" s="321"/>
      <c r="AH295" s="321">
        <f>AH8</f>
        <v>0.10077726516270698</v>
      </c>
      <c r="AI295" s="319" t="s">
        <v>45</v>
      </c>
    </row>
    <row r="296" spans="1:35" x14ac:dyDescent="0.25">
      <c r="A296" s="41" t="str">
        <f>Funktional!A272</f>
        <v>Aadorf</v>
      </c>
      <c r="B296" s="41" t="str">
        <f>Funktional!B272</f>
        <v>OSG</v>
      </c>
      <c r="C296" s="352">
        <f>Funktional!D272</f>
        <v>321</v>
      </c>
      <c r="D296" s="348">
        <f>Funktional!G272</f>
        <v>21305.395327102804</v>
      </c>
      <c r="E296" s="186">
        <f>Funktional!F272</f>
        <v>341951.59500000003</v>
      </c>
      <c r="F296" s="48">
        <f>Funktional!U272</f>
        <v>12547.096105919003</v>
      </c>
      <c r="G296" s="48">
        <f>Funktional!T272</f>
        <v>201380.89250000002</v>
      </c>
      <c r="H296" s="48">
        <f>Artengliederung!R272</f>
        <v>745.53380062305303</v>
      </c>
      <c r="I296" s="186">
        <f>Artengliederung!Q272</f>
        <v>11965.817500000001</v>
      </c>
      <c r="J296" s="48">
        <f>Funktional!Z272</f>
        <v>915.51137071651101</v>
      </c>
      <c r="K296" s="48">
        <f>Funktional!Y272</f>
        <v>14693.9575</v>
      </c>
      <c r="L296" s="48">
        <f>'Kennzahlen Revision'!O272</f>
        <v>284.83800623052957</v>
      </c>
      <c r="M296" s="48">
        <f>'Kennzahlen Revision'!N272</f>
        <v>4571.6499999999996</v>
      </c>
      <c r="N296" s="80">
        <f>Funktional!AG272</f>
        <v>1884.4548286604361</v>
      </c>
      <c r="O296" s="43">
        <f>Funktional!AF272</f>
        <v>30245.5</v>
      </c>
      <c r="P296" s="43">
        <f>Funktional!AL272</f>
        <v>1855.9982866043613</v>
      </c>
      <c r="Q296" s="43">
        <f>Funktional!AK272</f>
        <v>29788.772499999999</v>
      </c>
      <c r="R296" s="80">
        <f>Funktional!AU272</f>
        <v>894.62710280373824</v>
      </c>
      <c r="S296" s="43">
        <f>Funktional!AT272</f>
        <v>14358.764999999999</v>
      </c>
      <c r="T296" s="80">
        <f>Funktional!AQ272</f>
        <v>44.438161993769469</v>
      </c>
      <c r="U296" s="43">
        <f>Funktional!AP272</f>
        <v>713.23249999999996</v>
      </c>
      <c r="V296" s="80">
        <f t="shared" ref="V296:W325" si="53">D296-F296-J296-N296-P296-R296-T296</f>
        <v>3163.2694704049854</v>
      </c>
      <c r="W296" s="183">
        <f t="shared" si="53"/>
        <v>50770.475000000006</v>
      </c>
      <c r="X296" s="172">
        <f>Funktional!S272</f>
        <v>0.58891637133612429</v>
      </c>
      <c r="Y296" s="42">
        <f>Funktional!X272</f>
        <v>4.2970869897536228E-2</v>
      </c>
      <c r="Z296" s="42">
        <f>'Kennzahlen Revision'!L272</f>
        <v>1.336928988443525E-2</v>
      </c>
      <c r="AA296" s="42">
        <f>Funktional!AE272</f>
        <v>8.8449653232352959E-2</v>
      </c>
      <c r="AB296" s="42">
        <f>Funktional!AJ272</f>
        <v>8.7114003664758452E-2</v>
      </c>
      <c r="AC296" s="42">
        <f>Funktional!AS272</f>
        <v>4.1990636130824301E-2</v>
      </c>
      <c r="AD296" s="42">
        <f>Funktional!AO272</f>
        <v>2.0857703558891131E-3</v>
      </c>
      <c r="AE296" s="202">
        <f>Funktional!AV272</f>
        <v>0.14847269538251465</v>
      </c>
      <c r="AF296" s="176">
        <f>'Kennzahlen Revision'!C272</f>
        <v>0.1348</v>
      </c>
      <c r="AG296" s="177">
        <f>'Kennzahlen Revision'!D272</f>
        <v>4.4499999999999998E-2</v>
      </c>
      <c r="AH296" s="177">
        <f>Artengliederung!AN272</f>
        <v>8.0921643310363847E-2</v>
      </c>
      <c r="AI296" s="178" t="str">
        <f t="shared" ref="AI296:AI325" si="54">A296</f>
        <v>Aadorf</v>
      </c>
    </row>
    <row r="297" spans="1:35" x14ac:dyDescent="0.25">
      <c r="A297" s="41" t="str">
        <f>Funktional!A273</f>
        <v>Affeltrangen</v>
      </c>
      <c r="B297" s="41" t="str">
        <f>Funktional!B273</f>
        <v>OSG</v>
      </c>
      <c r="C297" s="352">
        <f>Funktional!D273</f>
        <v>309</v>
      </c>
      <c r="D297" s="348">
        <f>Funktional!G273</f>
        <v>16316.912621359223</v>
      </c>
      <c r="E297" s="186">
        <f>Funktional!F273</f>
        <v>296583.8823529412</v>
      </c>
      <c r="F297" s="48">
        <f>Funktional!U273</f>
        <v>11856.138349514564</v>
      </c>
      <c r="G297" s="48">
        <f>Funktional!T273</f>
        <v>215502.75</v>
      </c>
      <c r="H297" s="48">
        <f>Artengliederung!R273</f>
        <v>785.4483818770226</v>
      </c>
      <c r="I297" s="186">
        <f>Artengliederung!Q273</f>
        <v>14276.679411764706</v>
      </c>
      <c r="J297" s="48">
        <f>Funktional!Z273</f>
        <v>637.86699029126214</v>
      </c>
      <c r="K297" s="48">
        <f>Funktional!Y273</f>
        <v>11594.170588235294</v>
      </c>
      <c r="L297" s="48">
        <f>'Kennzahlen Revision'!O273</f>
        <v>234.14239482200648</v>
      </c>
      <c r="M297" s="48">
        <f>'Kennzahlen Revision'!N273</f>
        <v>4255.8823529411766</v>
      </c>
      <c r="N297" s="80">
        <f>Funktional!AG273</f>
        <v>441.22864077669902</v>
      </c>
      <c r="O297" s="43">
        <f>Funktional!AF273</f>
        <v>8019.9794117647052</v>
      </c>
      <c r="P297" s="43">
        <f>Funktional!AL273</f>
        <v>1182.3800970873785</v>
      </c>
      <c r="Q297" s="43">
        <f>Funktional!AK273</f>
        <v>21491.497058823526</v>
      </c>
      <c r="R297" s="80">
        <f>Funktional!AU273</f>
        <v>1580.4004854368932</v>
      </c>
      <c r="S297" s="43">
        <f>Funktional!AT273</f>
        <v>28726.102941176472</v>
      </c>
      <c r="T297" s="80">
        <f>Funktional!AQ273</f>
        <v>7.5783171521035593</v>
      </c>
      <c r="U297" s="43">
        <f>Funktional!AP273</f>
        <v>137.74705882352941</v>
      </c>
      <c r="V297" s="80">
        <f t="shared" si="53"/>
        <v>611.3197411003224</v>
      </c>
      <c r="W297" s="183">
        <f t="shared" si="53"/>
        <v>11111.635294117677</v>
      </c>
      <c r="X297" s="172">
        <f>Funktional!S273</f>
        <v>0.7266165251136173</v>
      </c>
      <c r="Y297" s="42">
        <f>Funktional!X273</f>
        <v>3.9092382553809792E-2</v>
      </c>
      <c r="Z297" s="42">
        <f>'Kennzahlen Revision'!L273</f>
        <v>1.4349675104315295E-2</v>
      </c>
      <c r="AA297" s="42">
        <f>Funktional!AE273</f>
        <v>2.7041184261728551E-2</v>
      </c>
      <c r="AB297" s="42">
        <f>Funktional!AJ273</f>
        <v>7.2463469317082391E-2</v>
      </c>
      <c r="AC297" s="42">
        <f>Funktional!AS273</f>
        <v>9.6856588137152352E-2</v>
      </c>
      <c r="AD297" s="42">
        <f>Funktional!AO273</f>
        <v>4.644455313306859E-4</v>
      </c>
      <c r="AE297" s="202">
        <f>Funktional!AV273</f>
        <v>3.7465405085278944E-2</v>
      </c>
      <c r="AF297" s="176">
        <f>'Kennzahlen Revision'!C273</f>
        <v>0.1106</v>
      </c>
      <c r="AG297" s="177">
        <f>'Kennzahlen Revision'!D273</f>
        <v>8.5199999999999998E-2</v>
      </c>
      <c r="AH297" s="177">
        <f>Artengliederung!AN273</f>
        <v>0.34968898789867203</v>
      </c>
      <c r="AI297" s="178" t="str">
        <f t="shared" si="54"/>
        <v>Affeltrangen</v>
      </c>
    </row>
    <row r="298" spans="1:35" x14ac:dyDescent="0.25">
      <c r="A298" s="41" t="str">
        <f>Funktional!A274</f>
        <v>Alterswilen</v>
      </c>
      <c r="B298" s="41" t="str">
        <f>Funktional!B274</f>
        <v>OSG</v>
      </c>
      <c r="C298" s="352">
        <f>Funktional!D274</f>
        <v>106</v>
      </c>
      <c r="D298" s="348">
        <f>Funktional!G274</f>
        <v>15725.33962264151</v>
      </c>
      <c r="E298" s="186">
        <f>Funktional!F274</f>
        <v>277814.33333333331</v>
      </c>
      <c r="F298" s="48">
        <f>Funktional!U274</f>
        <v>14424.684433962264</v>
      </c>
      <c r="G298" s="48">
        <f>Funktional!T274</f>
        <v>254836.09166666667</v>
      </c>
      <c r="H298" s="48">
        <f>Artengliederung!R274</f>
        <v>915.0481132075472</v>
      </c>
      <c r="I298" s="186">
        <f>Artengliederung!Q274</f>
        <v>16165.85</v>
      </c>
      <c r="J298" s="48">
        <f>Funktional!Z274</f>
        <v>730.24905660377351</v>
      </c>
      <c r="K298" s="48">
        <f>Funktional!Y274</f>
        <v>12901.066666666666</v>
      </c>
      <c r="L298" s="48">
        <f>'Kennzahlen Revision'!O274</f>
        <v>352.7358490566038</v>
      </c>
      <c r="M298" s="48">
        <f>'Kennzahlen Revision'!N274</f>
        <v>6231.666666666667</v>
      </c>
      <c r="N298" s="80">
        <f>Funktional!AG274</f>
        <v>193.62169811320757</v>
      </c>
      <c r="O298" s="43">
        <f>Funktional!AF274</f>
        <v>3420.65</v>
      </c>
      <c r="P298" s="43">
        <f>Funktional!AL274</f>
        <v>0</v>
      </c>
      <c r="Q298" s="43">
        <f>Funktional!AK274</f>
        <v>0</v>
      </c>
      <c r="R298" s="80">
        <f>Funktional!AU274</f>
        <v>0</v>
      </c>
      <c r="S298" s="43">
        <f>Funktional!AT274</f>
        <v>0</v>
      </c>
      <c r="T298" s="80">
        <f>Funktional!AQ274</f>
        <v>10.974528301886792</v>
      </c>
      <c r="U298" s="43">
        <f>Funktional!AP274</f>
        <v>193.88333333333333</v>
      </c>
      <c r="V298" s="80">
        <f t="shared" si="53"/>
        <v>365.80990566037798</v>
      </c>
      <c r="W298" s="183">
        <f t="shared" si="53"/>
        <v>6462.641666666641</v>
      </c>
      <c r="X298" s="172">
        <f>Funktional!S274</f>
        <v>0.91728921473934033</v>
      </c>
      <c r="Y298" s="42">
        <f>Funktional!X274</f>
        <v>4.6437728794890588E-2</v>
      </c>
      <c r="Z298" s="42">
        <f>'Kennzahlen Revision'!L274</f>
        <v>2.2431048074073451E-2</v>
      </c>
      <c r="AA298" s="42">
        <f>Funktional!AE274</f>
        <v>1.2312719646094575E-2</v>
      </c>
      <c r="AB298" s="42">
        <f>Funktional!AJ274</f>
        <v>0</v>
      </c>
      <c r="AC298" s="42">
        <f>Funktional!AS274</f>
        <v>0</v>
      </c>
      <c r="AD298" s="42">
        <f>Funktional!AO274</f>
        <v>6.9788815791841795E-4</v>
      </c>
      <c r="AE298" s="202">
        <f>Funktional!AV274</f>
        <v>2.3262448661756089E-2</v>
      </c>
      <c r="AF298" s="176">
        <f>'Kennzahlen Revision'!C274</f>
        <v>-1.5900000000000001E-2</v>
      </c>
      <c r="AG298" s="177">
        <f>'Kennzahlen Revision'!D274</f>
        <v>-5.3E-3</v>
      </c>
      <c r="AH298" s="177">
        <f>Artengliederung!AN274</f>
        <v>0.32131471498350817</v>
      </c>
      <c r="AI298" s="178" t="str">
        <f t="shared" si="54"/>
        <v>Alterswilen</v>
      </c>
    </row>
    <row r="299" spans="1:35" x14ac:dyDescent="0.25">
      <c r="A299" s="41" t="str">
        <f>Funktional!A275</f>
        <v>Altnau</v>
      </c>
      <c r="B299" s="41" t="str">
        <f>Funktional!B275</f>
        <v>OSG</v>
      </c>
      <c r="C299" s="352">
        <f>Funktional!D275</f>
        <v>286</v>
      </c>
      <c r="D299" s="348">
        <f>Funktional!G275</f>
        <v>17380.010139860136</v>
      </c>
      <c r="E299" s="186">
        <f>Funktional!F275</f>
        <v>276149.05</v>
      </c>
      <c r="F299" s="48">
        <f>Funktional!U275</f>
        <v>10125.442307692309</v>
      </c>
      <c r="G299" s="48">
        <f>Funktional!T275</f>
        <v>160882.02777777778</v>
      </c>
      <c r="H299" s="48">
        <f>Artengliederung!R275</f>
        <v>728.22307692307686</v>
      </c>
      <c r="I299" s="186">
        <f>Artengliederung!Q275</f>
        <v>11570.655555555555</v>
      </c>
      <c r="J299" s="48">
        <f>Funktional!Z275</f>
        <v>863.02499999999998</v>
      </c>
      <c r="K299" s="48">
        <f>Funktional!Y275</f>
        <v>13712.508333333333</v>
      </c>
      <c r="L299" s="48">
        <f>'Kennzahlen Revision'!O275</f>
        <v>151.39860139860139</v>
      </c>
      <c r="M299" s="48">
        <f>'Kennzahlen Revision'!N275</f>
        <v>2405.5555555555557</v>
      </c>
      <c r="N299" s="80">
        <f>Funktional!AG275</f>
        <v>1601.7924825174825</v>
      </c>
      <c r="O299" s="43">
        <f>Funktional!AF275</f>
        <v>25450.70277777778</v>
      </c>
      <c r="P299" s="43">
        <f>Funktional!AL275</f>
        <v>2330.9395104895107</v>
      </c>
      <c r="Q299" s="43">
        <f>Funktional!AK275</f>
        <v>37036.038888888892</v>
      </c>
      <c r="R299" s="80">
        <f>Funktional!AU275</f>
        <v>798.57307692307688</v>
      </c>
      <c r="S299" s="43">
        <f>Funktional!AT275</f>
        <v>12688.438888888888</v>
      </c>
      <c r="T299" s="80">
        <f>Funktional!AQ275</f>
        <v>54.897902097902097</v>
      </c>
      <c r="U299" s="43">
        <f>Funktional!AP275</f>
        <v>872.26666666666665</v>
      </c>
      <c r="V299" s="80">
        <f t="shared" si="53"/>
        <v>1605.3398601398565</v>
      </c>
      <c r="W299" s="183">
        <f t="shared" si="53"/>
        <v>25507.066666666648</v>
      </c>
      <c r="X299" s="172">
        <f>Funktional!S275</f>
        <v>0.58259127734742455</v>
      </c>
      <c r="Y299" s="42">
        <f>Funktional!X275</f>
        <v>4.9656185068655261E-2</v>
      </c>
      <c r="Z299" s="42">
        <f>'Kennzahlen Revision'!L275</f>
        <v>8.7110767013522435E-3</v>
      </c>
      <c r="AA299" s="42">
        <f>Funktional!AE275</f>
        <v>9.2162919907846072E-2</v>
      </c>
      <c r="AB299" s="42">
        <f>Funktional!AJ275</f>
        <v>0.13411611913526009</v>
      </c>
      <c r="AC299" s="42">
        <f>Funktional!AS275</f>
        <v>4.5947791197865392E-2</v>
      </c>
      <c r="AD299" s="42">
        <f>Funktional!AO275</f>
        <v>3.1586806714224321E-3</v>
      </c>
      <c r="AE299" s="202">
        <f>Funktional!AV275</f>
        <v>9.2367026671526201E-2</v>
      </c>
      <c r="AF299" s="176">
        <f>'Kennzahlen Revision'!C275</f>
        <v>0.15129999999999999</v>
      </c>
      <c r="AG299" s="177">
        <f>'Kennzahlen Revision'!D275</f>
        <v>5.2600000000000001E-2</v>
      </c>
      <c r="AH299" s="177">
        <f>Artengliederung!AN275</f>
        <v>6.3791838340764004E-2</v>
      </c>
      <c r="AI299" s="178" t="str">
        <f t="shared" si="54"/>
        <v>Altnau</v>
      </c>
    </row>
    <row r="300" spans="1:35" x14ac:dyDescent="0.25">
      <c r="A300" s="41" t="str">
        <f>Funktional!A276</f>
        <v>Amriswil</v>
      </c>
      <c r="B300" s="41" t="str">
        <f>Funktional!B276</f>
        <v>OSG</v>
      </c>
      <c r="C300" s="352">
        <f>Funktional!D276</f>
        <v>547</v>
      </c>
      <c r="D300" s="348">
        <f>Funktional!G276</f>
        <v>13236.381352833638</v>
      </c>
      <c r="E300" s="186">
        <f>Funktional!F276</f>
        <v>289612.02399999998</v>
      </c>
      <c r="F300" s="48">
        <f>Funktional!U276</f>
        <v>9555.6957952468001</v>
      </c>
      <c r="G300" s="48">
        <f>Funktional!T276</f>
        <v>209078.62399999998</v>
      </c>
      <c r="H300" s="48">
        <f>Artengliederung!R276</f>
        <v>253.1010054844607</v>
      </c>
      <c r="I300" s="186">
        <f>Artengliederung!Q276</f>
        <v>5537.85</v>
      </c>
      <c r="J300" s="48">
        <f>Funktional!Z276</f>
        <v>631.18171846435109</v>
      </c>
      <c r="K300" s="48">
        <f>Funktional!Y276</f>
        <v>13810.256000000001</v>
      </c>
      <c r="L300" s="48">
        <f>'Kennzahlen Revision'!O276</f>
        <v>181.43510054844606</v>
      </c>
      <c r="M300" s="48">
        <f>'Kennzahlen Revision'!N276</f>
        <v>3969.8</v>
      </c>
      <c r="N300" s="80">
        <f>Funktional!AG276</f>
        <v>933.63802559414989</v>
      </c>
      <c r="O300" s="43">
        <f>Funktional!AF276</f>
        <v>20428</v>
      </c>
      <c r="P300" s="43">
        <f>Funktional!AL276</f>
        <v>902.45831809872027</v>
      </c>
      <c r="Q300" s="43">
        <f>Funktional!AK276</f>
        <v>19745.788</v>
      </c>
      <c r="R300" s="80">
        <f>Funktional!AU276</f>
        <v>637.66453382084092</v>
      </c>
      <c r="S300" s="43">
        <f>Funktional!AT276</f>
        <v>13952.1</v>
      </c>
      <c r="T300" s="80">
        <f>Funktional!AQ276</f>
        <v>61.589396709323587</v>
      </c>
      <c r="U300" s="43">
        <f>Funktional!AP276</f>
        <v>1347.576</v>
      </c>
      <c r="V300" s="80">
        <f t="shared" si="53"/>
        <v>514.15356489945202</v>
      </c>
      <c r="W300" s="183">
        <f t="shared" si="53"/>
        <v>11249.68</v>
      </c>
      <c r="X300" s="172">
        <f>Funktional!S276</f>
        <v>0.72192660067180081</v>
      </c>
      <c r="Y300" s="42">
        <f>Funktional!X276</f>
        <v>4.7685368201425236E-2</v>
      </c>
      <c r="Z300" s="42">
        <f>'Kennzahlen Revision'!L276</f>
        <v>1.370730381001032E-2</v>
      </c>
      <c r="AA300" s="42">
        <f>Funktional!AE276</f>
        <v>7.0535745435762714E-2</v>
      </c>
      <c r="AB300" s="42">
        <f>Funktional!AJ276</f>
        <v>6.8180138819098207E-2</v>
      </c>
      <c r="AC300" s="42">
        <f>Funktional!AS276</f>
        <v>4.8175140684076023E-2</v>
      </c>
      <c r="AD300" s="42">
        <f>Funktional!AO276</f>
        <v>4.6530388531106021E-3</v>
      </c>
      <c r="AE300" s="202">
        <f>Funktional!AV276</f>
        <v>3.8843967334726393E-2</v>
      </c>
      <c r="AF300" s="176">
        <f>'Kennzahlen Revision'!C276</f>
        <v>0.1071</v>
      </c>
      <c r="AG300" s="177">
        <f>'Kennzahlen Revision'!D276</f>
        <v>4.1500000000000002E-2</v>
      </c>
      <c r="AH300" s="177">
        <f>Artengliederung!AN276</f>
        <v>7.3245439560893369E-2</v>
      </c>
      <c r="AI300" s="178" t="str">
        <f t="shared" si="54"/>
        <v>Amriswil</v>
      </c>
    </row>
    <row r="301" spans="1:35" x14ac:dyDescent="0.25">
      <c r="A301" s="41" t="str">
        <f>Funktional!A277</f>
        <v>Balterswil-Bichelsee</v>
      </c>
      <c r="B301" s="41" t="str">
        <f>Funktional!B277</f>
        <v>OSG</v>
      </c>
      <c r="C301" s="352">
        <f>Funktional!D277</f>
        <v>113</v>
      </c>
      <c r="D301" s="348">
        <f>Funktional!G277</f>
        <v>13757.312831858408</v>
      </c>
      <c r="E301" s="186">
        <f>Funktional!F277</f>
        <v>222082.33571428573</v>
      </c>
      <c r="F301" s="48">
        <f>Funktional!U277</f>
        <v>9392.1654867256639</v>
      </c>
      <c r="G301" s="48">
        <f>Funktional!T277</f>
        <v>151616.38571428572</v>
      </c>
      <c r="H301" s="48">
        <f>Artengliederung!R277</f>
        <v>670.68008849557532</v>
      </c>
      <c r="I301" s="186">
        <f>Artengliederung!Q277</f>
        <v>10826.692857142858</v>
      </c>
      <c r="J301" s="48">
        <f>Funktional!Z277</f>
        <v>1010.9734513274336</v>
      </c>
      <c r="K301" s="48">
        <f>Funktional!Y277</f>
        <v>16320</v>
      </c>
      <c r="L301" s="48">
        <f>'Kennzahlen Revision'!O277</f>
        <v>297.07964601769913</v>
      </c>
      <c r="M301" s="48">
        <f>'Kennzahlen Revision'!N277</f>
        <v>4795.7142857142853</v>
      </c>
      <c r="N301" s="80">
        <f>Funktional!AG277</f>
        <v>221.23893805309734</v>
      </c>
      <c r="O301" s="43">
        <f>Funktional!AF277</f>
        <v>3571.4285714285716</v>
      </c>
      <c r="P301" s="43">
        <f>Funktional!AL277</f>
        <v>1951.3</v>
      </c>
      <c r="Q301" s="43">
        <f>Funktional!AK277</f>
        <v>31499.557142857142</v>
      </c>
      <c r="R301" s="80">
        <f>Funktional!AU277</f>
        <v>0</v>
      </c>
      <c r="S301" s="43">
        <f>Funktional!AT277</f>
        <v>0</v>
      </c>
      <c r="T301" s="80">
        <f>Funktional!AQ277</f>
        <v>30.363274336283187</v>
      </c>
      <c r="U301" s="43">
        <f>Funktional!AP277</f>
        <v>490.15000000000003</v>
      </c>
      <c r="V301" s="80">
        <f t="shared" si="53"/>
        <v>1151.2716814159301</v>
      </c>
      <c r="W301" s="183">
        <f t="shared" si="53"/>
        <v>18584.814285714296</v>
      </c>
      <c r="X301" s="172">
        <f>Funktional!S277</f>
        <v>0.68270349024671573</v>
      </c>
      <c r="Y301" s="42">
        <f>Funktional!X277</f>
        <v>7.3486258812569732E-2</v>
      </c>
      <c r="Z301" s="42">
        <f>'Kennzahlen Revision'!L277</f>
        <v>2.1594307671025614E-2</v>
      </c>
      <c r="AA301" s="42">
        <f>Funktional!AE277</f>
        <v>1.6081551735944007E-2</v>
      </c>
      <c r="AB301" s="42">
        <f>Funktional!AJ277</f>
        <v>0.14183729219861088</v>
      </c>
      <c r="AC301" s="42">
        <f>Funktional!AS277</f>
        <v>0</v>
      </c>
      <c r="AD301" s="42">
        <f>Funktional!AO277</f>
        <v>2.2070643233444275E-3</v>
      </c>
      <c r="AE301" s="202">
        <f>Funktional!AV277</f>
        <v>8.368434268281523E-2</v>
      </c>
      <c r="AF301" s="176">
        <f>'Kennzahlen Revision'!C277</f>
        <v>1.5800000000000002E-2</v>
      </c>
      <c r="AG301" s="177">
        <f>'Kennzahlen Revision'!D277</f>
        <v>-4.0000000000000002E-4</v>
      </c>
      <c r="AH301" s="177">
        <f>Artengliederung!AN277</f>
        <v>0.19347087712996533</v>
      </c>
      <c r="AI301" s="178" t="str">
        <f t="shared" si="54"/>
        <v>Balterswil-Bichelsee</v>
      </c>
    </row>
    <row r="302" spans="1:35" x14ac:dyDescent="0.25">
      <c r="A302" s="41" t="str">
        <f>Funktional!A278</f>
        <v>Berg</v>
      </c>
      <c r="B302" s="41" t="str">
        <f>Funktional!B278</f>
        <v>OSG</v>
      </c>
      <c r="C302" s="352">
        <f>Funktional!D278</f>
        <v>163</v>
      </c>
      <c r="D302" s="348">
        <f>Funktional!G278</f>
        <v>16913.015337423312</v>
      </c>
      <c r="E302" s="186">
        <f>Funktional!F278</f>
        <v>393831.64285714284</v>
      </c>
      <c r="F302" s="48">
        <f>Funktional!U278</f>
        <v>9847.9524539877293</v>
      </c>
      <c r="G302" s="48">
        <f>Funktional!T278</f>
        <v>229316.60714285713</v>
      </c>
      <c r="H302" s="48">
        <f>Artengliederung!R278</f>
        <v>723.03834355828224</v>
      </c>
      <c r="I302" s="186">
        <f>Artengliederung!Q278</f>
        <v>16836.464285714286</v>
      </c>
      <c r="J302" s="48">
        <f>Funktional!Z278</f>
        <v>796.85092024539881</v>
      </c>
      <c r="K302" s="48">
        <f>Funktional!Y278</f>
        <v>18555.242857142857</v>
      </c>
      <c r="L302" s="48">
        <f>'Kennzahlen Revision'!O278</f>
        <v>248.25153374233128</v>
      </c>
      <c r="M302" s="48">
        <f>'Kennzahlen Revision'!N278</f>
        <v>5780.7142857142853</v>
      </c>
      <c r="N302" s="80">
        <f>Funktional!AG278</f>
        <v>1208.0193251533742</v>
      </c>
      <c r="O302" s="43">
        <f>Funktional!AF278</f>
        <v>28129.592857142856</v>
      </c>
      <c r="P302" s="43">
        <f>Funktional!AL278</f>
        <v>3497.7361963190183</v>
      </c>
      <c r="Q302" s="43">
        <f>Funktional!AK278</f>
        <v>81447.28571428571</v>
      </c>
      <c r="R302" s="80">
        <f>Funktional!AU278</f>
        <v>1004.2815950920245</v>
      </c>
      <c r="S302" s="43">
        <f>Funktional!AT278</f>
        <v>23385.414285714283</v>
      </c>
      <c r="T302" s="80">
        <f>Funktional!AQ278</f>
        <v>17.928220858895706</v>
      </c>
      <c r="U302" s="43">
        <f>Funktional!AP278</f>
        <v>417.47142857142859</v>
      </c>
      <c r="V302" s="80">
        <f t="shared" si="53"/>
        <v>540.24662576687103</v>
      </c>
      <c r="W302" s="183">
        <f t="shared" si="53"/>
        <v>12580.028571428589</v>
      </c>
      <c r="X302" s="172">
        <f>Funktional!S278</f>
        <v>0.58227065118289301</v>
      </c>
      <c r="Y302" s="42">
        <f>Funktional!X278</f>
        <v>4.7114657223908042E-2</v>
      </c>
      <c r="Z302" s="42">
        <f>'Kennzahlen Revision'!L278</f>
        <v>1.4678135671823512E-2</v>
      </c>
      <c r="AA302" s="42">
        <f>Funktional!AE278</f>
        <v>7.1425425984235832E-2</v>
      </c>
      <c r="AB302" s="42">
        <f>Funktional!AJ278</f>
        <v>0.2068073685583198</v>
      </c>
      <c r="AC302" s="42">
        <f>Funktional!AS278</f>
        <v>5.9379216245955713E-2</v>
      </c>
      <c r="AD302" s="42">
        <f>Funktional!AO278</f>
        <v>1.060025104998637E-3</v>
      </c>
      <c r="AE302" s="202">
        <f>Funktional!AV278</f>
        <v>3.1942655699688946E-2</v>
      </c>
      <c r="AF302" s="176">
        <f>'Kennzahlen Revision'!C278</f>
        <v>0.13539999999999999</v>
      </c>
      <c r="AG302" s="177">
        <f>'Kennzahlen Revision'!D278</f>
        <v>6.3600000000000004E-2</v>
      </c>
      <c r="AH302" s="177">
        <f>Artengliederung!AN278</f>
        <v>6.5553391831861443E-2</v>
      </c>
      <c r="AI302" s="178" t="str">
        <f t="shared" si="54"/>
        <v>Berg</v>
      </c>
    </row>
    <row r="303" spans="1:35" x14ac:dyDescent="0.25">
      <c r="A303" s="41" t="str">
        <f>Funktional!A279</f>
        <v>Bischofszell</v>
      </c>
      <c r="B303" s="41" t="str">
        <f>Funktional!B279</f>
        <v>OSG</v>
      </c>
      <c r="C303" s="352">
        <f>Funktional!D279</f>
        <v>441</v>
      </c>
      <c r="D303" s="348">
        <f>Funktional!G279</f>
        <v>14275.370521541949</v>
      </c>
      <c r="E303" s="186">
        <f>Funktional!F279</f>
        <v>314771.92</v>
      </c>
      <c r="F303" s="48">
        <f>Funktional!U279</f>
        <v>9954.3207482993203</v>
      </c>
      <c r="G303" s="48">
        <f>Funktional!T279</f>
        <v>219492.77250000002</v>
      </c>
      <c r="H303" s="48">
        <f>Artengliederung!R279</f>
        <v>678.46371882086169</v>
      </c>
      <c r="I303" s="186">
        <f>Artengliederung!Q279</f>
        <v>14960.125</v>
      </c>
      <c r="J303" s="48">
        <f>Funktional!Z279</f>
        <v>500.19863945578231</v>
      </c>
      <c r="K303" s="48">
        <f>Funktional!Y279</f>
        <v>11029.380000000001</v>
      </c>
      <c r="L303" s="48">
        <f>'Kennzahlen Revision'!O279</f>
        <v>213.85034013605443</v>
      </c>
      <c r="M303" s="48">
        <f>'Kennzahlen Revision'!N279</f>
        <v>4715.3999999999996</v>
      </c>
      <c r="N303" s="80">
        <f>Funktional!AG279</f>
        <v>600.27664399092976</v>
      </c>
      <c r="O303" s="43">
        <f>Funktional!AF279</f>
        <v>13236.1</v>
      </c>
      <c r="P303" s="43">
        <f>Funktional!AL279</f>
        <v>1262.2079365079364</v>
      </c>
      <c r="Q303" s="43">
        <f>Funktional!AK279</f>
        <v>27831.684999999998</v>
      </c>
      <c r="R303" s="80">
        <f>Funktional!AU279</f>
        <v>0</v>
      </c>
      <c r="S303" s="43">
        <f>Funktional!AT279</f>
        <v>0</v>
      </c>
      <c r="T303" s="80">
        <f>Funktional!AQ279</f>
        <v>27.27823129251701</v>
      </c>
      <c r="U303" s="43">
        <f>Funktional!AP279</f>
        <v>601.48500000000001</v>
      </c>
      <c r="V303" s="80">
        <f t="shared" si="53"/>
        <v>1931.0883219954628</v>
      </c>
      <c r="W303" s="183">
        <f t="shared" si="53"/>
        <v>42580.497499999954</v>
      </c>
      <c r="X303" s="172">
        <f>Funktional!S279</f>
        <v>0.69730734717378862</v>
      </c>
      <c r="Y303" s="42">
        <f>Funktional!X279</f>
        <v>3.5039275422026214E-2</v>
      </c>
      <c r="Z303" s="42">
        <f>'Kennzahlen Revision'!L279</f>
        <v>1.4980370548935879E-2</v>
      </c>
      <c r="AA303" s="42">
        <f>Funktional!AE279</f>
        <v>4.204981181294698E-2</v>
      </c>
      <c r="AB303" s="42">
        <f>Funktional!AJ279</f>
        <v>8.8418576218615694E-2</v>
      </c>
      <c r="AC303" s="42">
        <f>Funktional!AS279</f>
        <v>0</v>
      </c>
      <c r="AD303" s="42">
        <f>Funktional!AO279</f>
        <v>1.9108597742771975E-3</v>
      </c>
      <c r="AE303" s="202">
        <f>Funktional!AV279</f>
        <v>0.13527412959834528</v>
      </c>
      <c r="AF303" s="176">
        <f>'Kennzahlen Revision'!C279</f>
        <v>0.1124</v>
      </c>
      <c r="AG303" s="177">
        <f>'Kennzahlen Revision'!D279</f>
        <v>7.4800000000000005E-2</v>
      </c>
      <c r="AH303" s="177">
        <f>Artengliederung!AN279</f>
        <v>0.1566396948622355</v>
      </c>
      <c r="AI303" s="178" t="str">
        <f t="shared" si="54"/>
        <v>Bischofszell</v>
      </c>
    </row>
    <row r="304" spans="1:35" x14ac:dyDescent="0.25">
      <c r="A304" s="41" t="str">
        <f>Funktional!A280</f>
        <v>Bürglen</v>
      </c>
      <c r="B304" s="41" t="str">
        <f>Funktional!B280</f>
        <v>OSG</v>
      </c>
      <c r="C304" s="352">
        <f>Funktional!D280</f>
        <v>174</v>
      </c>
      <c r="D304" s="348">
        <f>Funktional!G280</f>
        <v>17150.062068965519</v>
      </c>
      <c r="E304" s="186">
        <f>Funktional!F280</f>
        <v>248675.90000000002</v>
      </c>
      <c r="F304" s="48">
        <f>Funktional!U280</f>
        <v>11586.144252873562</v>
      </c>
      <c r="G304" s="48">
        <f>Funktional!T280</f>
        <v>167999.09166666665</v>
      </c>
      <c r="H304" s="48">
        <f>Artengliederung!R280</f>
        <v>704.51896551724144</v>
      </c>
      <c r="I304" s="186">
        <f>Artengliederung!Q280</f>
        <v>10215.525</v>
      </c>
      <c r="J304" s="48">
        <f>Funktional!Z280</f>
        <v>614.11954022988505</v>
      </c>
      <c r="K304" s="48">
        <f>Funktional!Y280</f>
        <v>8904.7333333333336</v>
      </c>
      <c r="L304" s="48">
        <f>'Kennzahlen Revision'!O280</f>
        <v>195.40229885057471</v>
      </c>
      <c r="M304" s="48">
        <f>'Kennzahlen Revision'!N280</f>
        <v>2833.3333333333335</v>
      </c>
      <c r="N304" s="80">
        <f>Funktional!AG280</f>
        <v>1318.1649425287358</v>
      </c>
      <c r="O304" s="43">
        <f>Funktional!AF280</f>
        <v>19113.391666666666</v>
      </c>
      <c r="P304" s="43">
        <f>Funktional!AL280</f>
        <v>1389.142816091954</v>
      </c>
      <c r="Q304" s="43">
        <f>Funktional!AK280</f>
        <v>20142.570833333335</v>
      </c>
      <c r="R304" s="80">
        <f>Funktional!AU280</f>
        <v>1105.8031609195402</v>
      </c>
      <c r="S304" s="43">
        <f>Funktional!AT280</f>
        <v>16034.145833333334</v>
      </c>
      <c r="T304" s="80">
        <f>Funktional!AQ280</f>
        <v>50.168390804597699</v>
      </c>
      <c r="U304" s="43">
        <f>Funktional!AP280</f>
        <v>727.44166666666661</v>
      </c>
      <c r="V304" s="80">
        <f t="shared" si="53"/>
        <v>1086.518965517243</v>
      </c>
      <c r="W304" s="183">
        <f t="shared" si="53"/>
        <v>15754.525000000045</v>
      </c>
      <c r="X304" s="172">
        <f>Funktional!S280</f>
        <v>0.6755744793390378</v>
      </c>
      <c r="Y304" s="42">
        <f>Funktional!X280</f>
        <v>3.5808589949139956E-2</v>
      </c>
      <c r="Z304" s="42">
        <f>'Kennzahlen Revision'!L280</f>
        <v>1.1393678813802757E-2</v>
      </c>
      <c r="AA304" s="42">
        <f>Funktional!AE280</f>
        <v>7.6860651420852064E-2</v>
      </c>
      <c r="AB304" s="42">
        <f>Funktional!AJ280</f>
        <v>8.0999287962095767E-2</v>
      </c>
      <c r="AC304" s="42">
        <f>Funktional!AS280</f>
        <v>6.4478085063061324E-2</v>
      </c>
      <c r="AD304" s="42">
        <f>Funktional!AO280</f>
        <v>2.9252600138037765E-3</v>
      </c>
      <c r="AE304" s="202">
        <f>Funktional!AV280</f>
        <v>6.3353646252009316E-2</v>
      </c>
      <c r="AF304" s="176">
        <f>'Kennzahlen Revision'!C280</f>
        <v>0.1353</v>
      </c>
      <c r="AG304" s="177">
        <f>'Kennzahlen Revision'!D280</f>
        <v>6.9000000000000006E-2</v>
      </c>
      <c r="AH304" s="177">
        <f>Artengliederung!AN280</f>
        <v>0.11543498988040254</v>
      </c>
      <c r="AI304" s="178" t="str">
        <f t="shared" si="54"/>
        <v>Bürglen</v>
      </c>
    </row>
    <row r="305" spans="1:35" x14ac:dyDescent="0.25">
      <c r="A305" s="41" t="str">
        <f>Funktional!A281</f>
        <v>Diessenhofen</v>
      </c>
      <c r="B305" s="41" t="str">
        <f>Funktional!B281</f>
        <v>OSG</v>
      </c>
      <c r="C305" s="352">
        <f>Funktional!D281</f>
        <v>263</v>
      </c>
      <c r="D305" s="348">
        <f>Funktional!G281</f>
        <v>17452.038136882125</v>
      </c>
      <c r="E305" s="186">
        <f>Funktional!F281</f>
        <v>262279.20171428565</v>
      </c>
      <c r="F305" s="48">
        <f>Funktional!U281</f>
        <v>12103.806273764259</v>
      </c>
      <c r="G305" s="48">
        <f>Funktional!T281</f>
        <v>181902.91714285716</v>
      </c>
      <c r="H305" s="48">
        <f>Artengliederung!R281</f>
        <v>676.80038022813687</v>
      </c>
      <c r="I305" s="186">
        <f>Artengliederung!Q281</f>
        <v>10171.342857142858</v>
      </c>
      <c r="J305" s="48">
        <f>Funktional!Z281</f>
        <v>752.78726235741442</v>
      </c>
      <c r="K305" s="48">
        <f>Funktional!Y281</f>
        <v>11313.317142857142</v>
      </c>
      <c r="L305" s="48">
        <f>'Kennzahlen Revision'!O281</f>
        <v>286.90114068441062</v>
      </c>
      <c r="M305" s="48">
        <f>'Kennzahlen Revision'!N281</f>
        <v>4311.7142857142853</v>
      </c>
      <c r="N305" s="80">
        <f>Funktional!AG281</f>
        <v>1216.7186311787073</v>
      </c>
      <c r="O305" s="43">
        <f>Funktional!AF281</f>
        <v>18285.542857142857</v>
      </c>
      <c r="P305" s="43">
        <f>Funktional!AL281</f>
        <v>1689.0487452471484</v>
      </c>
      <c r="Q305" s="43">
        <f>Funktional!AK281</f>
        <v>25383.989714285715</v>
      </c>
      <c r="R305" s="80">
        <f>Funktional!AU281</f>
        <v>998.09885931558938</v>
      </c>
      <c r="S305" s="43">
        <f>Funktional!AT281</f>
        <v>15000</v>
      </c>
      <c r="T305" s="80">
        <f>Funktional!AQ281</f>
        <v>79.704182509505699</v>
      </c>
      <c r="U305" s="43">
        <f>Funktional!AP281</f>
        <v>1197.8400000000001</v>
      </c>
      <c r="V305" s="80">
        <f t="shared" si="53"/>
        <v>611.87418250950032</v>
      </c>
      <c r="W305" s="183">
        <f t="shared" si="53"/>
        <v>9195.5948571427834</v>
      </c>
      <c r="X305" s="172">
        <f>Funktional!S281</f>
        <v>0.69354686133677279</v>
      </c>
      <c r="Y305" s="42">
        <f>Funktional!X281</f>
        <v>4.3134633127263081E-2</v>
      </c>
      <c r="Z305" s="42">
        <f>'Kennzahlen Revision'!L281</f>
        <v>1.6439406012876537E-2</v>
      </c>
      <c r="AA305" s="42">
        <f>Funktional!AE281</f>
        <v>6.9717853103206578E-2</v>
      </c>
      <c r="AB305" s="42">
        <f>Funktional!AJ281</f>
        <v>9.6782320322668244E-2</v>
      </c>
      <c r="AC305" s="42">
        <f>Funktional!AS281</f>
        <v>5.7190962538997955E-2</v>
      </c>
      <c r="AD305" s="42">
        <f>Funktional!AO281</f>
        <v>4.5670415045142212E-3</v>
      </c>
      <c r="AE305" s="202">
        <f>Funktional!AV281</f>
        <v>3.5060328066577134E-2</v>
      </c>
      <c r="AF305" s="176">
        <f>'Kennzahlen Revision'!C281</f>
        <v>0.1583</v>
      </c>
      <c r="AG305" s="177">
        <f>'Kennzahlen Revision'!D281</f>
        <v>7.5200000000000003E-2</v>
      </c>
      <c r="AH305" s="177">
        <f>Artengliederung!AN281</f>
        <v>7.5418179827876908E-2</v>
      </c>
      <c r="AI305" s="178" t="str">
        <f t="shared" si="54"/>
        <v>Diessenhofen</v>
      </c>
    </row>
    <row r="306" spans="1:35" x14ac:dyDescent="0.25">
      <c r="A306" s="41" t="str">
        <f>Funktional!A282</f>
        <v>Dozwil-Kesswil-Uttwil</v>
      </c>
      <c r="B306" s="41" t="str">
        <f>Funktional!B282</f>
        <v>OSG</v>
      </c>
      <c r="C306" s="352">
        <f>Funktional!D282</f>
        <v>107</v>
      </c>
      <c r="D306" s="348">
        <f>Funktional!G282</f>
        <v>16230.330373831777</v>
      </c>
      <c r="E306" s="186">
        <f>Funktional!F282</f>
        <v>347329.07</v>
      </c>
      <c r="F306" s="48">
        <f>Funktional!U282</f>
        <v>10604.453271028038</v>
      </c>
      <c r="G306" s="48">
        <f>Funktional!T282</f>
        <v>226935.3</v>
      </c>
      <c r="H306" s="48">
        <f>Artengliederung!R282</f>
        <v>623.40420560747668</v>
      </c>
      <c r="I306" s="186">
        <f>Artengliederung!Q282</f>
        <v>13340.85</v>
      </c>
      <c r="J306" s="48">
        <f>Funktional!Z282</f>
        <v>554.91168224299065</v>
      </c>
      <c r="K306" s="48">
        <f>Funktional!Y282</f>
        <v>11875.11</v>
      </c>
      <c r="L306" s="48">
        <f>'Kennzahlen Revision'!O282</f>
        <v>149.53271028037383</v>
      </c>
      <c r="M306" s="48">
        <f>'Kennzahlen Revision'!N282</f>
        <v>3200</v>
      </c>
      <c r="N306" s="80">
        <f>Funktional!AG282</f>
        <v>1997.9345794392523</v>
      </c>
      <c r="O306" s="43">
        <f>Funktional!AF282</f>
        <v>42755.8</v>
      </c>
      <c r="P306" s="43">
        <f>Funktional!AL282</f>
        <v>1588.1275700934582</v>
      </c>
      <c r="Q306" s="43">
        <f>Funktional!AK282</f>
        <v>33985.930000000008</v>
      </c>
      <c r="R306" s="80">
        <f>Funktional!AU282</f>
        <v>864.86261682242991</v>
      </c>
      <c r="S306" s="43">
        <f>Funktional!AT282</f>
        <v>18508.060000000001</v>
      </c>
      <c r="T306" s="80">
        <f>Funktional!AQ282</f>
        <v>35.915887850467293</v>
      </c>
      <c r="U306" s="43">
        <f>Funktional!AP282</f>
        <v>768.6</v>
      </c>
      <c r="V306" s="80">
        <f t="shared" si="53"/>
        <v>584.12476635514111</v>
      </c>
      <c r="W306" s="183">
        <f t="shared" si="53"/>
        <v>12500.270000000006</v>
      </c>
      <c r="X306" s="172">
        <f>Funktional!S282</f>
        <v>0.65337260713593592</v>
      </c>
      <c r="Y306" s="42">
        <f>Funktional!X282</f>
        <v>3.4189795861313883E-2</v>
      </c>
      <c r="Z306" s="42">
        <f>'Kennzahlen Revision'!L282</f>
        <v>9.2131649101527841E-3</v>
      </c>
      <c r="AA306" s="42">
        <f>Funktional!AE282</f>
        <v>0.12309882383297199</v>
      </c>
      <c r="AB306" s="42">
        <f>Funktional!AJ282</f>
        <v>9.7849368035909004E-2</v>
      </c>
      <c r="AC306" s="42">
        <f>Funktional!AS282</f>
        <v>5.3286815295938227E-2</v>
      </c>
      <c r="AD306" s="42">
        <f>Funktional!AO282</f>
        <v>2.2128870468573216E-3</v>
      </c>
      <c r="AE306" s="202">
        <f>Funktional!AV282</f>
        <v>3.598970279107367E-2</v>
      </c>
      <c r="AF306" s="176">
        <f>'Kennzahlen Revision'!C282</f>
        <v>0.1774</v>
      </c>
      <c r="AG306" s="177">
        <f>'Kennzahlen Revision'!D282</f>
        <v>5.28E-2</v>
      </c>
      <c r="AH306" s="177">
        <f>Artengliederung!AN282</f>
        <v>3.9387086142832782E-2</v>
      </c>
      <c r="AI306" s="178" t="str">
        <f t="shared" si="54"/>
        <v>Dozwil-Kesswil-Uttwil</v>
      </c>
    </row>
    <row r="307" spans="1:35" x14ac:dyDescent="0.25">
      <c r="A307" s="41" t="str">
        <f>Funktional!A283</f>
        <v>Ermatingen</v>
      </c>
      <c r="B307" s="41" t="str">
        <f>Funktional!B283</f>
        <v>OSG</v>
      </c>
      <c r="C307" s="352">
        <f>Funktional!D283</f>
        <v>122</v>
      </c>
      <c r="D307" s="348">
        <f>Funktional!G283</f>
        <v>18994.097868852459</v>
      </c>
      <c r="E307" s="186">
        <f>Funktional!F283</f>
        <v>386213.3233333333</v>
      </c>
      <c r="F307" s="48">
        <f>Funktional!U283</f>
        <v>9913.5056557377047</v>
      </c>
      <c r="G307" s="48">
        <f>Funktional!T283</f>
        <v>201574.61499999999</v>
      </c>
      <c r="H307" s="48">
        <f>Artengliederung!R283</f>
        <v>612.28877049180323</v>
      </c>
      <c r="I307" s="186">
        <f>Artengliederung!Q283</f>
        <v>12449.871666666666</v>
      </c>
      <c r="J307" s="48">
        <f>Funktional!Z283</f>
        <v>931.7282786885246</v>
      </c>
      <c r="K307" s="48">
        <f>Funktional!Y283</f>
        <v>18945.141666666666</v>
      </c>
      <c r="L307" s="48">
        <f>'Kennzahlen Revision'!O283</f>
        <v>244.13114754098362</v>
      </c>
      <c r="M307" s="48">
        <f>'Kennzahlen Revision'!N283</f>
        <v>4964</v>
      </c>
      <c r="N307" s="80">
        <f>Funktional!AG283</f>
        <v>3911.4754098360654</v>
      </c>
      <c r="O307" s="43">
        <f>Funktional!AF283</f>
        <v>79533.333333333328</v>
      </c>
      <c r="P307" s="43">
        <f>Funktional!AL283</f>
        <v>2262.8766393442625</v>
      </c>
      <c r="Q307" s="43">
        <f>Funktional!AK283</f>
        <v>46011.825000000004</v>
      </c>
      <c r="R307" s="80">
        <f>Funktional!AU283</f>
        <v>1639.0192622950819</v>
      </c>
      <c r="S307" s="43">
        <f>Funktional!AT283</f>
        <v>33326.724999999999</v>
      </c>
      <c r="T307" s="80">
        <f>Funktional!AQ283</f>
        <v>42.52172131147541</v>
      </c>
      <c r="U307" s="43">
        <f>Funktional!AP283</f>
        <v>864.60833333333323</v>
      </c>
      <c r="V307" s="80">
        <f t="shared" si="53"/>
        <v>292.9709016393449</v>
      </c>
      <c r="W307" s="183">
        <f t="shared" si="53"/>
        <v>5957.0749999999862</v>
      </c>
      <c r="X307" s="172">
        <f>Funktional!S283</f>
        <v>0.52192558573652525</v>
      </c>
      <c r="Y307" s="42">
        <f>Funktional!X283</f>
        <v>4.9053568383283036E-2</v>
      </c>
      <c r="Z307" s="42">
        <f>'Kennzahlen Revision'!L283</f>
        <v>1.2853000401841825E-2</v>
      </c>
      <c r="AA307" s="42">
        <f>Funktional!AE283</f>
        <v>0.20593109695671902</v>
      </c>
      <c r="AB307" s="42">
        <f>Funktional!AJ283</f>
        <v>0.11913577864916917</v>
      </c>
      <c r="AC307" s="42">
        <f>Funktional!AS283</f>
        <v>8.6290976997798557E-2</v>
      </c>
      <c r="AD307" s="42">
        <f>Funktional!AO283</f>
        <v>2.2386807525723454E-3</v>
      </c>
      <c r="AE307" s="202">
        <f>Funktional!AV283</f>
        <v>1.5424312523932629E-2</v>
      </c>
      <c r="AF307" s="176">
        <f>'Kennzahlen Revision'!C283</f>
        <v>0.25990000000000002</v>
      </c>
      <c r="AG307" s="177">
        <f>'Kennzahlen Revision'!D283</f>
        <v>6.7599999999999993E-2</v>
      </c>
      <c r="AH307" s="177">
        <f>Artengliederung!AN283</f>
        <v>1.138054127374874E-2</v>
      </c>
      <c r="AI307" s="178" t="str">
        <f t="shared" si="54"/>
        <v>Ermatingen</v>
      </c>
    </row>
    <row r="308" spans="1:35" x14ac:dyDescent="0.25">
      <c r="A308" s="41" t="str">
        <f>Funktional!A284</f>
        <v>Eschenz</v>
      </c>
      <c r="B308" s="41" t="str">
        <f>Funktional!B284</f>
        <v>OSG</v>
      </c>
      <c r="C308" s="352">
        <f>Funktional!D284</f>
        <v>139</v>
      </c>
      <c r="D308" s="348">
        <f>Funktional!G284</f>
        <v>14669.140647482014</v>
      </c>
      <c r="E308" s="186">
        <f>Funktional!F284</f>
        <v>291287.22142857144</v>
      </c>
      <c r="F308" s="48">
        <f>Funktional!U284</f>
        <v>9265.8348920863318</v>
      </c>
      <c r="G308" s="48">
        <f>Funktional!T284</f>
        <v>183993.00714285715</v>
      </c>
      <c r="H308" s="48">
        <f>Artengliederung!R284</f>
        <v>675.83669064748199</v>
      </c>
      <c r="I308" s="186">
        <f>Artengliederung!Q284</f>
        <v>13420.185714285715</v>
      </c>
      <c r="J308" s="48">
        <f>Funktional!Z284</f>
        <v>506.88956834532371</v>
      </c>
      <c r="K308" s="48">
        <f>Funktional!Y284</f>
        <v>10065.378571428571</v>
      </c>
      <c r="L308" s="48">
        <f>'Kennzahlen Revision'!O284</f>
        <v>239.568345323741</v>
      </c>
      <c r="M308" s="48">
        <f>'Kennzahlen Revision'!N284</f>
        <v>4757.1428571428569</v>
      </c>
      <c r="N308" s="80">
        <f>Funktional!AG284</f>
        <v>1669.4028776978416</v>
      </c>
      <c r="O308" s="43">
        <f>Funktional!AF284</f>
        <v>33149.571428571428</v>
      </c>
      <c r="P308" s="43">
        <f>Funktional!AL284</f>
        <v>1343.6478417266187</v>
      </c>
      <c r="Q308" s="43">
        <f>Funktional!AK284</f>
        <v>26681.007142857143</v>
      </c>
      <c r="R308" s="80">
        <f>Funktional!AU284</f>
        <v>1634.3924460431654</v>
      </c>
      <c r="S308" s="43">
        <f>Funktional!AT284</f>
        <v>32454.364285714284</v>
      </c>
      <c r="T308" s="80">
        <f>Funktional!AQ284</f>
        <v>28.715107913669065</v>
      </c>
      <c r="U308" s="43">
        <f>Funktional!AP284</f>
        <v>570.20000000000005</v>
      </c>
      <c r="V308" s="80">
        <f t="shared" si="53"/>
        <v>220.25791366906375</v>
      </c>
      <c r="W308" s="183">
        <f t="shared" si="53"/>
        <v>4373.6928571428552</v>
      </c>
      <c r="X308" s="172">
        <f>Funktional!S284</f>
        <v>0.63165492204049656</v>
      </c>
      <c r="Y308" s="42">
        <f>Funktional!X284</f>
        <v>3.4554823661898167E-2</v>
      </c>
      <c r="Z308" s="42">
        <f>'Kennzahlen Revision'!L284</f>
        <v>1.6331450565569658E-2</v>
      </c>
      <c r="AA308" s="42">
        <f>Funktional!AE284</f>
        <v>0.11380372700867095</v>
      </c>
      <c r="AB308" s="42">
        <f>Funktional!AJ284</f>
        <v>9.1596902232801092E-2</v>
      </c>
      <c r="AC308" s="42">
        <f>Funktional!AS284</f>
        <v>0.11141705470822599</v>
      </c>
      <c r="AD308" s="42">
        <f>Funktional!AO284</f>
        <v>1.957518071694136E-3</v>
      </c>
      <c r="AE308" s="202">
        <f>Funktional!AV284</f>
        <v>1.5015052276213109E-2</v>
      </c>
      <c r="AF308" s="176">
        <f>'Kennzahlen Revision'!C284</f>
        <v>0.2447</v>
      </c>
      <c r="AG308" s="177">
        <f>'Kennzahlen Revision'!D284</f>
        <v>0.12089999999999999</v>
      </c>
      <c r="AH308" s="177">
        <f>Artengliederung!AN284</f>
        <v>0.17211762342279202</v>
      </c>
      <c r="AI308" s="178" t="str">
        <f t="shared" si="54"/>
        <v>Eschenz</v>
      </c>
    </row>
    <row r="309" spans="1:35" x14ac:dyDescent="0.25">
      <c r="A309" s="41" t="str">
        <f>Funktional!A285</f>
        <v>Fischingen</v>
      </c>
      <c r="B309" s="41" t="str">
        <f>Funktional!B285</f>
        <v>OSG</v>
      </c>
      <c r="C309" s="352">
        <f>Funktional!D285</f>
        <v>138</v>
      </c>
      <c r="D309" s="348">
        <f>Funktional!G285</f>
        <v>17160.024637681159</v>
      </c>
      <c r="E309" s="186">
        <f>Funktional!F285</f>
        <v>296010.42499999999</v>
      </c>
      <c r="F309" s="48">
        <f>Funktional!U285</f>
        <v>12539.171376811595</v>
      </c>
      <c r="G309" s="48">
        <f>Funktional!T285</f>
        <v>216300.70625000002</v>
      </c>
      <c r="H309" s="48">
        <f>Artengliederung!R285</f>
        <v>418.68768115942032</v>
      </c>
      <c r="I309" s="186">
        <f>Artengliederung!Q285</f>
        <v>7222.3625000000002</v>
      </c>
      <c r="J309" s="48">
        <f>Funktional!Z285</f>
        <v>940.161231884058</v>
      </c>
      <c r="K309" s="48">
        <f>Funktional!Y285</f>
        <v>16217.78125</v>
      </c>
      <c r="L309" s="48">
        <f>'Kennzahlen Revision'!O285</f>
        <v>405.79710144927537</v>
      </c>
      <c r="M309" s="48">
        <f>'Kennzahlen Revision'!N285</f>
        <v>7000</v>
      </c>
      <c r="N309" s="80">
        <f>Funktional!AG285</f>
        <v>1151.9496376811594</v>
      </c>
      <c r="O309" s="43">
        <f>Funktional!AF285</f>
        <v>19871.131249999999</v>
      </c>
      <c r="P309" s="43">
        <f>Funktional!AL285</f>
        <v>1344.5202898550724</v>
      </c>
      <c r="Q309" s="43">
        <f>Funktional!AK285</f>
        <v>23192.974999999999</v>
      </c>
      <c r="R309" s="80">
        <f>Funktional!AU285</f>
        <v>706.1865942028985</v>
      </c>
      <c r="S309" s="43">
        <f>Funktional!AT285</f>
        <v>12181.71875</v>
      </c>
      <c r="T309" s="80">
        <f>Funktional!AQ285</f>
        <v>25.350362318840578</v>
      </c>
      <c r="U309" s="43">
        <f>Funktional!AP285</f>
        <v>437.29374999999999</v>
      </c>
      <c r="V309" s="80">
        <f t="shared" si="53"/>
        <v>452.68514492753525</v>
      </c>
      <c r="W309" s="183">
        <f t="shared" si="53"/>
        <v>7808.818749999974</v>
      </c>
      <c r="X309" s="172">
        <f>Funktional!S285</f>
        <v>0.73071989356455946</v>
      </c>
      <c r="Y309" s="42">
        <f>Funktional!X285</f>
        <v>5.4787871913632775E-2</v>
      </c>
      <c r="Z309" s="42">
        <f>'Kennzahlen Revision'!L285</f>
        <v>2.3647815782163753E-2</v>
      </c>
      <c r="AA309" s="42">
        <f>Funktional!AE285</f>
        <v>6.7129835883313907E-2</v>
      </c>
      <c r="AB309" s="42">
        <f>Funktional!AJ285</f>
        <v>7.8351885748618483E-2</v>
      </c>
      <c r="AC309" s="42">
        <f>Funktional!AS285</f>
        <v>4.11530058443043E-2</v>
      </c>
      <c r="AD309" s="42">
        <f>Funktional!AO285</f>
        <v>1.4772917203845102E-3</v>
      </c>
      <c r="AE309" s="202">
        <f>Funktional!AV285</f>
        <v>2.6380215325186571E-2</v>
      </c>
      <c r="AF309" s="176">
        <f>'Kennzahlen Revision'!C285</f>
        <v>9.9400000000000002E-2</v>
      </c>
      <c r="AG309" s="177">
        <f>'Kennzahlen Revision'!D285</f>
        <v>3.3099999999999997E-2</v>
      </c>
      <c r="AH309" s="177">
        <f>Artengliederung!AN285</f>
        <v>0.32713849942953871</v>
      </c>
      <c r="AI309" s="178" t="str">
        <f t="shared" si="54"/>
        <v>Fischingen</v>
      </c>
    </row>
    <row r="310" spans="1:35" x14ac:dyDescent="0.25">
      <c r="A310" s="41" t="str">
        <f>Funktional!A286</f>
        <v>Frauenfeld</v>
      </c>
      <c r="B310" s="41" t="str">
        <f>Funktional!B286</f>
        <v>OSG</v>
      </c>
      <c r="C310" s="352">
        <f>Funktional!D286</f>
        <v>1180</v>
      </c>
      <c r="D310" s="348">
        <f>Funktional!G286</f>
        <v>14436.175889830509</v>
      </c>
      <c r="E310" s="186">
        <f>Funktional!F286</f>
        <v>309721.59181818186</v>
      </c>
      <c r="F310" s="48">
        <f>Funktional!U286</f>
        <v>10201.707415254237</v>
      </c>
      <c r="G310" s="48">
        <f>Funktional!T286</f>
        <v>218872.99545454545</v>
      </c>
      <c r="H310" s="48">
        <f>Artengliederung!R286</f>
        <v>668.02525423728821</v>
      </c>
      <c r="I310" s="186">
        <f>Artengliederung!Q286</f>
        <v>14332.178181818183</v>
      </c>
      <c r="J310" s="48">
        <f>Funktional!Z286</f>
        <v>629.99279661016953</v>
      </c>
      <c r="K310" s="48">
        <f>Funktional!Y286</f>
        <v>13516.209090909091</v>
      </c>
      <c r="L310" s="48">
        <f>'Kennzahlen Revision'!O286</f>
        <v>208.98305084745763</v>
      </c>
      <c r="M310" s="48">
        <f>'Kennzahlen Revision'!N286</f>
        <v>4483.636363636364</v>
      </c>
      <c r="N310" s="80">
        <f>Funktional!AG286</f>
        <v>1530.1279661016949</v>
      </c>
      <c r="O310" s="43">
        <f>Funktional!AF286</f>
        <v>32828.199999999997</v>
      </c>
      <c r="P310" s="43">
        <f>Funktional!AL286</f>
        <v>783.97275423728809</v>
      </c>
      <c r="Q310" s="43">
        <f>Funktional!AK286</f>
        <v>16819.779090909091</v>
      </c>
      <c r="R310" s="80">
        <f>Funktional!AU286</f>
        <v>968.0837711864408</v>
      </c>
      <c r="S310" s="43">
        <f>Funktional!AT286</f>
        <v>20769.797272727275</v>
      </c>
      <c r="T310" s="80">
        <f>Funktional!AQ286</f>
        <v>47.674491525423733</v>
      </c>
      <c r="U310" s="43">
        <f>Funktional!AP286</f>
        <v>1022.8345454545455</v>
      </c>
      <c r="V310" s="80">
        <f t="shared" si="53"/>
        <v>274.61669491525436</v>
      </c>
      <c r="W310" s="183">
        <f t="shared" si="53"/>
        <v>5891.7763636364034</v>
      </c>
      <c r="X310" s="172">
        <f>Funktional!S286</f>
        <v>0.70667658063384908</v>
      </c>
      <c r="Y310" s="42">
        <f>Funktional!X286</f>
        <v>4.363986705467926E-2</v>
      </c>
      <c r="Z310" s="42">
        <f>'Kennzahlen Revision'!L286</f>
        <v>1.4476344181610774E-2</v>
      </c>
      <c r="AA310" s="42">
        <f>Funktional!AE286</f>
        <v>0.10599261035462901</v>
      </c>
      <c r="AB310" s="42">
        <f>Funktional!AJ286</f>
        <v>5.4306123742199189E-2</v>
      </c>
      <c r="AC310" s="42">
        <f>Funktional!AS286</f>
        <v>6.705957163270658E-2</v>
      </c>
      <c r="AD310" s="42">
        <f>Funktional!AO286</f>
        <v>3.302432159960574E-3</v>
      </c>
      <c r="AE310" s="202">
        <f>Funktional!AV286</f>
        <v>1.9022814421976314E-2</v>
      </c>
      <c r="AF310" s="176">
        <f>'Kennzahlen Revision'!C286</f>
        <v>0.16220000000000001</v>
      </c>
      <c r="AG310" s="177">
        <f>'Kennzahlen Revision'!D286</f>
        <v>6.1800000000000001E-2</v>
      </c>
      <c r="AH310" s="177">
        <f>Artengliederung!AN286</f>
        <v>4.7746769502678671E-2</v>
      </c>
      <c r="AI310" s="178" t="str">
        <f t="shared" si="54"/>
        <v>Frauenfeld</v>
      </c>
    </row>
    <row r="311" spans="1:35" s="9" customFormat="1" ht="24.6" customHeight="1" x14ac:dyDescent="0.2">
      <c r="A311" s="312" t="s">
        <v>45</v>
      </c>
      <c r="B311" s="312"/>
      <c r="C311" s="353">
        <f t="shared" ref="C311:AE311" si="55">C8</f>
        <v>9414</v>
      </c>
      <c r="D311" s="353">
        <f t="shared" si="55"/>
        <v>16206.279648750087</v>
      </c>
      <c r="E311" s="353">
        <f t="shared" si="55"/>
        <v>298660.84818270797</v>
      </c>
      <c r="F311" s="353">
        <f t="shared" si="55"/>
        <v>10609.321286027904</v>
      </c>
      <c r="G311" s="353">
        <f t="shared" si="55"/>
        <v>195516.11860358896</v>
      </c>
      <c r="H311" s="353">
        <f t="shared" si="55"/>
        <v>630.97665887685014</v>
      </c>
      <c r="I311" s="353">
        <f t="shared" si="55"/>
        <v>11628.086655791192</v>
      </c>
      <c r="J311" s="353">
        <f t="shared" si="55"/>
        <v>700.40618936335932</v>
      </c>
      <c r="K311" s="353">
        <f t="shared" si="55"/>
        <v>12907.583425774874</v>
      </c>
      <c r="L311" s="353">
        <f t="shared" si="55"/>
        <v>246.11851143686707</v>
      </c>
      <c r="M311" s="353">
        <f t="shared" si="55"/>
        <v>4535.6469820554648</v>
      </c>
      <c r="N311" s="353">
        <f t="shared" si="55"/>
        <v>1724.8617573118051</v>
      </c>
      <c r="O311" s="353">
        <f t="shared" si="55"/>
        <v>31786.979282218599</v>
      </c>
      <c r="P311" s="353">
        <f t="shared" si="55"/>
        <v>1386.2360990723041</v>
      </c>
      <c r="Q311" s="353">
        <f t="shared" si="55"/>
        <v>25546.544802610122</v>
      </c>
      <c r="R311" s="353">
        <f t="shared" si="55"/>
        <v>767.66262481410672</v>
      </c>
      <c r="S311" s="353">
        <f t="shared" si="55"/>
        <v>14147.0328548124</v>
      </c>
      <c r="T311" s="353">
        <f t="shared" si="55"/>
        <v>45.955819701154304</v>
      </c>
      <c r="U311" s="353">
        <f t="shared" si="55"/>
        <v>846.90653181076664</v>
      </c>
      <c r="V311" s="353">
        <f t="shared" si="55"/>
        <v>971.83587245945432</v>
      </c>
      <c r="W311" s="353">
        <f t="shared" si="55"/>
        <v>17909.682681892242</v>
      </c>
      <c r="X311" s="317">
        <f t="shared" si="55"/>
        <v>0.65464261483641317</v>
      </c>
      <c r="Y311" s="317">
        <f t="shared" si="55"/>
        <v>4.3218197176881266E-2</v>
      </c>
      <c r="Z311" s="317">
        <f t="shared" si="55"/>
        <v>1.5186613878765754E-2</v>
      </c>
      <c r="AA311" s="317">
        <f t="shared" si="55"/>
        <v>0.10643169158473922</v>
      </c>
      <c r="AB311" s="317">
        <f t="shared" si="55"/>
        <v>8.5536972649933138E-2</v>
      </c>
      <c r="AC311" s="317">
        <f t="shared" si="55"/>
        <v>4.7368220310409916E-2</v>
      </c>
      <c r="AD311" s="317">
        <f t="shared" si="55"/>
        <v>2.835679791857637E-3</v>
      </c>
      <c r="AE311" s="317">
        <f t="shared" si="55"/>
        <v>5.9966623649765662E-2</v>
      </c>
      <c r="AF311" s="317"/>
      <c r="AG311" s="317"/>
      <c r="AH311" s="317">
        <f>AH8</f>
        <v>0.10077726516270698</v>
      </c>
      <c r="AI311" s="319" t="s">
        <v>45</v>
      </c>
    </row>
    <row r="312" spans="1:35" x14ac:dyDescent="0.25">
      <c r="A312" s="41" t="str">
        <f>Funktional!A287</f>
        <v>Halingen</v>
      </c>
      <c r="B312" s="41" t="str">
        <f>Funktional!B287</f>
        <v>OSG</v>
      </c>
      <c r="C312" s="352">
        <f>Funktional!D287</f>
        <v>188</v>
      </c>
      <c r="D312" s="348">
        <f>Funktional!G287</f>
        <v>16070.83404255319</v>
      </c>
      <c r="E312" s="186">
        <f>Funktional!F287</f>
        <v>335701.86666666664</v>
      </c>
      <c r="F312" s="48">
        <f>Funktional!U287</f>
        <v>10661.470478723406</v>
      </c>
      <c r="G312" s="48">
        <f>Funktional!T287</f>
        <v>222706.27222222224</v>
      </c>
      <c r="H312" s="48">
        <f>Artengliederung!R287</f>
        <v>537.36968085106378</v>
      </c>
      <c r="I312" s="186">
        <f>Artengliederung!Q287</f>
        <v>11225.055555555555</v>
      </c>
      <c r="J312" s="48">
        <f>Funktional!Z287</f>
        <v>586.85797872340424</v>
      </c>
      <c r="K312" s="48">
        <f>Funktional!Y287</f>
        <v>12258.811111111112</v>
      </c>
      <c r="L312" s="48">
        <f>'Kennzahlen Revision'!O287</f>
        <v>234.04255319148936</v>
      </c>
      <c r="M312" s="48">
        <f>'Kennzahlen Revision'!N287</f>
        <v>4888.8888888888887</v>
      </c>
      <c r="N312" s="80">
        <f>Funktional!AG287</f>
        <v>2127.6595744680849</v>
      </c>
      <c r="O312" s="43">
        <f>Funktional!AF287</f>
        <v>44444.444444444445</v>
      </c>
      <c r="P312" s="43">
        <f>Funktional!AL287</f>
        <v>1155.9545212765959</v>
      </c>
      <c r="Q312" s="43">
        <f>Funktional!AK287</f>
        <v>24146.605555555558</v>
      </c>
      <c r="R312" s="80">
        <f>Funktional!AU287</f>
        <v>1103.8239361702128</v>
      </c>
      <c r="S312" s="43">
        <f>Funktional!AT287</f>
        <v>23057.655555555553</v>
      </c>
      <c r="T312" s="80">
        <f>Funktional!AQ287</f>
        <v>14.936170212765957</v>
      </c>
      <c r="U312" s="43">
        <f>Funktional!AP287</f>
        <v>312</v>
      </c>
      <c r="V312" s="80">
        <f t="shared" si="53"/>
        <v>420.1313829787203</v>
      </c>
      <c r="W312" s="183">
        <f t="shared" si="53"/>
        <v>8776.0777777777403</v>
      </c>
      <c r="X312" s="172">
        <f>Funktional!S287</f>
        <v>0.66340492662007522</v>
      </c>
      <c r="Y312" s="42">
        <f>Funktional!X287</f>
        <v>3.6516958433488345E-2</v>
      </c>
      <c r="Z312" s="42">
        <f>'Kennzahlen Revision'!L287</f>
        <v>1.456318648875219E-2</v>
      </c>
      <c r="AA312" s="42">
        <f>Funktional!AE287</f>
        <v>0.13239260444320172</v>
      </c>
      <c r="AB312" s="42">
        <f>Funktional!AJ287</f>
        <v>7.1928719954160392E-2</v>
      </c>
      <c r="AC312" s="42">
        <f>Funktional!AS287</f>
        <v>6.8684919105470837E-2</v>
      </c>
      <c r="AD312" s="42">
        <f>Funktional!AO287</f>
        <v>9.2939608319127611E-4</v>
      </c>
      <c r="AE312" s="202">
        <f>Funktional!AV287</f>
        <v>2.6142475360412212E-2</v>
      </c>
      <c r="AF312" s="176">
        <f>'Kennzahlen Revision'!C287</f>
        <v>0.18679999999999999</v>
      </c>
      <c r="AG312" s="177">
        <f>'Kennzahlen Revision'!D287</f>
        <v>6.0999999999999999E-2</v>
      </c>
      <c r="AH312" s="177">
        <f>Artengliederung!AN287</f>
        <v>0.11327742923218115</v>
      </c>
      <c r="AI312" s="178" t="str">
        <f t="shared" si="54"/>
        <v>Halingen</v>
      </c>
    </row>
    <row r="313" spans="1:35" x14ac:dyDescent="0.25">
      <c r="A313" s="41" t="str">
        <f>Funktional!A288</f>
        <v>Hüttwilen</v>
      </c>
      <c r="B313" s="41" t="str">
        <f>Funktional!B288</f>
        <v>OSG</v>
      </c>
      <c r="C313" s="352">
        <f>Funktional!D288</f>
        <v>183</v>
      </c>
      <c r="D313" s="348">
        <f>Funktional!G288</f>
        <v>12672.257103825135</v>
      </c>
      <c r="E313" s="186">
        <f>Funktional!F288</f>
        <v>257669.22777777776</v>
      </c>
      <c r="F313" s="48">
        <f>Funktional!U288</f>
        <v>9083.9609289617492</v>
      </c>
      <c r="G313" s="48">
        <f>Funktional!T288</f>
        <v>184707.20555555556</v>
      </c>
      <c r="H313" s="48">
        <f>Artengliederung!R288</f>
        <v>675.32978142076502</v>
      </c>
      <c r="I313" s="186">
        <f>Artengliederung!Q288</f>
        <v>13731.705555555556</v>
      </c>
      <c r="J313" s="48">
        <f>Funktional!Z288</f>
        <v>544.86174863387976</v>
      </c>
      <c r="K313" s="48">
        <f>Funktional!Y288</f>
        <v>11078.855555555556</v>
      </c>
      <c r="L313" s="48">
        <f>'Kennzahlen Revision'!O288</f>
        <v>196.72131147540983</v>
      </c>
      <c r="M313" s="48">
        <f>'Kennzahlen Revision'!N288</f>
        <v>4000</v>
      </c>
      <c r="N313" s="80">
        <f>Funktional!AG288</f>
        <v>1365.5297814207652</v>
      </c>
      <c r="O313" s="43">
        <f>Funktional!AF288</f>
        <v>27765.772222222222</v>
      </c>
      <c r="P313" s="43">
        <f>Funktional!AL288</f>
        <v>972.7915300546448</v>
      </c>
      <c r="Q313" s="43">
        <f>Funktional!AK288</f>
        <v>19780.094444444447</v>
      </c>
      <c r="R313" s="80">
        <f>Funktional!AU288</f>
        <v>650.58060109289613</v>
      </c>
      <c r="S313" s="43">
        <f>Funktional!AT288</f>
        <v>13228.472222222223</v>
      </c>
      <c r="T313" s="80">
        <f>Funktional!AQ288</f>
        <v>12.235245901639345</v>
      </c>
      <c r="U313" s="43">
        <f>Funktional!AP288</f>
        <v>248.78333333333336</v>
      </c>
      <c r="V313" s="80">
        <f t="shared" si="53"/>
        <v>42.297267759560796</v>
      </c>
      <c r="W313" s="183">
        <f t="shared" si="53"/>
        <v>860.04444444442515</v>
      </c>
      <c r="X313" s="172">
        <f>Funktional!S288</f>
        <v>0.71683843332217001</v>
      </c>
      <c r="Y313" s="42">
        <f>Funktional!X288</f>
        <v>4.2996424722902174E-2</v>
      </c>
      <c r="Z313" s="42">
        <f>'Kennzahlen Revision'!L288</f>
        <v>1.552377842902424E-2</v>
      </c>
      <c r="AA313" s="42">
        <f>Funktional!AE288</f>
        <v>0.10775742397213345</v>
      </c>
      <c r="AB313" s="42">
        <f>Funktional!AJ288</f>
        <v>7.676545086518223E-2</v>
      </c>
      <c r="AC313" s="42">
        <f>Funktional!AS288</f>
        <v>5.1338967933069926E-2</v>
      </c>
      <c r="AD313" s="42">
        <f>Funktional!AO288</f>
        <v>9.6551433587518693E-4</v>
      </c>
      <c r="AE313" s="202">
        <f>Funktional!AV288</f>
        <v>3.3377848486670497E-3</v>
      </c>
      <c r="AF313" s="176">
        <f>'Kennzahlen Revision'!C288</f>
        <v>0.1807</v>
      </c>
      <c r="AG313" s="177">
        <f>'Kennzahlen Revision'!D288</f>
        <v>5.8599999999999999E-2</v>
      </c>
      <c r="AH313" s="177">
        <f>Artengliederung!AN288</f>
        <v>0.11481755215844017</v>
      </c>
      <c r="AI313" s="178" t="str">
        <f t="shared" si="54"/>
        <v>Hüttwilen</v>
      </c>
    </row>
    <row r="314" spans="1:35" x14ac:dyDescent="0.25">
      <c r="A314" s="41" t="str">
        <f>Funktional!A289</f>
        <v>Kreuzlingen</v>
      </c>
      <c r="B314" s="41" t="str">
        <f>Funktional!B289</f>
        <v>OSG</v>
      </c>
      <c r="C314" s="352">
        <f>Funktional!D289</f>
        <v>697</v>
      </c>
      <c r="D314" s="348">
        <f>Funktional!G289</f>
        <v>27614.636427546629</v>
      </c>
      <c r="E314" s="186">
        <f>Funktional!F289</f>
        <v>437440.94522727275</v>
      </c>
      <c r="F314" s="48">
        <f>Funktional!U289</f>
        <v>11847.163185078909</v>
      </c>
      <c r="G314" s="48">
        <f>Funktional!T289</f>
        <v>187669.83499999999</v>
      </c>
      <c r="H314" s="48">
        <f>Artengliederung!R289</f>
        <v>784.40173601147774</v>
      </c>
      <c r="I314" s="186">
        <f>Artengliederung!Q289</f>
        <v>12425.636590909091</v>
      </c>
      <c r="J314" s="48">
        <f>Funktional!Z289</f>
        <v>891.90279770444761</v>
      </c>
      <c r="K314" s="48">
        <f>Funktional!Y289</f>
        <v>14128.551136363636</v>
      </c>
      <c r="L314" s="48">
        <f>'Kennzahlen Revision'!O289</f>
        <v>311.32711621233858</v>
      </c>
      <c r="M314" s="48">
        <f>'Kennzahlen Revision'!N289</f>
        <v>4931.704545454545</v>
      </c>
      <c r="N314" s="80">
        <f>Funktional!AG289</f>
        <v>8662.9363701578204</v>
      </c>
      <c r="O314" s="43">
        <f>Funktional!AF289</f>
        <v>137228.78750000001</v>
      </c>
      <c r="P314" s="43">
        <f>Funktional!AL289</f>
        <v>1709.5500717360114</v>
      </c>
      <c r="Q314" s="43">
        <f>Funktional!AK289</f>
        <v>27080.827272727271</v>
      </c>
      <c r="R314" s="80">
        <f>Funktional!AU289</f>
        <v>710.89490674318506</v>
      </c>
      <c r="S314" s="43">
        <f>Funktional!AT289</f>
        <v>11261.22159090909</v>
      </c>
      <c r="T314" s="80">
        <f>Funktional!AQ289</f>
        <v>81.197632711621239</v>
      </c>
      <c r="U314" s="43">
        <f>Funktional!AP289</f>
        <v>1286.2443181818182</v>
      </c>
      <c r="V314" s="80">
        <f t="shared" si="53"/>
        <v>3710.9914634146339</v>
      </c>
      <c r="W314" s="183">
        <f t="shared" si="53"/>
        <v>58785.478409090931</v>
      </c>
      <c r="X314" s="172">
        <f>Funktional!S289</f>
        <v>0.42901753264659759</v>
      </c>
      <c r="Y314" s="42">
        <f>Funktional!X289</f>
        <v>3.2298190854134927E-2</v>
      </c>
      <c r="Z314" s="42">
        <f>'Kennzahlen Revision'!L289</f>
        <v>1.1273989321900983E-2</v>
      </c>
      <c r="AA314" s="42">
        <f>Funktional!AE289</f>
        <v>0.31370814505876377</v>
      </c>
      <c r="AB314" s="42">
        <f>Funktional!AJ289</f>
        <v>6.1907390170477548E-2</v>
      </c>
      <c r="AC314" s="42">
        <f>Funktional!AS289</f>
        <v>2.5743409970592296E-2</v>
      </c>
      <c r="AD314" s="42">
        <f>Funktional!AO289</f>
        <v>2.9403839128811986E-3</v>
      </c>
      <c r="AE314" s="202">
        <f>Funktional!AV289</f>
        <v>0.13438494738655274</v>
      </c>
      <c r="AF314" s="176">
        <f>'Kennzahlen Revision'!C289</f>
        <v>4.24E-2</v>
      </c>
      <c r="AG314" s="177">
        <f>'Kennzahlen Revision'!D289</f>
        <v>1.6299999999999999E-2</v>
      </c>
      <c r="AH314" s="177">
        <f>Artengliederung!AN289</f>
        <v>2.8985580073824395E-2</v>
      </c>
      <c r="AI314" s="178" t="str">
        <f t="shared" si="54"/>
        <v>Kreuzlingen</v>
      </c>
    </row>
    <row r="315" spans="1:35" x14ac:dyDescent="0.25">
      <c r="A315" s="41" t="str">
        <f>Funktional!A290</f>
        <v>Müllheim</v>
      </c>
      <c r="B315" s="41" t="str">
        <f>Funktional!B290</f>
        <v>OSG</v>
      </c>
      <c r="C315" s="352">
        <f>Funktional!D290</f>
        <v>243</v>
      </c>
      <c r="D315" s="348">
        <f>Funktional!G290</f>
        <v>15378.647119341564</v>
      </c>
      <c r="E315" s="186">
        <f>Funktional!F290</f>
        <v>311417.60416666669</v>
      </c>
      <c r="F315" s="48">
        <f>Funktional!U290</f>
        <v>8933.5084362139914</v>
      </c>
      <c r="G315" s="48">
        <f>Funktional!T290</f>
        <v>180903.54583333331</v>
      </c>
      <c r="H315" s="48">
        <f>Artengliederung!R290</f>
        <v>567.05432098765436</v>
      </c>
      <c r="I315" s="186">
        <f>Artengliederung!Q290</f>
        <v>11482.85</v>
      </c>
      <c r="J315" s="48">
        <f>Funktional!Z290</f>
        <v>596.07839506172832</v>
      </c>
      <c r="K315" s="48">
        <f>Funktional!Y290</f>
        <v>12070.5875</v>
      </c>
      <c r="L315" s="48">
        <f>'Kennzahlen Revision'!O290</f>
        <v>275.22633744855966</v>
      </c>
      <c r="M315" s="48">
        <f>'Kennzahlen Revision'!N290</f>
        <v>5573.333333333333</v>
      </c>
      <c r="N315" s="80">
        <f>Funktional!AG290</f>
        <v>2377.5753086419754</v>
      </c>
      <c r="O315" s="43">
        <f>Funktional!AF290</f>
        <v>48145.9</v>
      </c>
      <c r="P315" s="43">
        <f>Funktional!AL290</f>
        <v>1457.9006172839509</v>
      </c>
      <c r="Q315" s="43">
        <f>Funktional!AK290</f>
        <v>29522.487500000003</v>
      </c>
      <c r="R315" s="80">
        <f>Funktional!AU290</f>
        <v>1728.5837448559669</v>
      </c>
      <c r="S315" s="43">
        <f>Funktional!AT290</f>
        <v>35003.820833333331</v>
      </c>
      <c r="T315" s="80">
        <f>Funktional!AQ290</f>
        <v>10.48559670781893</v>
      </c>
      <c r="U315" s="43">
        <f>Funktional!AP290</f>
        <v>212.33333333333334</v>
      </c>
      <c r="V315" s="80">
        <f t="shared" si="53"/>
        <v>274.51502057613226</v>
      </c>
      <c r="W315" s="183">
        <f t="shared" si="53"/>
        <v>5558.9291666667223</v>
      </c>
      <c r="X315" s="172">
        <f>Funktional!S290</f>
        <v>0.58090340241817573</v>
      </c>
      <c r="Y315" s="42">
        <f>Funktional!X290</f>
        <v>3.8760132177819907E-2</v>
      </c>
      <c r="Z315" s="42">
        <f>'Kennzahlen Revision'!L290</f>
        <v>1.7896654713041069E-2</v>
      </c>
      <c r="AA315" s="42">
        <f>Funktional!AE290</f>
        <v>0.154602371079295</v>
      </c>
      <c r="AB315" s="42">
        <f>Funktional!AJ290</f>
        <v>9.4800316696932618E-2</v>
      </c>
      <c r="AC315" s="42">
        <f>Funktional!AS290</f>
        <v>0.1124015481623182</v>
      </c>
      <c r="AD315" s="42">
        <f>Funktional!AO290</f>
        <v>6.8182829259612213E-4</v>
      </c>
      <c r="AE315" s="202">
        <f>Funktional!AV290</f>
        <v>1.7850401172862407E-2</v>
      </c>
      <c r="AF315" s="176">
        <f>'Kennzahlen Revision'!C290</f>
        <v>0.2707</v>
      </c>
      <c r="AG315" s="177">
        <f>'Kennzahlen Revision'!D290</f>
        <v>0.11310000000000001</v>
      </c>
      <c r="AH315" s="177">
        <f>Artengliederung!AN290</f>
        <v>0.21056150152076741</v>
      </c>
      <c r="AI315" s="178" t="str">
        <f t="shared" si="54"/>
        <v>Müllheim</v>
      </c>
    </row>
    <row r="316" spans="1:35" x14ac:dyDescent="0.25">
      <c r="A316" s="41" t="str">
        <f>Funktional!A291</f>
        <v>Neukirch-Egnach</v>
      </c>
      <c r="B316" s="41" t="str">
        <f>Funktional!B291</f>
        <v>OSG</v>
      </c>
      <c r="C316" s="352">
        <f>Funktional!D291</f>
        <v>198</v>
      </c>
      <c r="D316" s="348">
        <f>Funktional!G291</f>
        <v>20465.722474747472</v>
      </c>
      <c r="E316" s="186">
        <f>Funktional!F291</f>
        <v>405221.30499999999</v>
      </c>
      <c r="F316" s="48">
        <f>Funktional!U291</f>
        <v>11934.407070707071</v>
      </c>
      <c r="G316" s="48">
        <f>Funktional!T291</f>
        <v>236301.26</v>
      </c>
      <c r="H316" s="48">
        <f>Artengliederung!R291</f>
        <v>625.48282828282834</v>
      </c>
      <c r="I316" s="186">
        <f>Artengliederung!Q291</f>
        <v>12384.560000000001</v>
      </c>
      <c r="J316" s="48">
        <f>Funktional!Z291</f>
        <v>799.39292929292924</v>
      </c>
      <c r="K316" s="48">
        <f>Funktional!Y291</f>
        <v>15827.98</v>
      </c>
      <c r="L316" s="48">
        <f>'Kennzahlen Revision'!O291</f>
        <v>340.12626262626264</v>
      </c>
      <c r="M316" s="48">
        <f>'Kennzahlen Revision'!N291</f>
        <v>6734.5</v>
      </c>
      <c r="N316" s="80">
        <f>Funktional!AG291</f>
        <v>1329</v>
      </c>
      <c r="O316" s="43">
        <f>Funktional!AF291</f>
        <v>26314.2</v>
      </c>
      <c r="P316" s="43">
        <f>Funktional!AL291</f>
        <v>2067.7482323232325</v>
      </c>
      <c r="Q316" s="43">
        <f>Funktional!AK291</f>
        <v>40941.415000000001</v>
      </c>
      <c r="R316" s="80">
        <f>Funktional!AU291</f>
        <v>786.65252525252527</v>
      </c>
      <c r="S316" s="43">
        <f>Funktional!AT291</f>
        <v>15575.720000000001</v>
      </c>
      <c r="T316" s="80">
        <f>Funktional!AQ291</f>
        <v>76.173484848484847</v>
      </c>
      <c r="U316" s="43">
        <f>Funktional!AP291</f>
        <v>1508.2350000000001</v>
      </c>
      <c r="V316" s="80">
        <f t="shared" si="53"/>
        <v>3472.3482323232283</v>
      </c>
      <c r="W316" s="183">
        <f t="shared" si="53"/>
        <v>68752.494999999981</v>
      </c>
      <c r="X316" s="172">
        <f>Funktional!S291</f>
        <v>0.58314125413519413</v>
      </c>
      <c r="Y316" s="42">
        <f>Funktional!X291</f>
        <v>3.9060088412676129E-2</v>
      </c>
      <c r="Z316" s="42">
        <f>'Kennzahlen Revision'!L291</f>
        <v>1.6619313735244005E-2</v>
      </c>
      <c r="AA316" s="42">
        <f>Funktional!AE291</f>
        <v>6.4937849208101237E-2</v>
      </c>
      <c r="AB316" s="42">
        <f>Funktional!AJ291</f>
        <v>0.10103470497435964</v>
      </c>
      <c r="AC316" s="42">
        <f>Funktional!AS291</f>
        <v>3.8437564382257747E-2</v>
      </c>
      <c r="AD316" s="42">
        <f>Funktional!AO291</f>
        <v>3.7220032150086482E-3</v>
      </c>
      <c r="AE316" s="202">
        <f>Funktional!AV291</f>
        <v>0.16966653567240247</v>
      </c>
      <c r="AF316" s="176">
        <f>'Kennzahlen Revision'!C291</f>
        <v>9.1899999999999996E-2</v>
      </c>
      <c r="AG316" s="177">
        <f>'Kennzahlen Revision'!D291</f>
        <v>3.1399999999999997E-2</v>
      </c>
      <c r="AH316" s="177">
        <f>Artengliederung!AN291</f>
        <v>0.11379766915266216</v>
      </c>
      <c r="AI316" s="178" t="str">
        <f t="shared" si="54"/>
        <v>Neukirch-Egnach</v>
      </c>
    </row>
    <row r="317" spans="1:35" x14ac:dyDescent="0.25">
      <c r="A317" s="41" t="str">
        <f>Funktional!A292</f>
        <v>Rickenbach</v>
      </c>
      <c r="B317" s="41" t="str">
        <f>Funktional!B292</f>
        <v>OSG</v>
      </c>
      <c r="C317" s="352">
        <f>Funktional!D292</f>
        <v>183</v>
      </c>
      <c r="D317" s="348">
        <f>Funktional!G292</f>
        <v>16595.827868852459</v>
      </c>
      <c r="E317" s="186">
        <f>Funktional!F292</f>
        <v>253086.375</v>
      </c>
      <c r="F317" s="48">
        <f>Funktional!U292</f>
        <v>10833.03606557377</v>
      </c>
      <c r="G317" s="48">
        <f>Funktional!T292</f>
        <v>165203.79999999999</v>
      </c>
      <c r="H317" s="48">
        <f>Artengliederung!R292</f>
        <v>608.26092896174862</v>
      </c>
      <c r="I317" s="186">
        <f>Artengliederung!Q292</f>
        <v>9275.9791666666661</v>
      </c>
      <c r="J317" s="48">
        <f>Funktional!Z292</f>
        <v>685.83524590163938</v>
      </c>
      <c r="K317" s="48">
        <f>Funktional!Y292</f>
        <v>10458.987500000001</v>
      </c>
      <c r="L317" s="48">
        <f>'Kennzahlen Revision'!O292</f>
        <v>182.73224043715848</v>
      </c>
      <c r="M317" s="48">
        <f>'Kennzahlen Revision'!N292</f>
        <v>2786.6666666666665</v>
      </c>
      <c r="N317" s="80">
        <f>Funktional!AG292</f>
        <v>1874.8122950819672</v>
      </c>
      <c r="O317" s="43">
        <f>Funktional!AF292</f>
        <v>28590.887500000001</v>
      </c>
      <c r="P317" s="43">
        <f>Funktional!AL292</f>
        <v>1734.6584699453551</v>
      </c>
      <c r="Q317" s="43">
        <f>Funktional!AK292</f>
        <v>26453.541666666668</v>
      </c>
      <c r="R317" s="80">
        <f>Funktional!AU292</f>
        <v>1086.0535519125683</v>
      </c>
      <c r="S317" s="43">
        <f>Funktional!AT292</f>
        <v>16562.316666666666</v>
      </c>
      <c r="T317" s="80">
        <f>Funktional!AQ292</f>
        <v>36.81775956284153</v>
      </c>
      <c r="U317" s="43">
        <f>Funktional!AP292</f>
        <v>561.4708333333333</v>
      </c>
      <c r="V317" s="80">
        <f t="shared" si="53"/>
        <v>344.61448087431768</v>
      </c>
      <c r="W317" s="183">
        <f t="shared" si="53"/>
        <v>5255.3708333333452</v>
      </c>
      <c r="X317" s="172">
        <f>Funktional!S292</f>
        <v>0.65275659347525128</v>
      </c>
      <c r="Y317" s="42">
        <f>Funktional!X292</f>
        <v>4.1325762795409275E-2</v>
      </c>
      <c r="Z317" s="42">
        <f>'Kennzahlen Revision'!L292</f>
        <v>1.1010733654337048E-2</v>
      </c>
      <c r="AA317" s="42">
        <f>Funktional!AE292</f>
        <v>0.11296889253718223</v>
      </c>
      <c r="AB317" s="42">
        <f>Funktional!AJ292</f>
        <v>0.1045237684828615</v>
      </c>
      <c r="AC317" s="42">
        <f>Funktional!AS292</f>
        <v>6.5441360352435668E-2</v>
      </c>
      <c r="AD317" s="42">
        <f>Funktional!AO292</f>
        <v>2.2184949044899527E-3</v>
      </c>
      <c r="AE317" s="202">
        <f>Funktional!AV292</f>
        <v>2.0765127452370094E-2</v>
      </c>
      <c r="AF317" s="176">
        <f>'Kennzahlen Revision'!C292</f>
        <v>0.15479999999999999</v>
      </c>
      <c r="AG317" s="177">
        <f>'Kennzahlen Revision'!D292</f>
        <v>5.2200000000000003E-2</v>
      </c>
      <c r="AH317" s="177">
        <f>Artengliederung!AN292</f>
        <v>8.4620369231650658E-2</v>
      </c>
      <c r="AI317" s="178" t="str">
        <f t="shared" si="54"/>
        <v>Rickenbach</v>
      </c>
    </row>
    <row r="318" spans="1:35" x14ac:dyDescent="0.25">
      <c r="A318" s="41" t="str">
        <f>Funktional!A293</f>
        <v>Romanshorn-Salmsach</v>
      </c>
      <c r="B318" s="41" t="str">
        <f>Funktional!B293</f>
        <v>OSG</v>
      </c>
      <c r="C318" s="352">
        <f>Funktional!D293</f>
        <v>366</v>
      </c>
      <c r="D318" s="348">
        <f>Funktional!G293</f>
        <v>15559.136584699454</v>
      </c>
      <c r="E318" s="186">
        <f>Funktional!F293</f>
        <v>258847.4540909091</v>
      </c>
      <c r="F318" s="48">
        <f>Funktional!U293</f>
        <v>10930.449289617487</v>
      </c>
      <c r="G318" s="48">
        <f>Funktional!T293</f>
        <v>181842.92909090908</v>
      </c>
      <c r="H318" s="48">
        <f>Artengliederung!R293</f>
        <v>674.01062841530063</v>
      </c>
      <c r="I318" s="186">
        <f>Artengliederung!Q293</f>
        <v>11213.085909090909</v>
      </c>
      <c r="J318" s="48">
        <f>Funktional!Z293</f>
        <v>924.17404371584701</v>
      </c>
      <c r="K318" s="48">
        <f>Funktional!Y293</f>
        <v>15374.895454545454</v>
      </c>
      <c r="L318" s="48">
        <f>'Kennzahlen Revision'!O293</f>
        <v>264.9863387978142</v>
      </c>
      <c r="M318" s="48">
        <f>'Kennzahlen Revision'!N293</f>
        <v>4408.409090909091</v>
      </c>
      <c r="N318" s="80">
        <f>Funktional!AG293</f>
        <v>735.08989071038263</v>
      </c>
      <c r="O318" s="43">
        <f>Funktional!AF293</f>
        <v>12229.222727272729</v>
      </c>
      <c r="P318" s="43">
        <f>Funktional!AL293</f>
        <v>1942.0331967213115</v>
      </c>
      <c r="Q318" s="43">
        <f>Funktional!AK293</f>
        <v>32308.370454545457</v>
      </c>
      <c r="R318" s="80">
        <f>Funktional!AU293</f>
        <v>345.71379781420762</v>
      </c>
      <c r="S318" s="43">
        <f>Funktional!AT293</f>
        <v>5751.420454545455</v>
      </c>
      <c r="T318" s="80">
        <f>Funktional!AQ293</f>
        <v>35.450273224043713</v>
      </c>
      <c r="U318" s="43">
        <f>Funktional!AP293</f>
        <v>589.76363636363635</v>
      </c>
      <c r="V318" s="80">
        <f t="shared" si="53"/>
        <v>646.22609289617446</v>
      </c>
      <c r="W318" s="183">
        <f t="shared" si="53"/>
        <v>10750.852272727296</v>
      </c>
      <c r="X318" s="172">
        <f>Funktional!S293</f>
        <v>0.70251001590706985</v>
      </c>
      <c r="Y318" s="42">
        <f>Funktional!X293</f>
        <v>5.9397514681159197E-2</v>
      </c>
      <c r="Z318" s="42">
        <f>'Kennzahlen Revision'!L293</f>
        <v>1.7030915395292341E-2</v>
      </c>
      <c r="AA318" s="42">
        <f>Funktional!AE293</f>
        <v>4.7244902485993688E-2</v>
      </c>
      <c r="AB318" s="42">
        <f>Funktional!AJ293</f>
        <v>0.12481625738995494</v>
      </c>
      <c r="AC318" s="42">
        <f>Funktional!AS293</f>
        <v>2.2219343337738659E-2</v>
      </c>
      <c r="AD318" s="42">
        <f>Funktional!AO293</f>
        <v>2.2784216226307062E-3</v>
      </c>
      <c r="AE318" s="202">
        <f>Funktional!AV293</f>
        <v>4.1533544575452955E-2</v>
      </c>
      <c r="AF318" s="176">
        <f>'Kennzahlen Revision'!C293</f>
        <v>4.48E-2</v>
      </c>
      <c r="AG318" s="177">
        <f>'Kennzahlen Revision'!D293</f>
        <v>1.9099999999999999E-2</v>
      </c>
      <c r="AH318" s="177">
        <f>Artengliederung!AN293</f>
        <v>4.7228299165370649E-2</v>
      </c>
      <c r="AI318" s="178" t="str">
        <f t="shared" si="54"/>
        <v>Romanshorn-Salmsach</v>
      </c>
    </row>
    <row r="319" spans="1:35" x14ac:dyDescent="0.25">
      <c r="A319" s="41" t="str">
        <f>Funktional!A294</f>
        <v>Schönholzerswilen</v>
      </c>
      <c r="B319" s="41" t="str">
        <f>Funktional!B294</f>
        <v>OSG</v>
      </c>
      <c r="C319" s="352">
        <f>Funktional!D294</f>
        <v>138</v>
      </c>
      <c r="D319" s="348">
        <f>Funktional!G294</f>
        <v>14754.993478260871</v>
      </c>
      <c r="E319" s="186">
        <f>Funktional!F294</f>
        <v>254523.63750000001</v>
      </c>
      <c r="F319" s="48">
        <f>Funktional!U294</f>
        <v>12175.998550724638</v>
      </c>
      <c r="G319" s="48">
        <f>Funktional!T294</f>
        <v>210035.97500000001</v>
      </c>
      <c r="H319" s="48">
        <f>Artengliederung!R294</f>
        <v>758.20507246376815</v>
      </c>
      <c r="I319" s="186">
        <f>Artengliederung!Q294</f>
        <v>13079.0375</v>
      </c>
      <c r="J319" s="48">
        <f>Funktional!Z294</f>
        <v>520.03333333333342</v>
      </c>
      <c r="K319" s="48">
        <f>Funktional!Y294</f>
        <v>8970.5750000000007</v>
      </c>
      <c r="L319" s="48">
        <f>'Kennzahlen Revision'!O294</f>
        <v>197.82608695652175</v>
      </c>
      <c r="M319" s="48">
        <f>'Kennzahlen Revision'!N294</f>
        <v>3412.5</v>
      </c>
      <c r="N319" s="80">
        <f>Funktional!AG294</f>
        <v>395.92318840579713</v>
      </c>
      <c r="O319" s="43">
        <f>Funktional!AF294</f>
        <v>6829.6750000000002</v>
      </c>
      <c r="P319" s="43">
        <f>Funktional!AL294</f>
        <v>1334.0518115942029</v>
      </c>
      <c r="Q319" s="43">
        <f>Funktional!AK294</f>
        <v>23012.393749999999</v>
      </c>
      <c r="R319" s="80">
        <f>Funktional!AU294</f>
        <v>149.45652173913044</v>
      </c>
      <c r="S319" s="43">
        <f>Funktional!AT294</f>
        <v>2578.125</v>
      </c>
      <c r="T319" s="80">
        <f>Funktional!AQ294</f>
        <v>37.280072463768114</v>
      </c>
      <c r="U319" s="43">
        <f>Funktional!AP294</f>
        <v>643.08124999999995</v>
      </c>
      <c r="V319" s="80">
        <f t="shared" si="53"/>
        <v>142.25000000000037</v>
      </c>
      <c r="W319" s="183">
        <f t="shared" si="53"/>
        <v>2453.81250000001</v>
      </c>
      <c r="X319" s="172">
        <f>Funktional!S294</f>
        <v>0.82521205913537199</v>
      </c>
      <c r="Y319" s="42">
        <f>Funktional!X294</f>
        <v>3.5244565448268046E-2</v>
      </c>
      <c r="Z319" s="42">
        <f>'Kennzahlen Revision'!L294</f>
        <v>1.3407399145786607E-2</v>
      </c>
      <c r="AA319" s="42">
        <f>Funktional!AE294</f>
        <v>2.6833165937289419E-2</v>
      </c>
      <c r="AB319" s="42">
        <f>Funktional!AJ294</f>
        <v>9.0413581921246891E-2</v>
      </c>
      <c r="AC319" s="42">
        <f>Funktional!AS294</f>
        <v>1.0129216387613507E-2</v>
      </c>
      <c r="AD319" s="42">
        <f>Funktional!AO294</f>
        <v>2.5266071800502219E-3</v>
      </c>
      <c r="AE319" s="202">
        <f>Funktional!AV294</f>
        <v>9.6408039901599331E-3</v>
      </c>
      <c r="AF319" s="176">
        <f>'Kennzahlen Revision'!C294</f>
        <v>3.4599999999999999E-2</v>
      </c>
      <c r="AG319" s="177">
        <f>'Kennzahlen Revision'!D294</f>
        <v>9.2999999999999992E-3</v>
      </c>
      <c r="AH319" s="177">
        <f>Artengliederung!AN294</f>
        <v>0.35511927649548852</v>
      </c>
      <c r="AI319" s="178" t="str">
        <f t="shared" si="54"/>
        <v>Schönholzerswilen</v>
      </c>
    </row>
    <row r="320" spans="1:35" x14ac:dyDescent="0.25">
      <c r="A320" s="41" t="str">
        <f>Funktional!A295</f>
        <v>Sirnach</v>
      </c>
      <c r="B320" s="41" t="str">
        <f>Funktional!B295</f>
        <v>OSG</v>
      </c>
      <c r="C320" s="352">
        <f>Funktional!D295</f>
        <v>252</v>
      </c>
      <c r="D320" s="348">
        <f>Funktional!G295</f>
        <v>14659.335515873016</v>
      </c>
      <c r="E320" s="186">
        <f>Funktional!F295</f>
        <v>263868.03928571427</v>
      </c>
      <c r="F320" s="48">
        <f>Funktional!U295</f>
        <v>10124.023412698412</v>
      </c>
      <c r="G320" s="48">
        <f>Funktional!T295</f>
        <v>182232.42142857143</v>
      </c>
      <c r="H320" s="48">
        <f>Artengliederung!R295</f>
        <v>492.09126984126982</v>
      </c>
      <c r="I320" s="186">
        <f>Artengliederung!Q295</f>
        <v>8857.6428571428569</v>
      </c>
      <c r="J320" s="48">
        <f>Funktional!Z295</f>
        <v>595.9982142857142</v>
      </c>
      <c r="K320" s="48">
        <f>Funktional!Y295</f>
        <v>10727.967857142856</v>
      </c>
      <c r="L320" s="48">
        <f>'Kennzahlen Revision'!O295</f>
        <v>294.85317460317458</v>
      </c>
      <c r="M320" s="48">
        <f>'Kennzahlen Revision'!N295</f>
        <v>5307.3571428571431</v>
      </c>
      <c r="N320" s="80">
        <f>Funktional!AG295</f>
        <v>1823.702380952381</v>
      </c>
      <c r="O320" s="43">
        <f>Funktional!AF295</f>
        <v>32826.642857142855</v>
      </c>
      <c r="P320" s="43">
        <f>Funktional!AL295</f>
        <v>757.89265873015881</v>
      </c>
      <c r="Q320" s="43">
        <f>Funktional!AK295</f>
        <v>13642.067857142858</v>
      </c>
      <c r="R320" s="80">
        <f>Funktional!AU295</f>
        <v>903.74126984126974</v>
      </c>
      <c r="S320" s="43">
        <f>Funktional!AT295</f>
        <v>16267.342857142856</v>
      </c>
      <c r="T320" s="80">
        <f>Funktional!AQ295</f>
        <v>25.69761904761905</v>
      </c>
      <c r="U320" s="43">
        <f>Funktional!AP295</f>
        <v>462.55714285714288</v>
      </c>
      <c r="V320" s="80">
        <f t="shared" si="53"/>
        <v>428.27996031746039</v>
      </c>
      <c r="W320" s="183">
        <f t="shared" si="53"/>
        <v>7709.0392857142824</v>
      </c>
      <c r="X320" s="172">
        <f>Funktional!S295</f>
        <v>0.69061953058760395</v>
      </c>
      <c r="Y320" s="42">
        <f>Funktional!X295</f>
        <v>4.0656564115090485E-2</v>
      </c>
      <c r="Z320" s="42">
        <f>'Kennzahlen Revision'!L295</f>
        <v>2.0113679387712347E-2</v>
      </c>
      <c r="AA320" s="42">
        <f>Funktional!AE295</f>
        <v>0.12440552840732039</v>
      </c>
      <c r="AB320" s="42">
        <f>Funktional!AJ295</f>
        <v>5.1700341936339371E-2</v>
      </c>
      <c r="AC320" s="42">
        <f>Funktional!AS295</f>
        <v>6.1649538538953948E-2</v>
      </c>
      <c r="AD320" s="42">
        <f>Funktional!AO295</f>
        <v>1.7529866220603154E-3</v>
      </c>
      <c r="AE320" s="202">
        <f>Funktional!AV295</f>
        <v>2.9215509792631524E-2</v>
      </c>
      <c r="AF320" s="176">
        <f>'Kennzahlen Revision'!C295</f>
        <v>0.1711</v>
      </c>
      <c r="AG320" s="177">
        <f>'Kennzahlen Revision'!D295</f>
        <v>5.9200000000000003E-2</v>
      </c>
      <c r="AH320" s="177">
        <f>Artengliederung!AN295</f>
        <v>8.6733329407308865E-2</v>
      </c>
      <c r="AI320" s="178" t="str">
        <f t="shared" si="54"/>
        <v>Sirnach</v>
      </c>
    </row>
    <row r="321" spans="1:35" x14ac:dyDescent="0.25">
      <c r="A321" s="41" t="str">
        <f>Funktional!A296</f>
        <v>Steckborn</v>
      </c>
      <c r="B321" s="41" t="str">
        <f>Funktional!B296</f>
        <v>OSG</v>
      </c>
      <c r="C321" s="352">
        <f>Funktional!D296</f>
        <v>204</v>
      </c>
      <c r="D321" s="348">
        <f>Funktional!G296</f>
        <v>16872.409313725489</v>
      </c>
      <c r="E321" s="186">
        <f>Funktional!F296</f>
        <v>286830.95833333331</v>
      </c>
      <c r="F321" s="48">
        <f>Funktional!U296</f>
        <v>13999.25931372549</v>
      </c>
      <c r="G321" s="48">
        <f>Funktional!T296</f>
        <v>237987.40833333333</v>
      </c>
      <c r="H321" s="48">
        <f>Artengliederung!R296</f>
        <v>984.32426470588234</v>
      </c>
      <c r="I321" s="186">
        <f>Artengliederung!Q296</f>
        <v>16733.512500000001</v>
      </c>
      <c r="J321" s="48">
        <f>Funktional!Z296</f>
        <v>804.34607843137258</v>
      </c>
      <c r="K321" s="48">
        <f>Funktional!Y296</f>
        <v>13673.883333333333</v>
      </c>
      <c r="L321" s="48">
        <f>'Kennzahlen Revision'!O296</f>
        <v>304.06862745098039</v>
      </c>
      <c r="M321" s="48">
        <f>'Kennzahlen Revision'!N296</f>
        <v>5169.166666666667</v>
      </c>
      <c r="N321" s="80">
        <f>Funktional!AG296</f>
        <v>0</v>
      </c>
      <c r="O321" s="43">
        <f>Funktional!AF296</f>
        <v>0</v>
      </c>
      <c r="P321" s="43">
        <f>Funktional!AL296</f>
        <v>1903.1350490196078</v>
      </c>
      <c r="Q321" s="43">
        <f>Funktional!AK296</f>
        <v>32353.295833333334</v>
      </c>
      <c r="R321" s="80">
        <f>Funktional!AU296</f>
        <v>0</v>
      </c>
      <c r="S321" s="43">
        <f>Funktional!AT296</f>
        <v>0</v>
      </c>
      <c r="T321" s="80">
        <f>Funktional!AQ296</f>
        <v>10.676470588235293</v>
      </c>
      <c r="U321" s="43">
        <f>Funktional!AP296</f>
        <v>181.5</v>
      </c>
      <c r="V321" s="80">
        <f t="shared" si="53"/>
        <v>154.99240196078409</v>
      </c>
      <c r="W321" s="183">
        <f t="shared" si="53"/>
        <v>2634.8708333333234</v>
      </c>
      <c r="X321" s="172">
        <f>Funktional!S296</f>
        <v>0.829713116450848</v>
      </c>
      <c r="Y321" s="42">
        <f>Funktional!X296</f>
        <v>4.7672271545537201E-2</v>
      </c>
      <c r="Z321" s="42">
        <f>'Kennzahlen Revision'!L296</f>
        <v>1.8021648348918635E-2</v>
      </c>
      <c r="AA321" s="42">
        <f>Funktional!AE296</f>
        <v>0</v>
      </c>
      <c r="AB321" s="42">
        <f>Funktional!AJ296</f>
        <v>0.11279568991201699</v>
      </c>
      <c r="AC321" s="42">
        <f>Funktional!AS296</f>
        <v>0</v>
      </c>
      <c r="AD321" s="42">
        <f>Funktional!AO296</f>
        <v>6.3277688382951461E-4</v>
      </c>
      <c r="AE321" s="202">
        <f>Funktional!AV296</f>
        <v>9.1861452077682919E-3</v>
      </c>
      <c r="AF321" s="176">
        <f>'Kennzahlen Revision'!C296</f>
        <v>1.2999999999999999E-3</v>
      </c>
      <c r="AG321" s="177">
        <f>'Kennzahlen Revision'!D296</f>
        <v>1.2999999999999999E-3</v>
      </c>
      <c r="AH321" s="177">
        <f>Artengliederung!AN296</f>
        <v>9.4668201058608417E-2</v>
      </c>
      <c r="AI321" s="178" t="str">
        <f t="shared" si="54"/>
        <v>Steckborn</v>
      </c>
    </row>
    <row r="322" spans="1:35" x14ac:dyDescent="0.25">
      <c r="A322" s="41" t="str">
        <f>Funktional!A297</f>
        <v>Sulgen-Schönenberg-Kradolf</v>
      </c>
      <c r="B322" s="41" t="str">
        <f>Funktional!B297</f>
        <v>OSG</v>
      </c>
      <c r="C322" s="352">
        <f>Funktional!D297</f>
        <v>264</v>
      </c>
      <c r="D322" s="348">
        <f>Funktional!G297</f>
        <v>15995.424810606062</v>
      </c>
      <c r="E322" s="186">
        <f>Funktional!F297</f>
        <v>281519.47666666668</v>
      </c>
      <c r="F322" s="48">
        <f>Funktional!U297</f>
        <v>11643.192992424241</v>
      </c>
      <c r="G322" s="48">
        <f>Funktional!T297</f>
        <v>204920.19666666666</v>
      </c>
      <c r="H322" s="48">
        <f>Artengliederung!R297</f>
        <v>816.00890151515159</v>
      </c>
      <c r="I322" s="186">
        <f>Artengliederung!Q297</f>
        <v>14361.756666666666</v>
      </c>
      <c r="J322" s="48">
        <f>Funktional!Z297</f>
        <v>795.49374999999998</v>
      </c>
      <c r="K322" s="48">
        <f>Funktional!Y297</f>
        <v>14000.69</v>
      </c>
      <c r="L322" s="48">
        <f>'Kennzahlen Revision'!O297</f>
        <v>237.5</v>
      </c>
      <c r="M322" s="48">
        <f>'Kennzahlen Revision'!N297</f>
        <v>4180</v>
      </c>
      <c r="N322" s="80">
        <f>Funktional!AG297</f>
        <v>1304.5454545454545</v>
      </c>
      <c r="O322" s="43">
        <f>Funktional!AF297</f>
        <v>22960</v>
      </c>
      <c r="P322" s="43">
        <f>Funktional!AL297</f>
        <v>1458.0683712121211</v>
      </c>
      <c r="Q322" s="43">
        <f>Funktional!AK297</f>
        <v>25662.003333333334</v>
      </c>
      <c r="R322" s="80">
        <f>Funktional!AU297</f>
        <v>499.10435606060599</v>
      </c>
      <c r="S322" s="43">
        <f>Funktional!AT297</f>
        <v>8784.2366666666658</v>
      </c>
      <c r="T322" s="80">
        <f>Funktional!AQ297</f>
        <v>45.90890151515152</v>
      </c>
      <c r="U322" s="43">
        <f>Funktional!AP297</f>
        <v>807.99666666666667</v>
      </c>
      <c r="V322" s="80">
        <f t="shared" si="53"/>
        <v>249.11098484848776</v>
      </c>
      <c r="W322" s="183">
        <f t="shared" si="53"/>
        <v>4384.3533333333589</v>
      </c>
      <c r="X322" s="172">
        <f>Funktional!S297</f>
        <v>0.72790770675274641</v>
      </c>
      <c r="Y322" s="42">
        <f>Funktional!X297</f>
        <v>4.9732580373391094E-2</v>
      </c>
      <c r="Z322" s="42">
        <f>'Kennzahlen Revision'!L297</f>
        <v>1.4847995774549309E-2</v>
      </c>
      <c r="AA322" s="42">
        <f>Funktional!AE297</f>
        <v>8.1557412197045973E-2</v>
      </c>
      <c r="AB322" s="42">
        <f>Funktional!AJ297</f>
        <v>9.1155339009522399E-2</v>
      </c>
      <c r="AC322" s="42">
        <f>Funktional!AS297</f>
        <v>3.1202944715145398E-2</v>
      </c>
      <c r="AD322" s="42">
        <f>Funktional!AO297</f>
        <v>2.8701270556259796E-3</v>
      </c>
      <c r="AE322" s="202">
        <f>Funktional!AV297</f>
        <v>1.5573889896522738E-2</v>
      </c>
      <c r="AF322" s="176">
        <f>'Kennzahlen Revision'!C297</f>
        <v>0.1022</v>
      </c>
      <c r="AG322" s="177">
        <f>'Kennzahlen Revision'!D297</f>
        <v>2.5499999999999998E-2</v>
      </c>
      <c r="AH322" s="177">
        <f>Artengliederung!AN297</f>
        <v>0.29161984683522724</v>
      </c>
      <c r="AI322" s="178" t="str">
        <f t="shared" si="54"/>
        <v>Sulgen-Schönenberg-Kradolf</v>
      </c>
    </row>
    <row r="323" spans="1:35" x14ac:dyDescent="0.25">
      <c r="A323" s="41" t="str">
        <f>Funktional!A298</f>
        <v>Tägerwilen</v>
      </c>
      <c r="B323" s="41" t="str">
        <f>Funktional!B298</f>
        <v>OSG</v>
      </c>
      <c r="C323" s="352">
        <f>Funktional!D298</f>
        <v>123</v>
      </c>
      <c r="D323" s="348">
        <f>Funktional!G298</f>
        <v>15811.152032520326</v>
      </c>
      <c r="E323" s="186">
        <f>Funktional!F298</f>
        <v>277824.52857142856</v>
      </c>
      <c r="F323" s="48">
        <f>Funktional!U298</f>
        <v>11534.45894308943</v>
      </c>
      <c r="G323" s="48">
        <f>Funktional!T298</f>
        <v>202676.92142857143</v>
      </c>
      <c r="H323" s="48">
        <f>Artengliederung!R298</f>
        <v>1000.4186991869918</v>
      </c>
      <c r="I323" s="186">
        <f>Artengliederung!Q298</f>
        <v>17578.785714285714</v>
      </c>
      <c r="J323" s="48">
        <f>Funktional!Z298</f>
        <v>920.67926829268299</v>
      </c>
      <c r="K323" s="48">
        <f>Funktional!Y298</f>
        <v>16177.65</v>
      </c>
      <c r="L323" s="48">
        <f>'Kennzahlen Revision'!O298</f>
        <v>270.76422764227641</v>
      </c>
      <c r="M323" s="48">
        <f>'Kennzahlen Revision'!N298</f>
        <v>4757.7142857142853</v>
      </c>
      <c r="N323" s="80">
        <f>Funktional!AG298</f>
        <v>797.17764227642283</v>
      </c>
      <c r="O323" s="43">
        <f>Funktional!AF298</f>
        <v>14007.550000000001</v>
      </c>
      <c r="P323" s="43">
        <f>Funktional!AL298</f>
        <v>1635.5654471544715</v>
      </c>
      <c r="Q323" s="43">
        <f>Funktional!AK298</f>
        <v>28739.221428571425</v>
      </c>
      <c r="R323" s="80">
        <f>Funktional!AU298</f>
        <v>389.74105691056911</v>
      </c>
      <c r="S323" s="43">
        <f>Funktional!AT298</f>
        <v>6848.3071428571429</v>
      </c>
      <c r="T323" s="80">
        <f>Funktional!AQ298</f>
        <v>89.309756097560978</v>
      </c>
      <c r="U323" s="43">
        <f>Funktional!AP298</f>
        <v>1569.3</v>
      </c>
      <c r="V323" s="80">
        <f t="shared" si="53"/>
        <v>444.21991869918787</v>
      </c>
      <c r="W323" s="183">
        <f t="shared" si="53"/>
        <v>7805.5785714285585</v>
      </c>
      <c r="X323" s="172">
        <f>Funktional!S298</f>
        <v>0.72951413782913443</v>
      </c>
      <c r="Y323" s="42">
        <f>Funktional!X298</f>
        <v>5.822973976842629E-2</v>
      </c>
      <c r="Z323" s="42">
        <f>'Kennzahlen Revision'!L298</f>
        <v>1.7124889260780585E-2</v>
      </c>
      <c r="AA323" s="42">
        <f>Funktional!AE298</f>
        <v>5.0418694389680808E-2</v>
      </c>
      <c r="AB323" s="42">
        <f>Funktional!AJ298</f>
        <v>0.10344378725790795</v>
      </c>
      <c r="AC323" s="42">
        <f>Funktional!AS298</f>
        <v>2.4649757089739634E-2</v>
      </c>
      <c r="AD323" s="42">
        <f>Funktional!AO298</f>
        <v>5.648529336374033E-3</v>
      </c>
      <c r="AE323" s="202">
        <f>Funktional!AV298</f>
        <v>2.8095354328736839E-2</v>
      </c>
      <c r="AF323" s="176">
        <f>'Kennzahlen Revision'!C298</f>
        <v>8.4400000000000003E-2</v>
      </c>
      <c r="AG323" s="177">
        <f>'Kennzahlen Revision'!D298</f>
        <v>3.1099999999999999E-2</v>
      </c>
      <c r="AH323" s="177">
        <f>Artengliederung!AN298</f>
        <v>3.1583655809059745E-2</v>
      </c>
      <c r="AI323" s="178" t="str">
        <f t="shared" si="54"/>
        <v>Tägerwilen</v>
      </c>
    </row>
    <row r="324" spans="1:35" x14ac:dyDescent="0.25">
      <c r="A324" s="41" t="str">
        <f>Funktional!A299</f>
        <v>Weinfelden</v>
      </c>
      <c r="B324" s="41" t="str">
        <f>Funktional!B299</f>
        <v>OSG</v>
      </c>
      <c r="C324" s="352">
        <f>Funktional!D299</f>
        <v>486</v>
      </c>
      <c r="D324" s="348">
        <f>Funktional!G299</f>
        <v>15817.830658436214</v>
      </c>
      <c r="E324" s="186">
        <f>Funktional!F299</f>
        <v>307498.62800000003</v>
      </c>
      <c r="F324" s="48">
        <f>Funktional!U299</f>
        <v>11185.67355967078</v>
      </c>
      <c r="G324" s="48">
        <f>Funktional!T299</f>
        <v>217449.49399999998</v>
      </c>
      <c r="H324" s="48">
        <f>Artengliederung!R299</f>
        <v>631.64393004115232</v>
      </c>
      <c r="I324" s="186">
        <f>Artengliederung!Q299</f>
        <v>12279.158000000001</v>
      </c>
      <c r="J324" s="48">
        <f>Funktional!Z299</f>
        <v>771.58251028806581</v>
      </c>
      <c r="K324" s="48">
        <f>Funktional!Y299</f>
        <v>14999.563999999998</v>
      </c>
      <c r="L324" s="48">
        <f>'Kennzahlen Revision'!O299</f>
        <v>295.67901234567898</v>
      </c>
      <c r="M324" s="48">
        <f>'Kennzahlen Revision'!N299</f>
        <v>5748</v>
      </c>
      <c r="N324" s="80">
        <f>Funktional!AG299</f>
        <v>1337.4485596707818</v>
      </c>
      <c r="O324" s="43">
        <f>Funktional!AF299</f>
        <v>26000</v>
      </c>
      <c r="P324" s="43">
        <f>Funktional!AL299</f>
        <v>1456.2117283950618</v>
      </c>
      <c r="Q324" s="43">
        <f>Funktional!AK299</f>
        <v>28308.756000000001</v>
      </c>
      <c r="R324" s="80">
        <f>Funktional!AU299</f>
        <v>465.79578189300412</v>
      </c>
      <c r="S324" s="43">
        <f>Funktional!AT299</f>
        <v>9055.07</v>
      </c>
      <c r="T324" s="80">
        <f>Funktional!AQ299</f>
        <v>35.292283950617282</v>
      </c>
      <c r="U324" s="43">
        <f>Funktional!AP299</f>
        <v>686.08199999999999</v>
      </c>
      <c r="V324" s="80">
        <f t="shared" si="53"/>
        <v>565.82623456790327</v>
      </c>
      <c r="W324" s="183">
        <f t="shared" si="53"/>
        <v>10999.662000000049</v>
      </c>
      <c r="X324" s="172">
        <f>Funktional!S299</f>
        <v>0.70715598119676804</v>
      </c>
      <c r="Y324" s="42">
        <f>Funktional!X299</f>
        <v>4.8779287561569212E-2</v>
      </c>
      <c r="Z324" s="42">
        <f>'Kennzahlen Revision'!L299</f>
        <v>1.8692766330001317E-2</v>
      </c>
      <c r="AA324" s="42">
        <f>Funktional!AE299</f>
        <v>8.4553222787062315E-2</v>
      </c>
      <c r="AB324" s="42">
        <f>Funktional!AJ299</f>
        <v>9.2061405880484129E-2</v>
      </c>
      <c r="AC324" s="42">
        <f>Funktional!AS299</f>
        <v>2.9447513502401709E-2</v>
      </c>
      <c r="AD324" s="42">
        <f>Funktional!AO299</f>
        <v>2.2311709306228186E-3</v>
      </c>
      <c r="AE324" s="202">
        <f>Funktional!AV299</f>
        <v>3.5771418141091763E-2</v>
      </c>
      <c r="AF324" s="176">
        <f>'Kennzahlen Revision'!C299</f>
        <v>0.1018</v>
      </c>
      <c r="AG324" s="177">
        <f>'Kennzahlen Revision'!D299</f>
        <v>2.4500000000000001E-2</v>
      </c>
      <c r="AH324" s="177">
        <f>Artengliederung!AN299</f>
        <v>2.7664604734431532E-2</v>
      </c>
      <c r="AI324" s="178" t="str">
        <f t="shared" si="54"/>
        <v>Weinfelden</v>
      </c>
    </row>
    <row r="325" spans="1:35" x14ac:dyDescent="0.25">
      <c r="A325" s="41" t="str">
        <f>Funktional!A300</f>
        <v>Wigoltingen</v>
      </c>
      <c r="B325" s="41" t="str">
        <f>Funktional!B300</f>
        <v>OSG</v>
      </c>
      <c r="C325" s="352">
        <f>Funktional!D300</f>
        <v>153</v>
      </c>
      <c r="D325" s="348">
        <f>Funktional!G300</f>
        <v>20192.930392156864</v>
      </c>
      <c r="E325" s="186">
        <f>Funktional!F300</f>
        <v>441359.76428571431</v>
      </c>
      <c r="F325" s="48">
        <f>Funktional!U300</f>
        <v>11649.756862745098</v>
      </c>
      <c r="G325" s="48">
        <f>Funktional!T300</f>
        <v>254630.39999999999</v>
      </c>
      <c r="H325" s="48">
        <f>Artengliederung!R300</f>
        <v>944.94411764705887</v>
      </c>
      <c r="I325" s="186">
        <f>Artengliederung!Q300</f>
        <v>20653.778571428575</v>
      </c>
      <c r="J325" s="48">
        <f>Funktional!Z300</f>
        <v>695.76209150326804</v>
      </c>
      <c r="K325" s="48">
        <f>Funktional!Y300</f>
        <v>15207.371428571429</v>
      </c>
      <c r="L325" s="48">
        <f>'Kennzahlen Revision'!O300</f>
        <v>266.66666666666669</v>
      </c>
      <c r="M325" s="48">
        <f>'Kennzahlen Revision'!N300</f>
        <v>5828.5714285714284</v>
      </c>
      <c r="N325" s="80">
        <f>Funktional!AG300</f>
        <v>1159.68954248366</v>
      </c>
      <c r="O325" s="43">
        <f>Funktional!AF300</f>
        <v>25347.5</v>
      </c>
      <c r="P325" s="43">
        <f>Funktional!AL300</f>
        <v>1934.1996732026143</v>
      </c>
      <c r="Q325" s="43">
        <f>Funktional!AK300</f>
        <v>42276.078571428567</v>
      </c>
      <c r="R325" s="80">
        <f>Funktional!AU300</f>
        <v>3133.9928104575165</v>
      </c>
      <c r="S325" s="43">
        <f>Funktional!AT300</f>
        <v>68500.128571428577</v>
      </c>
      <c r="T325" s="80">
        <f>Funktional!AQ300</f>
        <v>13.648692810457517</v>
      </c>
      <c r="U325" s="43">
        <f>Funktional!AP300</f>
        <v>298.32142857142856</v>
      </c>
      <c r="V325" s="80">
        <f t="shared" si="53"/>
        <v>1605.8807189542497</v>
      </c>
      <c r="W325" s="183">
        <f t="shared" si="53"/>
        <v>35099.964285714297</v>
      </c>
      <c r="X325" s="172">
        <f>Funktional!S300</f>
        <v>0.57692254846131596</v>
      </c>
      <c r="Y325" s="42">
        <f>Funktional!X300</f>
        <v>3.4455726731644112E-2</v>
      </c>
      <c r="Z325" s="42">
        <f>'Kennzahlen Revision'!L300</f>
        <v>1.3205941955321288E-2</v>
      </c>
      <c r="AA325" s="42">
        <f>Funktional!AE300</f>
        <v>5.7430472940871183E-2</v>
      </c>
      <c r="AB325" s="42">
        <f>Funktional!AJ300</f>
        <v>9.5785982303681724E-2</v>
      </c>
      <c r="AC325" s="42">
        <f>Funktional!AS300</f>
        <v>0.15520247678736074</v>
      </c>
      <c r="AD325" s="42">
        <f>Funktional!AO300</f>
        <v>6.7591441882842356E-4</v>
      </c>
      <c r="AE325" s="202">
        <f>Funktional!AV300</f>
        <v>7.9526878356297875E-2</v>
      </c>
      <c r="AF325" s="176">
        <f>'Kennzahlen Revision'!C300</f>
        <v>0.2296</v>
      </c>
      <c r="AG325" s="177">
        <f>'Kennzahlen Revision'!D300</f>
        <v>0.16700000000000001</v>
      </c>
      <c r="AH325" s="177">
        <f>Artengliederung!AN300</f>
        <v>0.19851735141822349</v>
      </c>
      <c r="AI325" s="178" t="str">
        <f t="shared" si="54"/>
        <v>Wigoltingen</v>
      </c>
    </row>
    <row r="326" spans="1:35" x14ac:dyDescent="0.25">
      <c r="A326" s="1"/>
      <c r="B326" s="1"/>
      <c r="C326" s="354"/>
      <c r="D326" s="150"/>
      <c r="E326" s="150"/>
      <c r="F326" s="150"/>
      <c r="G326" s="150"/>
      <c r="H326" s="150"/>
      <c r="I326" s="150"/>
      <c r="J326" s="150"/>
      <c r="K326" s="150"/>
      <c r="L326" s="150"/>
      <c r="M326" s="150"/>
      <c r="N326" s="150"/>
      <c r="O326" s="150"/>
      <c r="P326" s="150"/>
      <c r="Q326" s="150"/>
      <c r="R326" s="150"/>
      <c r="S326" s="150"/>
      <c r="T326" s="150"/>
      <c r="U326" s="150"/>
      <c r="V326" s="150"/>
      <c r="W326" s="197"/>
      <c r="X326" s="179"/>
      <c r="Y326" s="179"/>
      <c r="Z326" s="179"/>
      <c r="AA326" s="179"/>
      <c r="AB326" s="179"/>
      <c r="AC326" s="179"/>
      <c r="AD326" s="179"/>
      <c r="AE326" s="203"/>
      <c r="AF326" s="179"/>
      <c r="AG326" s="179"/>
      <c r="AH326" s="179"/>
      <c r="AI326" s="180"/>
    </row>
    <row r="327" spans="1:35" x14ac:dyDescent="0.25">
      <c r="A327" s="190" t="s">
        <v>28</v>
      </c>
      <c r="B327" s="190"/>
      <c r="C327" s="351"/>
      <c r="D327" s="103"/>
      <c r="E327" s="10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97"/>
      <c r="X327" s="188"/>
      <c r="Y327" s="188"/>
      <c r="Z327" s="188"/>
      <c r="AA327" s="188"/>
      <c r="AB327" s="188"/>
      <c r="AC327" s="188"/>
      <c r="AD327" s="188"/>
      <c r="AE327" s="198"/>
      <c r="AF327" s="188"/>
      <c r="AG327" s="188"/>
      <c r="AH327" s="188"/>
      <c r="AI327" s="171" t="str">
        <f>A327</f>
        <v>Durchschnittswerte</v>
      </c>
    </row>
    <row r="328" spans="1:35" x14ac:dyDescent="0.25">
      <c r="A328" s="45" t="s">
        <v>29</v>
      </c>
      <c r="B328" s="45"/>
      <c r="C328" s="350">
        <f t="shared" ref="C328:AE328" si="56">C6</f>
        <v>19861</v>
      </c>
      <c r="D328" s="80">
        <f t="shared" si="56"/>
        <v>11316.562847523795</v>
      </c>
      <c r="E328" s="85">
        <f t="shared" si="56"/>
        <v>226259.10678970849</v>
      </c>
      <c r="F328" s="80">
        <f t="shared" si="56"/>
        <v>7111.1591126842804</v>
      </c>
      <c r="G328" s="43">
        <f t="shared" si="56"/>
        <v>142177.84417001694</v>
      </c>
      <c r="H328" s="43">
        <f t="shared" si="56"/>
        <v>303.8525548832377</v>
      </c>
      <c r="I328" s="98">
        <f t="shared" si="56"/>
        <v>6075.1138477258992</v>
      </c>
      <c r="J328" s="80">
        <f t="shared" si="56"/>
        <v>547.56315926106413</v>
      </c>
      <c r="K328" s="43">
        <f t="shared" si="56"/>
        <v>10947.772127865503</v>
      </c>
      <c r="L328" s="43">
        <f t="shared" si="56"/>
        <v>198.97242004155714</v>
      </c>
      <c r="M328" s="80">
        <f t="shared" si="56"/>
        <v>3978.1798272997885</v>
      </c>
      <c r="N328" s="80">
        <f t="shared" si="56"/>
        <v>769.57663412908369</v>
      </c>
      <c r="O328" s="43">
        <f t="shared" si="56"/>
        <v>15386.626150569844</v>
      </c>
      <c r="P328" s="43">
        <f t="shared" si="56"/>
        <v>1050.9872100285863</v>
      </c>
      <c r="Q328" s="43">
        <f t="shared" si="56"/>
        <v>21013.043500262829</v>
      </c>
      <c r="R328" s="80">
        <f t="shared" si="56"/>
        <v>603.69366984534804</v>
      </c>
      <c r="S328" s="43">
        <f t="shared" si="56"/>
        <v>12070.024472465815</v>
      </c>
      <c r="T328" s="80">
        <f t="shared" si="56"/>
        <v>40.05490542386967</v>
      </c>
      <c r="U328" s="43">
        <f t="shared" si="56"/>
        <v>800.84273342184042</v>
      </c>
      <c r="V328" s="80">
        <f t="shared" si="56"/>
        <v>1193.5281561515628</v>
      </c>
      <c r="W328" s="183">
        <f t="shared" si="56"/>
        <v>23862.953635105718</v>
      </c>
      <c r="X328" s="177">
        <f t="shared" si="56"/>
        <v>0.62838506784242276</v>
      </c>
      <c r="Y328" s="177">
        <f t="shared" si="56"/>
        <v>4.8385995521677133E-2</v>
      </c>
      <c r="Z328" s="177">
        <f t="shared" si="56"/>
        <v>1.7582407549222846E-2</v>
      </c>
      <c r="AA328" s="177">
        <f t="shared" si="56"/>
        <v>6.8004450158422144E-2</v>
      </c>
      <c r="AB328" s="177">
        <f t="shared" si="56"/>
        <v>9.28715922130504E-2</v>
      </c>
      <c r="AC328" s="177">
        <f t="shared" si="56"/>
        <v>5.3346027232769162E-2</v>
      </c>
      <c r="AD328" s="177">
        <f t="shared" si="56"/>
        <v>3.5394939226298899E-3</v>
      </c>
      <c r="AE328" s="202">
        <f t="shared" si="56"/>
        <v>0.10546737310902851</v>
      </c>
      <c r="AF328" s="176"/>
      <c r="AG328" s="177"/>
      <c r="AH328" s="177">
        <f>AH6</f>
        <v>0.1907272585092572</v>
      </c>
      <c r="AI328" s="173" t="str">
        <f>A328</f>
        <v>Total PSG</v>
      </c>
    </row>
    <row r="329" spans="1:35" x14ac:dyDescent="0.25">
      <c r="A329" s="45" t="s">
        <v>30</v>
      </c>
      <c r="B329" s="45"/>
      <c r="C329" s="350">
        <f t="shared" ref="C329:AE329" si="57">C7</f>
        <v>5455</v>
      </c>
      <c r="D329" s="80">
        <f t="shared" si="57"/>
        <v>7568.626819797717</v>
      </c>
      <c r="E329" s="85">
        <f t="shared" si="57"/>
        <v>157403.19977886596</v>
      </c>
      <c r="F329" s="80">
        <f t="shared" si="57"/>
        <v>4700.6710515693612</v>
      </c>
      <c r="G329" s="43">
        <f t="shared" si="57"/>
        <v>97758.904255855363</v>
      </c>
      <c r="H329" s="43">
        <f t="shared" si="57"/>
        <v>203.00653726807471</v>
      </c>
      <c r="I329" s="98">
        <f t="shared" si="57"/>
        <v>4221.8858589300326</v>
      </c>
      <c r="J329" s="80">
        <f t="shared" si="57"/>
        <v>363.50812048567207</v>
      </c>
      <c r="K329" s="43">
        <f t="shared" si="57"/>
        <v>7559.8047931732408</v>
      </c>
      <c r="L329" s="43">
        <f t="shared" si="57"/>
        <v>129.22714920036063</v>
      </c>
      <c r="M329" s="80">
        <f t="shared" si="57"/>
        <v>2687.5108611817277</v>
      </c>
      <c r="N329" s="80">
        <f t="shared" si="57"/>
        <v>516.58491406579935</v>
      </c>
      <c r="O329" s="43">
        <f t="shared" si="57"/>
        <v>10743.311880400059</v>
      </c>
      <c r="P329" s="43">
        <f t="shared" si="57"/>
        <v>706.54012373154478</v>
      </c>
      <c r="Q329" s="43">
        <f t="shared" si="57"/>
        <v>14693.771921294612</v>
      </c>
      <c r="R329" s="80">
        <f t="shared" si="57"/>
        <v>402.43620956948456</v>
      </c>
      <c r="S329" s="43">
        <f t="shared" si="57"/>
        <v>8369.3843812487157</v>
      </c>
      <c r="T329" s="80">
        <f t="shared" si="57"/>
        <v>27.10537978182543</v>
      </c>
      <c r="U329" s="43">
        <f t="shared" si="57"/>
        <v>563.70509611078046</v>
      </c>
      <c r="V329" s="80">
        <f t="shared" si="57"/>
        <v>851.78102059402977</v>
      </c>
      <c r="W329" s="184">
        <f t="shared" si="57"/>
        <v>17714.317450783194</v>
      </c>
      <c r="X329" s="177">
        <f t="shared" si="57"/>
        <v>0.62107317000668205</v>
      </c>
      <c r="Y329" s="177">
        <f t="shared" si="57"/>
        <v>4.8028278991748122E-2</v>
      </c>
      <c r="Z329" s="177">
        <f t="shared" si="57"/>
        <v>1.70740548156415E-2</v>
      </c>
      <c r="AA329" s="177">
        <f t="shared" si="57"/>
        <v>6.8253452887191757E-2</v>
      </c>
      <c r="AB329" s="177">
        <f t="shared" si="57"/>
        <v>9.335116402930646E-2</v>
      </c>
      <c r="AC329" s="177">
        <f t="shared" si="57"/>
        <v>5.3171627978381458E-2</v>
      </c>
      <c r="AD329" s="177">
        <f t="shared" si="57"/>
        <v>3.5812810470354072E-3</v>
      </c>
      <c r="AE329" s="202">
        <f t="shared" si="57"/>
        <v>0.11254102505965476</v>
      </c>
      <c r="AF329" s="176"/>
      <c r="AG329" s="177"/>
      <c r="AH329" s="177">
        <f>AH7</f>
        <v>0.18114514506678972</v>
      </c>
      <c r="AI329" s="173" t="str">
        <f>A329</f>
        <v>Total KiGa</v>
      </c>
    </row>
    <row r="330" spans="1:35" x14ac:dyDescent="0.25">
      <c r="A330" s="45" t="s">
        <v>31</v>
      </c>
      <c r="B330" s="45"/>
      <c r="C330" s="350">
        <f t="shared" ref="C330:AE330" si="58">C8</f>
        <v>9414</v>
      </c>
      <c r="D330" s="80">
        <f t="shared" si="58"/>
        <v>16206.279648750087</v>
      </c>
      <c r="E330" s="85">
        <f t="shared" si="58"/>
        <v>298660.84818270797</v>
      </c>
      <c r="F330" s="80">
        <f t="shared" si="58"/>
        <v>10609.321286027904</v>
      </c>
      <c r="G330" s="43">
        <f t="shared" si="58"/>
        <v>195516.11860358896</v>
      </c>
      <c r="H330" s="43">
        <f t="shared" si="58"/>
        <v>630.97665887685014</v>
      </c>
      <c r="I330" s="98">
        <f t="shared" si="58"/>
        <v>11628.086655791192</v>
      </c>
      <c r="J330" s="80">
        <f t="shared" si="58"/>
        <v>700.40618936335932</v>
      </c>
      <c r="K330" s="43">
        <f t="shared" si="58"/>
        <v>12907.583425774874</v>
      </c>
      <c r="L330" s="43">
        <f t="shared" si="58"/>
        <v>246.11851143686707</v>
      </c>
      <c r="M330" s="80">
        <f t="shared" si="58"/>
        <v>4535.6469820554648</v>
      </c>
      <c r="N330" s="80">
        <f t="shared" si="58"/>
        <v>1724.8617573118051</v>
      </c>
      <c r="O330" s="43">
        <f t="shared" si="58"/>
        <v>31786.979282218599</v>
      </c>
      <c r="P330" s="43">
        <f t="shared" si="58"/>
        <v>1386.2360990723041</v>
      </c>
      <c r="Q330" s="43">
        <f t="shared" si="58"/>
        <v>25546.544802610122</v>
      </c>
      <c r="R330" s="80">
        <f t="shared" si="58"/>
        <v>767.66262481410672</v>
      </c>
      <c r="S330" s="43">
        <f t="shared" si="58"/>
        <v>14147.0328548124</v>
      </c>
      <c r="T330" s="80">
        <f t="shared" si="58"/>
        <v>45.955819701154304</v>
      </c>
      <c r="U330" s="43">
        <f t="shared" si="58"/>
        <v>846.90653181076664</v>
      </c>
      <c r="V330" s="80">
        <f t="shared" si="58"/>
        <v>971.83587245945432</v>
      </c>
      <c r="W330" s="183">
        <f t="shared" si="58"/>
        <v>17909.682681892242</v>
      </c>
      <c r="X330" s="177">
        <f t="shared" si="58"/>
        <v>0.65464261483641317</v>
      </c>
      <c r="Y330" s="177">
        <f t="shared" si="58"/>
        <v>4.3218197176881266E-2</v>
      </c>
      <c r="Z330" s="177">
        <f t="shared" si="58"/>
        <v>1.5186613878765754E-2</v>
      </c>
      <c r="AA330" s="177">
        <f t="shared" si="58"/>
        <v>0.10643169158473922</v>
      </c>
      <c r="AB330" s="177">
        <f t="shared" si="58"/>
        <v>8.5536972649933138E-2</v>
      </c>
      <c r="AC330" s="177">
        <f t="shared" si="58"/>
        <v>4.7368220310409916E-2</v>
      </c>
      <c r="AD330" s="177">
        <f t="shared" si="58"/>
        <v>2.835679791857637E-3</v>
      </c>
      <c r="AE330" s="202">
        <f t="shared" si="58"/>
        <v>5.9966623649765662E-2</v>
      </c>
      <c r="AF330" s="176"/>
      <c r="AG330" s="177"/>
      <c r="AH330" s="177">
        <f>AH8</f>
        <v>0.10077726516270698</v>
      </c>
      <c r="AI330" s="173" t="str">
        <f>A330</f>
        <v>Total OSG</v>
      </c>
    </row>
    <row r="331" spans="1:35" x14ac:dyDescent="0.25">
      <c r="A331" s="45" t="s">
        <v>32</v>
      </c>
      <c r="B331" s="45"/>
      <c r="C331" s="350">
        <f t="shared" ref="C331:AE331" si="59">C9</f>
        <v>34730</v>
      </c>
      <c r="D331" s="80">
        <f t="shared" si="59"/>
        <v>12053.297743449471</v>
      </c>
      <c r="E331" s="85">
        <f t="shared" si="59"/>
        <v>236971.99582790837</v>
      </c>
      <c r="F331" s="80">
        <f t="shared" si="59"/>
        <v>7680.7671266916213</v>
      </c>
      <c r="G331" s="43">
        <f t="shared" si="59"/>
        <v>151006.53399943392</v>
      </c>
      <c r="H331" s="43">
        <f t="shared" si="59"/>
        <v>376.6838617909587</v>
      </c>
      <c r="I331" s="98">
        <f t="shared" si="59"/>
        <v>7405.7347976224146</v>
      </c>
      <c r="J331" s="80">
        <f t="shared" si="59"/>
        <v>560.08386323063701</v>
      </c>
      <c r="K331" s="43">
        <f t="shared" si="59"/>
        <v>11011.442156807259</v>
      </c>
      <c r="L331" s="43">
        <f t="shared" si="59"/>
        <v>200.79714943852579</v>
      </c>
      <c r="M331" s="80">
        <f t="shared" si="59"/>
        <v>3947.7412963487127</v>
      </c>
      <c r="N331" s="80">
        <f t="shared" si="59"/>
        <v>988.78148056435339</v>
      </c>
      <c r="O331" s="43">
        <f t="shared" si="59"/>
        <v>19439.785349561276</v>
      </c>
      <c r="P331" s="43">
        <f t="shared" si="59"/>
        <v>1087.7587097610133</v>
      </c>
      <c r="Q331" s="43">
        <f t="shared" si="59"/>
        <v>21385.711853948484</v>
      </c>
      <c r="R331" s="80">
        <f t="shared" si="59"/>
        <v>616.52823063633753</v>
      </c>
      <c r="S331" s="43">
        <f t="shared" si="59"/>
        <v>12121.157911123693</v>
      </c>
      <c r="T331" s="80">
        <f t="shared" si="59"/>
        <v>39.620455226029385</v>
      </c>
      <c r="U331" s="43">
        <f t="shared" si="59"/>
        <v>778.95183130484043</v>
      </c>
      <c r="V331" s="80">
        <f t="shared" si="59"/>
        <v>1079.7578773394796</v>
      </c>
      <c r="W331" s="183">
        <f t="shared" si="59"/>
        <v>21228.4127257289</v>
      </c>
      <c r="X331" s="177">
        <f t="shared" si="59"/>
        <v>0.63723366751359301</v>
      </c>
      <c r="Y331" s="177">
        <f t="shared" si="59"/>
        <v>4.6467271874622212E-2</v>
      </c>
      <c r="Z331" s="177">
        <f t="shared" si="59"/>
        <v>1.665910472904826E-2</v>
      </c>
      <c r="AA331" s="177">
        <f t="shared" si="59"/>
        <v>8.2034103994628377E-2</v>
      </c>
      <c r="AB331" s="177">
        <f t="shared" si="59"/>
        <v>9.0245734645704803E-2</v>
      </c>
      <c r="AC331" s="177">
        <f t="shared" si="59"/>
        <v>5.1150170165787053E-2</v>
      </c>
      <c r="AD331" s="177">
        <f t="shared" si="59"/>
        <v>3.2871049956068382E-3</v>
      </c>
      <c r="AE331" s="202">
        <f t="shared" si="59"/>
        <v>8.9581946810057739E-2</v>
      </c>
      <c r="AF331" s="176"/>
      <c r="AG331" s="177"/>
      <c r="AH331" s="177">
        <f>AH9</f>
        <v>0.15699924486244535</v>
      </c>
      <c r="AI331" s="173" t="str">
        <f>A331</f>
        <v>Total TG</v>
      </c>
    </row>
    <row r="332" spans="1:35" x14ac:dyDescent="0.25">
      <c r="A332" s="110"/>
      <c r="B332" s="110"/>
      <c r="C332" s="351"/>
      <c r="D332" s="103"/>
      <c r="E332" s="103"/>
      <c r="F332" s="103"/>
      <c r="G332" s="103"/>
      <c r="H332" s="103"/>
      <c r="I332" s="103"/>
      <c r="J332" s="103"/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97"/>
      <c r="X332" s="179"/>
      <c r="Y332" s="179"/>
      <c r="Z332" s="179"/>
      <c r="AA332" s="179"/>
      <c r="AB332" s="179"/>
      <c r="AC332" s="179"/>
      <c r="AD332" s="179"/>
      <c r="AE332" s="203"/>
      <c r="AF332" s="179"/>
      <c r="AG332" s="179"/>
      <c r="AH332" s="179"/>
      <c r="AI332" s="189"/>
    </row>
    <row r="333" spans="1:35" x14ac:dyDescent="0.25">
      <c r="A333" s="190" t="s">
        <v>33</v>
      </c>
      <c r="B333" s="190"/>
      <c r="C333" s="351"/>
      <c r="D333" s="103"/>
      <c r="E333" s="103"/>
      <c r="F333" s="103"/>
      <c r="G333" s="103"/>
      <c r="H333" s="103"/>
      <c r="I333" s="103"/>
      <c r="J333" s="103"/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97"/>
      <c r="X333" s="179"/>
      <c r="Y333" s="179"/>
      <c r="Z333" s="179"/>
      <c r="AA333" s="179"/>
      <c r="AB333" s="179"/>
      <c r="AC333" s="179"/>
      <c r="AD333" s="179"/>
      <c r="AE333" s="203"/>
      <c r="AF333" s="179"/>
      <c r="AG333" s="179"/>
      <c r="AH333" s="179"/>
      <c r="AI333" s="191"/>
    </row>
    <row r="334" spans="1:35" x14ac:dyDescent="0.25">
      <c r="A334" s="45" t="s">
        <v>34</v>
      </c>
      <c r="B334" s="45"/>
      <c r="C334" s="350">
        <f t="shared" ref="C334:AH334" si="60">C12</f>
        <v>1599</v>
      </c>
      <c r="D334" s="80">
        <f t="shared" si="60"/>
        <v>74325.572824929448</v>
      </c>
      <c r="E334" s="85">
        <f t="shared" si="60"/>
        <v>1876720.7138294687</v>
      </c>
      <c r="F334" s="80">
        <f t="shared" si="60"/>
        <v>18800.93859927771</v>
      </c>
      <c r="G334" s="43">
        <f t="shared" si="60"/>
        <v>507625.34218049818</v>
      </c>
      <c r="H334" s="43">
        <f t="shared" si="60"/>
        <v>803.68888888888887</v>
      </c>
      <c r="I334" s="98">
        <f t="shared" si="60"/>
        <v>21699.599999999999</v>
      </c>
      <c r="J334" s="80">
        <f t="shared" si="60"/>
        <v>1736.2047688912508</v>
      </c>
      <c r="K334" s="43">
        <f t="shared" si="60"/>
        <v>39100.02127352314</v>
      </c>
      <c r="L334" s="43">
        <f t="shared" si="60"/>
        <v>3200</v>
      </c>
      <c r="M334" s="80">
        <f t="shared" si="60"/>
        <v>19500</v>
      </c>
      <c r="N334" s="80">
        <f t="shared" si="60"/>
        <v>5027.1484419893941</v>
      </c>
      <c r="O334" s="43">
        <f t="shared" si="60"/>
        <v>97770</v>
      </c>
      <c r="P334" s="43">
        <f t="shared" si="60"/>
        <v>2511.5218817982691</v>
      </c>
      <c r="Q334" s="43">
        <f t="shared" si="60"/>
        <v>55137.548227181876</v>
      </c>
      <c r="R334" s="80">
        <f t="shared" si="60"/>
        <v>2045.1525183415624</v>
      </c>
      <c r="S334" s="43">
        <f t="shared" si="60"/>
        <v>42308.425010683772</v>
      </c>
      <c r="T334" s="80">
        <f t="shared" si="60"/>
        <v>318.36631308873984</v>
      </c>
      <c r="U334" s="43">
        <f t="shared" si="60"/>
        <v>8595.8904533959758</v>
      </c>
      <c r="V334" s="80">
        <f t="shared" si="60"/>
        <v>60855.223636901217</v>
      </c>
      <c r="W334" s="183">
        <f t="shared" si="60"/>
        <v>1536594.3968317555</v>
      </c>
      <c r="X334" s="177">
        <f t="shared" si="60"/>
        <v>0.79135135945305668</v>
      </c>
      <c r="Y334" s="177">
        <f t="shared" si="60"/>
        <v>7.6832970114271773E-2</v>
      </c>
      <c r="Z334" s="177">
        <f t="shared" si="60"/>
        <v>7.4629678922071882E-2</v>
      </c>
      <c r="AA334" s="177">
        <f t="shared" si="60"/>
        <v>0.26907865672734127</v>
      </c>
      <c r="AB334" s="177">
        <f t="shared" si="60"/>
        <v>0.18746932298428201</v>
      </c>
      <c r="AC334" s="177">
        <f t="shared" si="60"/>
        <v>0.15976935660476105</v>
      </c>
      <c r="AD334" s="177">
        <f t="shared" si="60"/>
        <v>1.5192651038279938E-2</v>
      </c>
      <c r="AE334" s="202">
        <f t="shared" si="60"/>
        <v>0.81876561893768329</v>
      </c>
      <c r="AF334" s="176">
        <f t="shared" si="60"/>
        <v>0.52049999999999996</v>
      </c>
      <c r="AG334" s="177">
        <f t="shared" si="60"/>
        <v>0.1888</v>
      </c>
      <c r="AH334" s="177">
        <f t="shared" si="60"/>
        <v>0.75849143961912124</v>
      </c>
      <c r="AI334" s="173" t="str">
        <f>A334</f>
        <v>PSG</v>
      </c>
    </row>
    <row r="335" spans="1:35" x14ac:dyDescent="0.25">
      <c r="A335" s="45" t="s">
        <v>35</v>
      </c>
      <c r="B335" s="45"/>
      <c r="C335" s="350">
        <f t="shared" ref="C335:AE335" si="61">C15</f>
        <v>476</v>
      </c>
      <c r="D335" s="80">
        <f t="shared" si="61"/>
        <v>59023.859505874927</v>
      </c>
      <c r="E335" s="85">
        <f t="shared" si="61"/>
        <v>914869.82234106131</v>
      </c>
      <c r="F335" s="80">
        <f t="shared" si="61"/>
        <v>9845.3734169938525</v>
      </c>
      <c r="G335" s="43">
        <f t="shared" si="61"/>
        <v>201907.35503164498</v>
      </c>
      <c r="H335" s="43">
        <f t="shared" si="61"/>
        <v>760.62257076833043</v>
      </c>
      <c r="I335" s="98">
        <f t="shared" si="61"/>
        <v>12693.345631009699</v>
      </c>
      <c r="J335" s="80">
        <f t="shared" si="61"/>
        <v>1045.7149798884443</v>
      </c>
      <c r="K335" s="43">
        <f t="shared" si="61"/>
        <v>14572.812202850211</v>
      </c>
      <c r="L335" s="43">
        <f t="shared" si="61"/>
        <v>359.97065234166251</v>
      </c>
      <c r="M335" s="80">
        <f t="shared" si="61"/>
        <v>7113.2040050125779</v>
      </c>
      <c r="N335" s="80">
        <f t="shared" si="61"/>
        <v>4102.0582694409104</v>
      </c>
      <c r="O335" s="43">
        <f t="shared" si="61"/>
        <v>53326.757502731831</v>
      </c>
      <c r="P335" s="43">
        <f t="shared" si="61"/>
        <v>2112.2722007606008</v>
      </c>
      <c r="Q335" s="43">
        <f t="shared" si="61"/>
        <v>46187.06144017577</v>
      </c>
      <c r="R335" s="80">
        <f t="shared" si="61"/>
        <v>1797.2830899668634</v>
      </c>
      <c r="S335" s="43">
        <f t="shared" si="61"/>
        <v>34232.618787640342</v>
      </c>
      <c r="T335" s="80">
        <f t="shared" si="61"/>
        <v>160.65968970673168</v>
      </c>
      <c r="U335" s="43">
        <f t="shared" si="61"/>
        <v>2360.1595466040221</v>
      </c>
      <c r="V335" s="80">
        <f t="shared" si="61"/>
        <v>4689.3783964644399</v>
      </c>
      <c r="W335" s="183">
        <f t="shared" si="61"/>
        <v>40490.946806249143</v>
      </c>
      <c r="X335" s="177">
        <f t="shared" si="61"/>
        <v>0.78643793889122904</v>
      </c>
      <c r="Y335" s="177">
        <f t="shared" si="61"/>
        <v>7.4343766720547502E-2</v>
      </c>
      <c r="Z335" s="177">
        <f t="shared" si="61"/>
        <v>2.9625583897589965E-2</v>
      </c>
      <c r="AA335" s="177">
        <f t="shared" si="61"/>
        <v>0.26907865672734127</v>
      </c>
      <c r="AB335" s="177">
        <f t="shared" si="61"/>
        <v>0.18746932298428198</v>
      </c>
      <c r="AC335" s="177">
        <f t="shared" si="61"/>
        <v>0.15976935660476102</v>
      </c>
      <c r="AD335" s="177">
        <f t="shared" si="61"/>
        <v>1.2133239325890664E-2</v>
      </c>
      <c r="AE335" s="202">
        <f t="shared" si="61"/>
        <v>0.81876561893768329</v>
      </c>
      <c r="AF335" s="176"/>
      <c r="AG335" s="177"/>
      <c r="AH335" s="177">
        <f>AH15</f>
        <v>0.68715727962925022</v>
      </c>
      <c r="AI335" s="173" t="str">
        <f>A335</f>
        <v>KiGa</v>
      </c>
    </row>
    <row r="336" spans="1:35" x14ac:dyDescent="0.25">
      <c r="A336" s="45" t="s">
        <v>36</v>
      </c>
      <c r="B336" s="45"/>
      <c r="C336" s="350">
        <f t="shared" ref="C336:AE336" si="62">C16</f>
        <v>1775</v>
      </c>
      <c r="D336" s="80">
        <f t="shared" si="62"/>
        <v>26239.185145667565</v>
      </c>
      <c r="E336" s="85">
        <f t="shared" si="62"/>
        <v>708457.99893302424</v>
      </c>
      <c r="F336" s="80">
        <f t="shared" si="62"/>
        <v>18800.93859927771</v>
      </c>
      <c r="G336" s="43">
        <f t="shared" si="62"/>
        <v>507625.34218049818</v>
      </c>
      <c r="H336" s="43">
        <f t="shared" si="62"/>
        <v>413.50745664739878</v>
      </c>
      <c r="I336" s="98">
        <f t="shared" si="62"/>
        <v>9132.1588922306255</v>
      </c>
      <c r="J336" s="80">
        <f t="shared" si="62"/>
        <v>1448.1489360564126</v>
      </c>
      <c r="K336" s="43">
        <f t="shared" si="62"/>
        <v>39100.02127352314</v>
      </c>
      <c r="L336" s="43">
        <f t="shared" si="62"/>
        <v>323.30330330330332</v>
      </c>
      <c r="M336" s="80">
        <f t="shared" si="62"/>
        <v>8630.3727152902502</v>
      </c>
      <c r="N336" s="80">
        <f t="shared" si="62"/>
        <v>2178.702876020076</v>
      </c>
      <c r="O336" s="43">
        <f t="shared" si="62"/>
        <v>41831.095219585455</v>
      </c>
      <c r="P336" s="43">
        <f t="shared" si="62"/>
        <v>2511.5218817982691</v>
      </c>
      <c r="Q336" s="43">
        <f t="shared" si="62"/>
        <v>39179.741356052997</v>
      </c>
      <c r="R336" s="80">
        <f t="shared" si="62"/>
        <v>1528.5774209957231</v>
      </c>
      <c r="S336" s="43">
        <f t="shared" si="62"/>
        <v>29459.855750099392</v>
      </c>
      <c r="T336" s="80">
        <f t="shared" si="62"/>
        <v>318.36631308873984</v>
      </c>
      <c r="U336" s="43">
        <f t="shared" si="62"/>
        <v>8595.8904533959758</v>
      </c>
      <c r="V336" s="80">
        <f t="shared" si="62"/>
        <v>60855.223636901217</v>
      </c>
      <c r="W336" s="183">
        <f t="shared" si="62"/>
        <v>16419.694827586231</v>
      </c>
      <c r="X336" s="177">
        <f t="shared" si="62"/>
        <v>0.78648178170835481</v>
      </c>
      <c r="Y336" s="177">
        <f t="shared" si="62"/>
        <v>6.710679720333472E-2</v>
      </c>
      <c r="Z336" s="177">
        <f t="shared" si="62"/>
        <v>3.024855216166588E-2</v>
      </c>
      <c r="AA336" s="177">
        <f t="shared" si="62"/>
        <v>0.19826501337030616</v>
      </c>
      <c r="AB336" s="177">
        <f t="shared" si="62"/>
        <v>0.18537337383549346</v>
      </c>
      <c r="AC336" s="177">
        <f t="shared" si="62"/>
        <v>0.15976935660476105</v>
      </c>
      <c r="AD336" s="177">
        <f t="shared" si="62"/>
        <v>1.2133239325890664E-2</v>
      </c>
      <c r="AE336" s="202">
        <f t="shared" si="62"/>
        <v>0.17871661678635314</v>
      </c>
      <c r="AF336" s="176">
        <f>AF16</f>
        <v>0.27100000000000002</v>
      </c>
      <c r="AG336" s="177">
        <f>AG16</f>
        <v>0.12909999999999999</v>
      </c>
      <c r="AH336" s="177">
        <f>AH16</f>
        <v>0.54276542526099558</v>
      </c>
      <c r="AI336" s="173" t="str">
        <f>A336</f>
        <v>VSG</v>
      </c>
    </row>
    <row r="337" spans="1:35" x14ac:dyDescent="0.25">
      <c r="A337" s="45" t="s">
        <v>37</v>
      </c>
      <c r="B337" s="45"/>
      <c r="C337" s="350">
        <f t="shared" ref="C337:AE337" si="63">C17</f>
        <v>1180</v>
      </c>
      <c r="D337" s="80">
        <f t="shared" si="63"/>
        <v>27614.636427546629</v>
      </c>
      <c r="E337" s="85">
        <f t="shared" si="63"/>
        <v>441359.76428571431</v>
      </c>
      <c r="F337" s="80">
        <f t="shared" si="63"/>
        <v>14424.684433962264</v>
      </c>
      <c r="G337" s="43">
        <f t="shared" si="63"/>
        <v>254836.09166666667</v>
      </c>
      <c r="H337" s="43">
        <f t="shared" si="63"/>
        <v>1000.4186991869918</v>
      </c>
      <c r="I337" s="98">
        <f t="shared" si="63"/>
        <v>20653.778571428575</v>
      </c>
      <c r="J337" s="80">
        <f t="shared" si="63"/>
        <v>1010.9734513274336</v>
      </c>
      <c r="K337" s="43">
        <f t="shared" si="63"/>
        <v>18945.141666666666</v>
      </c>
      <c r="L337" s="43">
        <f t="shared" si="63"/>
        <v>405.79710144927537</v>
      </c>
      <c r="M337" s="80">
        <f t="shared" si="63"/>
        <v>7000</v>
      </c>
      <c r="N337" s="80">
        <f t="shared" si="63"/>
        <v>8662.9363701578204</v>
      </c>
      <c r="O337" s="43">
        <f t="shared" si="63"/>
        <v>137228.78750000001</v>
      </c>
      <c r="P337" s="43">
        <f t="shared" si="63"/>
        <v>3497.7361963190183</v>
      </c>
      <c r="Q337" s="43">
        <f t="shared" si="63"/>
        <v>81447.28571428571</v>
      </c>
      <c r="R337" s="80">
        <f t="shared" si="63"/>
        <v>3133.9928104575165</v>
      </c>
      <c r="S337" s="43">
        <f t="shared" si="63"/>
        <v>68500.128571428577</v>
      </c>
      <c r="T337" s="80">
        <f t="shared" si="63"/>
        <v>89.309756097560978</v>
      </c>
      <c r="U337" s="43">
        <f t="shared" si="63"/>
        <v>1569.3</v>
      </c>
      <c r="V337" s="80">
        <f t="shared" si="63"/>
        <v>3710.9914634146339</v>
      </c>
      <c r="W337" s="183">
        <f t="shared" si="63"/>
        <v>68752.494999999981</v>
      </c>
      <c r="X337" s="177">
        <f t="shared" si="63"/>
        <v>0.91728921473934033</v>
      </c>
      <c r="Y337" s="177">
        <f t="shared" si="63"/>
        <v>7.3486258812569732E-2</v>
      </c>
      <c r="Z337" s="177">
        <f t="shared" si="63"/>
        <v>2.3647815782163753E-2</v>
      </c>
      <c r="AA337" s="177">
        <f t="shared" si="63"/>
        <v>0.31370814505876377</v>
      </c>
      <c r="AB337" s="177">
        <f t="shared" si="63"/>
        <v>0.2068073685583198</v>
      </c>
      <c r="AC337" s="177">
        <f t="shared" si="63"/>
        <v>0.15520247678736074</v>
      </c>
      <c r="AD337" s="177">
        <f t="shared" si="63"/>
        <v>5.648529336374033E-3</v>
      </c>
      <c r="AE337" s="202">
        <f t="shared" si="63"/>
        <v>0.16966653567240247</v>
      </c>
      <c r="AF337" s="176">
        <f>AF17</f>
        <v>0.2707</v>
      </c>
      <c r="AG337" s="177">
        <f>AG17</f>
        <v>0.16700000000000001</v>
      </c>
      <c r="AH337" s="177">
        <f>AH17</f>
        <v>0.35511927649548852</v>
      </c>
      <c r="AI337" s="173" t="str">
        <f>A337</f>
        <v>OSG</v>
      </c>
    </row>
    <row r="338" spans="1:35" x14ac:dyDescent="0.25">
      <c r="C338" s="351"/>
      <c r="D338" s="103"/>
      <c r="E338" s="103"/>
      <c r="F338" s="103"/>
      <c r="G338" s="103"/>
      <c r="H338" s="103"/>
      <c r="I338" s="103"/>
      <c r="J338" s="103"/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97"/>
      <c r="X338" s="179"/>
      <c r="Y338" s="179"/>
      <c r="Z338" s="179"/>
      <c r="AA338" s="179"/>
      <c r="AB338" s="179"/>
      <c r="AC338" s="179"/>
      <c r="AD338" s="179"/>
      <c r="AE338" s="203"/>
      <c r="AF338" s="179"/>
      <c r="AG338" s="179"/>
      <c r="AH338" s="179"/>
      <c r="AI338" s="189"/>
    </row>
    <row r="339" spans="1:35" x14ac:dyDescent="0.25">
      <c r="A339" s="5" t="s">
        <v>38</v>
      </c>
      <c r="B339" s="5"/>
      <c r="C339" s="351"/>
      <c r="D339" s="103"/>
      <c r="E339" s="103"/>
      <c r="F339" s="103"/>
      <c r="G339" s="103"/>
      <c r="H339" s="103"/>
      <c r="I339" s="103"/>
      <c r="J339" s="103"/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97"/>
      <c r="X339" s="179"/>
      <c r="Y339" s="179"/>
      <c r="Z339" s="179"/>
      <c r="AA339" s="179"/>
      <c r="AB339" s="179"/>
      <c r="AC339" s="179"/>
      <c r="AD339" s="179"/>
      <c r="AE339" s="203"/>
      <c r="AF339" s="179"/>
      <c r="AG339" s="179"/>
      <c r="AH339" s="179"/>
      <c r="AI339" s="191"/>
    </row>
    <row r="340" spans="1:35" x14ac:dyDescent="0.25">
      <c r="A340" s="45" t="s">
        <v>34</v>
      </c>
      <c r="B340" s="45"/>
      <c r="C340" s="350">
        <f t="shared" ref="C340:AH340" si="64">C20</f>
        <v>17</v>
      </c>
      <c r="D340" s="80">
        <f t="shared" si="64"/>
        <v>7815.6957142857136</v>
      </c>
      <c r="E340" s="85">
        <f t="shared" si="64"/>
        <v>146236.84270559862</v>
      </c>
      <c r="F340" s="80">
        <f t="shared" si="64"/>
        <v>4888.6735137435217</v>
      </c>
      <c r="G340" s="43">
        <f t="shared" si="64"/>
        <v>94218.071355784239</v>
      </c>
      <c r="H340" s="43">
        <f t="shared" si="64"/>
        <v>116.7235294117647</v>
      </c>
      <c r="I340" s="98">
        <f t="shared" si="64"/>
        <v>2228.8095822530436</v>
      </c>
      <c r="J340" s="80">
        <f t="shared" si="64"/>
        <v>23.820137853938096</v>
      </c>
      <c r="K340" s="43">
        <f t="shared" si="64"/>
        <v>446.62758476133934</v>
      </c>
      <c r="L340" s="43">
        <f t="shared" si="64"/>
        <v>0</v>
      </c>
      <c r="M340" s="80">
        <f t="shared" si="64"/>
        <v>0</v>
      </c>
      <c r="N340" s="80">
        <f t="shared" si="64"/>
        <v>0</v>
      </c>
      <c r="O340" s="43">
        <f t="shared" si="64"/>
        <v>0</v>
      </c>
      <c r="P340" s="43">
        <f t="shared" si="64"/>
        <v>-437.85939856968554</v>
      </c>
      <c r="Q340" s="43">
        <f t="shared" si="64"/>
        <v>-8757.1879713937105</v>
      </c>
      <c r="R340" s="80">
        <f t="shared" si="64"/>
        <v>0</v>
      </c>
      <c r="S340" s="43">
        <f t="shared" si="64"/>
        <v>0</v>
      </c>
      <c r="T340" s="80">
        <f t="shared" si="64"/>
        <v>-35.438972538212973</v>
      </c>
      <c r="U340" s="43">
        <f t="shared" si="64"/>
        <v>-703.93685824350985</v>
      </c>
      <c r="V340" s="80">
        <f t="shared" si="64"/>
        <v>132.11041666666637</v>
      </c>
      <c r="W340" s="183">
        <f t="shared" si="64"/>
        <v>3170.6499999999819</v>
      </c>
      <c r="X340" s="177">
        <f t="shared" si="64"/>
        <v>9.3787153759295736E-2</v>
      </c>
      <c r="Y340" s="177">
        <f t="shared" si="64"/>
        <v>2.9282940703047097E-3</v>
      </c>
      <c r="Z340" s="177">
        <f t="shared" si="64"/>
        <v>0</v>
      </c>
      <c r="AA340" s="177">
        <f t="shared" si="64"/>
        <v>0</v>
      </c>
      <c r="AB340" s="177">
        <f t="shared" si="64"/>
        <v>-3.625754406724882E-2</v>
      </c>
      <c r="AC340" s="177">
        <f t="shared" si="64"/>
        <v>0</v>
      </c>
      <c r="AD340" s="177">
        <f t="shared" si="64"/>
        <v>-3.3411762933303175E-3</v>
      </c>
      <c r="AE340" s="204">
        <f t="shared" si="64"/>
        <v>1.3280778202961696E-2</v>
      </c>
      <c r="AF340" s="176">
        <f t="shared" si="64"/>
        <v>-9.35E-2</v>
      </c>
      <c r="AG340" s="177">
        <f t="shared" si="64"/>
        <v>-0.1709</v>
      </c>
      <c r="AH340" s="177">
        <f t="shared" si="64"/>
        <v>0</v>
      </c>
      <c r="AI340" s="173" t="str">
        <f>A340</f>
        <v>PSG</v>
      </c>
    </row>
    <row r="341" spans="1:35" x14ac:dyDescent="0.25">
      <c r="A341" s="45" t="s">
        <v>35</v>
      </c>
      <c r="B341" s="45"/>
      <c r="C341" s="350">
        <f t="shared" ref="C341:AE341" si="65">C23</f>
        <v>11</v>
      </c>
      <c r="D341" s="80">
        <f t="shared" si="65"/>
        <v>4056.3619518825399</v>
      </c>
      <c r="E341" s="85">
        <f t="shared" si="65"/>
        <v>90126.264663319467</v>
      </c>
      <c r="F341" s="80">
        <f t="shared" si="65"/>
        <v>2942.0607141669411</v>
      </c>
      <c r="G341" s="43">
        <f t="shared" si="65"/>
        <v>51218.603771593356</v>
      </c>
      <c r="H341" s="43">
        <f t="shared" si="65"/>
        <v>0</v>
      </c>
      <c r="I341" s="98">
        <f t="shared" si="65"/>
        <v>0</v>
      </c>
      <c r="J341" s="80">
        <f t="shared" si="65"/>
        <v>19.299507664506805</v>
      </c>
      <c r="K341" s="43">
        <f t="shared" si="65"/>
        <v>405.2896609546429</v>
      </c>
      <c r="L341" s="43">
        <f t="shared" si="65"/>
        <v>0</v>
      </c>
      <c r="M341" s="80">
        <f t="shared" si="65"/>
        <v>0</v>
      </c>
      <c r="N341" s="80">
        <f t="shared" si="65"/>
        <v>0</v>
      </c>
      <c r="O341" s="43">
        <f t="shared" si="65"/>
        <v>0</v>
      </c>
      <c r="P341" s="43">
        <f t="shared" si="65"/>
        <v>-206.05075178789312</v>
      </c>
      <c r="Q341" s="43">
        <f t="shared" si="65"/>
        <v>-6593.6240572125798</v>
      </c>
      <c r="R341" s="80">
        <f t="shared" si="65"/>
        <v>0</v>
      </c>
      <c r="S341" s="43">
        <f t="shared" si="65"/>
        <v>0</v>
      </c>
      <c r="T341" s="80">
        <f t="shared" si="65"/>
        <v>-23.602275023944248</v>
      </c>
      <c r="U341" s="43">
        <f t="shared" si="65"/>
        <v>-510.66740506352102</v>
      </c>
      <c r="V341" s="80">
        <f t="shared" si="65"/>
        <v>101</v>
      </c>
      <c r="W341" s="183">
        <f t="shared" si="65"/>
        <v>2020</v>
      </c>
      <c r="X341" s="177">
        <f t="shared" si="65"/>
        <v>9.3787153759295736E-2</v>
      </c>
      <c r="Y341" s="177">
        <f t="shared" si="65"/>
        <v>2.9282940703047101E-3</v>
      </c>
      <c r="Z341" s="177">
        <f t="shared" si="65"/>
        <v>0</v>
      </c>
      <c r="AA341" s="177">
        <f t="shared" si="65"/>
        <v>0</v>
      </c>
      <c r="AB341" s="177">
        <f t="shared" si="65"/>
        <v>-3.625754406724882E-2</v>
      </c>
      <c r="AC341" s="177">
        <f t="shared" si="65"/>
        <v>0</v>
      </c>
      <c r="AD341" s="177">
        <f t="shared" si="65"/>
        <v>-3.3411762933303175E-3</v>
      </c>
      <c r="AE341" s="204">
        <f t="shared" si="65"/>
        <v>1.5873248277397861E-2</v>
      </c>
      <c r="AF341" s="176"/>
      <c r="AG341" s="177"/>
      <c r="AH341" s="177">
        <f>AH23</f>
        <v>0</v>
      </c>
      <c r="AI341" s="173" t="str">
        <f>A341</f>
        <v>KiGa</v>
      </c>
    </row>
    <row r="342" spans="1:35" x14ac:dyDescent="0.25">
      <c r="A342" s="45" t="s">
        <v>36</v>
      </c>
      <c r="B342" s="45"/>
      <c r="C342" s="350">
        <f t="shared" ref="C342:AE342" si="66">C24</f>
        <v>27</v>
      </c>
      <c r="D342" s="80">
        <f t="shared" si="66"/>
        <v>9567.4004920551342</v>
      </c>
      <c r="E342" s="85">
        <f t="shared" si="66"/>
        <v>182130.86648648648</v>
      </c>
      <c r="F342" s="80">
        <f t="shared" si="66"/>
        <v>4888.6735137435217</v>
      </c>
      <c r="G342" s="43">
        <f t="shared" si="66"/>
        <v>94218.071355784239</v>
      </c>
      <c r="H342" s="43">
        <f t="shared" si="66"/>
        <v>309.34977477477474</v>
      </c>
      <c r="I342" s="98">
        <f t="shared" si="66"/>
        <v>5971.7956521739125</v>
      </c>
      <c r="J342" s="80">
        <f t="shared" si="66"/>
        <v>276.72933526011565</v>
      </c>
      <c r="K342" s="43">
        <f t="shared" si="66"/>
        <v>5175.586486486487</v>
      </c>
      <c r="L342" s="43">
        <f t="shared" si="66"/>
        <v>82.707129895831116</v>
      </c>
      <c r="M342" s="80">
        <f t="shared" si="66"/>
        <v>1593.9919579923815</v>
      </c>
      <c r="N342" s="80">
        <f t="shared" si="66"/>
        <v>0</v>
      </c>
      <c r="O342" s="43">
        <f t="shared" si="66"/>
        <v>0</v>
      </c>
      <c r="P342" s="43">
        <f t="shared" si="66"/>
        <v>636.28921126760565</v>
      </c>
      <c r="Q342" s="43">
        <f t="shared" si="66"/>
        <v>12981.762643678161</v>
      </c>
      <c r="R342" s="80">
        <f t="shared" si="66"/>
        <v>0</v>
      </c>
      <c r="S342" s="43">
        <f t="shared" si="66"/>
        <v>0</v>
      </c>
      <c r="T342" s="80">
        <f t="shared" si="66"/>
        <v>10.896846846846847</v>
      </c>
      <c r="U342" s="43">
        <f t="shared" si="66"/>
        <v>210.35652173913041</v>
      </c>
      <c r="V342" s="80">
        <f t="shared" si="66"/>
        <v>198.70243083003777</v>
      </c>
      <c r="W342" s="183">
        <f t="shared" si="66"/>
        <v>4021.7371999999641</v>
      </c>
      <c r="X342" s="177">
        <f t="shared" si="66"/>
        <v>0.5109719738191294</v>
      </c>
      <c r="Y342" s="177">
        <f t="shared" si="66"/>
        <v>2.8416855343245725E-2</v>
      </c>
      <c r="Z342" s="177">
        <f t="shared" si="66"/>
        <v>8.644681485269895E-3</v>
      </c>
      <c r="AA342" s="177">
        <f t="shared" si="66"/>
        <v>0</v>
      </c>
      <c r="AB342" s="177">
        <f t="shared" si="66"/>
        <v>3.7438392058545385E-2</v>
      </c>
      <c r="AC342" s="177">
        <f t="shared" si="66"/>
        <v>0</v>
      </c>
      <c r="AD342" s="177">
        <f t="shared" si="66"/>
        <v>8.8783024066288192E-4</v>
      </c>
      <c r="AE342" s="204">
        <f t="shared" si="66"/>
        <v>1.718391862785644E-2</v>
      </c>
      <c r="AF342" s="176">
        <f>AF24</f>
        <v>0</v>
      </c>
      <c r="AG342" s="177">
        <f>AG24</f>
        <v>0</v>
      </c>
      <c r="AH342" s="177">
        <f>AH24</f>
        <v>2.3510270453316974E-2</v>
      </c>
      <c r="AI342" s="173" t="str">
        <f>A342</f>
        <v>VSG</v>
      </c>
    </row>
    <row r="343" spans="1:35" x14ac:dyDescent="0.25">
      <c r="A343" s="45" t="s">
        <v>37</v>
      </c>
      <c r="B343" s="45"/>
      <c r="C343" s="350">
        <f t="shared" ref="C343:AE343" si="67">C25</f>
        <v>106</v>
      </c>
      <c r="D343" s="80">
        <f t="shared" si="67"/>
        <v>12672.257103825135</v>
      </c>
      <c r="E343" s="85">
        <f t="shared" si="67"/>
        <v>222082.33571428573</v>
      </c>
      <c r="F343" s="80">
        <f t="shared" si="67"/>
        <v>8933.5084362139914</v>
      </c>
      <c r="G343" s="43">
        <f t="shared" si="67"/>
        <v>151616.38571428572</v>
      </c>
      <c r="H343" s="43">
        <f t="shared" si="67"/>
        <v>253.1010054844607</v>
      </c>
      <c r="I343" s="98">
        <f t="shared" si="67"/>
        <v>5537.85</v>
      </c>
      <c r="J343" s="80">
        <f t="shared" si="67"/>
        <v>500.19863945578231</v>
      </c>
      <c r="K343" s="43">
        <f t="shared" si="67"/>
        <v>8904.7333333333336</v>
      </c>
      <c r="L343" s="43">
        <f t="shared" si="67"/>
        <v>149.53271028037383</v>
      </c>
      <c r="M343" s="80">
        <f t="shared" si="67"/>
        <v>2405.5555555555557</v>
      </c>
      <c r="N343" s="80">
        <f t="shared" si="67"/>
        <v>0</v>
      </c>
      <c r="O343" s="43">
        <f t="shared" si="67"/>
        <v>0</v>
      </c>
      <c r="P343" s="43">
        <f t="shared" si="67"/>
        <v>0</v>
      </c>
      <c r="Q343" s="43">
        <f t="shared" si="67"/>
        <v>0</v>
      </c>
      <c r="R343" s="80">
        <f t="shared" si="67"/>
        <v>0</v>
      </c>
      <c r="S343" s="43">
        <f t="shared" si="67"/>
        <v>0</v>
      </c>
      <c r="T343" s="80">
        <f t="shared" si="67"/>
        <v>7.5783171521035593</v>
      </c>
      <c r="U343" s="43">
        <f t="shared" si="67"/>
        <v>137.74705882352941</v>
      </c>
      <c r="V343" s="80">
        <f t="shared" si="67"/>
        <v>42.297267759560796</v>
      </c>
      <c r="W343" s="183">
        <f t="shared" si="67"/>
        <v>860.04444444442515</v>
      </c>
      <c r="X343" s="177">
        <f t="shared" si="67"/>
        <v>0.42901753264659759</v>
      </c>
      <c r="Y343" s="177">
        <f t="shared" si="67"/>
        <v>3.2298190854134927E-2</v>
      </c>
      <c r="Z343" s="177">
        <f t="shared" si="67"/>
        <v>8.7110767013522435E-3</v>
      </c>
      <c r="AA343" s="177">
        <f t="shared" si="67"/>
        <v>0</v>
      </c>
      <c r="AB343" s="177">
        <f t="shared" si="67"/>
        <v>0</v>
      </c>
      <c r="AC343" s="177">
        <f t="shared" si="67"/>
        <v>0</v>
      </c>
      <c r="AD343" s="177">
        <f t="shared" si="67"/>
        <v>4.644455313306859E-4</v>
      </c>
      <c r="AE343" s="204">
        <f t="shared" si="67"/>
        <v>3.3377848486670497E-3</v>
      </c>
      <c r="AF343" s="176">
        <f>AF25</f>
        <v>-1.5900000000000001E-2</v>
      </c>
      <c r="AG343" s="177">
        <f>AG25</f>
        <v>-5.3E-3</v>
      </c>
      <c r="AH343" s="177">
        <f>AH25</f>
        <v>1.138054127374874E-2</v>
      </c>
      <c r="AI343" s="173" t="str">
        <f>A343</f>
        <v>OSG</v>
      </c>
    </row>
    <row r="344" spans="1:35" x14ac:dyDescent="0.25">
      <c r="A344" s="2"/>
      <c r="B344" s="2"/>
      <c r="C344" s="150"/>
      <c r="D344" s="150"/>
      <c r="E344" s="150"/>
      <c r="F344" s="150"/>
      <c r="H344" s="150"/>
      <c r="J344" s="150"/>
      <c r="L344" s="150"/>
      <c r="M344" s="150"/>
      <c r="N344" s="150"/>
      <c r="P344" s="150"/>
      <c r="R344" s="150"/>
      <c r="T344" s="150"/>
      <c r="V344" s="150"/>
      <c r="W344" s="150"/>
      <c r="X344" s="150"/>
      <c r="Y344" s="181"/>
      <c r="Z344" s="181"/>
      <c r="AA344" s="181"/>
      <c r="AB344" s="181"/>
      <c r="AC344" s="181"/>
      <c r="AD344" s="181"/>
      <c r="AE344" s="181"/>
      <c r="AF344" s="181"/>
      <c r="AG344" s="181"/>
      <c r="AH344" s="181"/>
      <c r="AI344" s="182"/>
    </row>
    <row r="345" spans="1:35" x14ac:dyDescent="0.25">
      <c r="A345" s="300" t="s">
        <v>46</v>
      </c>
      <c r="B345" s="300"/>
      <c r="C345" s="301"/>
      <c r="D345" s="302"/>
      <c r="E345" s="302"/>
      <c r="F345" s="302"/>
      <c r="G345" s="302"/>
    </row>
    <row r="350" spans="1:35" x14ac:dyDescent="0.25">
      <c r="A350"/>
      <c r="B350"/>
      <c r="C350" s="6"/>
      <c r="D350" s="166"/>
      <c r="E350" s="166"/>
      <c r="F350" s="166"/>
      <c r="G350" s="166"/>
      <c r="AI350" s="23"/>
    </row>
    <row r="351" spans="1:35" x14ac:dyDescent="0.25">
      <c r="A351"/>
      <c r="B351"/>
      <c r="C351" s="151"/>
      <c r="D351" s="166"/>
      <c r="E351" s="166"/>
      <c r="F351" s="166"/>
      <c r="G351" s="166"/>
      <c r="AI351" s="23"/>
    </row>
    <row r="352" spans="1:35" x14ac:dyDescent="0.25">
      <c r="A352"/>
      <c r="B352"/>
      <c r="C352"/>
      <c r="AI352" s="23"/>
    </row>
    <row r="353" spans="1:35" x14ac:dyDescent="0.25">
      <c r="A353"/>
      <c r="B353"/>
      <c r="C353" s="4"/>
      <c r="AI353" s="23"/>
    </row>
  </sheetData>
  <sheetProtection password="D1CE" sheet="1" objects="1" scenarios="1"/>
  <printOptions horizontalCentered="1"/>
  <pageMargins left="0.23622047244094491" right="0.23622047244094491" top="0.39370078740157483" bottom="0.19685039370078741" header="0" footer="0"/>
  <pageSetup paperSize="8" scale="73" orientation="landscape" horizontalDpi="4294967292" r:id="rId1"/>
  <headerFooter alignWithMargins="0"/>
  <rowBreaks count="1" manualBreakCount="1">
    <brk id="149" max="6553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W394"/>
  <sheetViews>
    <sheetView workbookViewId="0">
      <pane xSplit="2" ySplit="7" topLeftCell="C8" activePane="bottomRight" state="frozen"/>
      <selection pane="topRight"/>
      <selection pane="bottomLeft"/>
      <selection pane="bottomRight" activeCell="E15" sqref="E15"/>
    </sheetView>
  </sheetViews>
  <sheetFormatPr baseColWidth="10" defaultColWidth="0" defaultRowHeight="13.5" x14ac:dyDescent="0.25"/>
  <cols>
    <col min="1" max="1" width="25.5703125" style="207" customWidth="1"/>
    <col min="2" max="2" width="5.42578125" style="207" customWidth="1"/>
    <col min="3" max="3" width="7.85546875" style="229" customWidth="1"/>
    <col min="4" max="4" width="8.28515625" style="207" customWidth="1"/>
    <col min="5" max="6" width="12.140625" style="205" customWidth="1"/>
    <col min="7" max="7" width="11" style="205" customWidth="1"/>
    <col min="8" max="9" width="11.42578125" style="205" customWidth="1"/>
    <col min="10" max="10" width="12.140625" style="228" customWidth="1"/>
    <col min="11" max="12" width="14.140625" style="228" customWidth="1"/>
    <col min="13" max="13" width="14.140625" style="230" customWidth="1"/>
    <col min="14" max="15" width="12" style="205" customWidth="1"/>
    <col min="16" max="17" width="11.28515625" style="228" customWidth="1"/>
    <col min="18" max="18" width="11.28515625" style="205" customWidth="1"/>
    <col min="19" max="19" width="10.5703125" style="206" customWidth="1"/>
    <col min="20" max="20" width="10.28515625" style="205" customWidth="1"/>
    <col min="21" max="21" width="10.7109375" style="205" customWidth="1"/>
    <col min="22" max="22" width="11.28515625" style="228" customWidth="1"/>
    <col min="23" max="23" width="11.28515625" style="205" customWidth="1"/>
    <col min="24" max="24" width="9.42578125" style="206" customWidth="1"/>
    <col min="25" max="25" width="9.42578125" style="205" hidden="1"/>
    <col min="26" max="26" width="10.5703125" style="205" hidden="1"/>
    <col min="27" max="28" width="14.140625" style="228" hidden="1"/>
    <col min="29" max="30" width="13.28515625" style="205" hidden="1"/>
    <col min="31" max="31" width="10.28515625" style="206" hidden="1"/>
    <col min="32" max="33" width="10.28515625" style="205" customWidth="1"/>
    <col min="34" max="35" width="11.28515625" style="205" customWidth="1"/>
    <col min="36" max="36" width="11.28515625" style="206" customWidth="1"/>
    <col min="37" max="37" width="11.28515625" style="205" customWidth="1"/>
    <col min="38" max="38" width="11.7109375" style="205" customWidth="1"/>
    <col min="39" max="39" width="14.140625" style="228" customWidth="1"/>
    <col min="40" max="40" width="14.140625" style="205" customWidth="1"/>
    <col min="41" max="41" width="10.85546875" style="206" customWidth="1"/>
    <col min="42" max="42" width="10.85546875" style="205" customWidth="1"/>
    <col min="43" max="44" width="10.7109375" style="205" customWidth="1"/>
    <col min="45" max="45" width="10.7109375" style="206" customWidth="1"/>
    <col min="46" max="46" width="10.7109375" style="205" customWidth="1"/>
    <col min="47" max="47" width="10.7109375" style="205" hidden="1"/>
    <col min="48" max="48" width="8.7109375" style="206" hidden="1"/>
    <col min="49" max="49" width="14.140625" style="205" hidden="1"/>
    <col min="50" max="101" width="14.140625" style="207" hidden="1"/>
    <col min="102" max="16384" width="11.42578125" style="207" hidden="1"/>
  </cols>
  <sheetData>
    <row r="1" spans="1:49" s="240" customFormat="1" ht="40.15" customHeight="1" x14ac:dyDescent="0.25">
      <c r="A1" s="260" t="s">
        <v>47</v>
      </c>
      <c r="B1" s="260"/>
      <c r="C1" s="261"/>
      <c r="D1" s="260"/>
      <c r="E1" s="234"/>
      <c r="F1" s="234"/>
      <c r="G1" s="234"/>
      <c r="H1" s="234"/>
      <c r="I1" s="234"/>
      <c r="J1" s="234"/>
      <c r="K1" s="234"/>
      <c r="L1" s="234"/>
      <c r="M1" s="234"/>
      <c r="N1" s="234"/>
      <c r="O1" s="234"/>
      <c r="P1" s="234"/>
      <c r="Q1" s="234"/>
      <c r="R1" s="234"/>
      <c r="S1" s="252"/>
      <c r="T1" s="234"/>
      <c r="U1" s="234"/>
      <c r="V1" s="234"/>
      <c r="W1" s="234"/>
      <c r="X1" s="262" t="s">
        <v>48</v>
      </c>
      <c r="Y1" s="263"/>
      <c r="Z1" s="263"/>
      <c r="AA1" s="263"/>
      <c r="AB1" s="263"/>
      <c r="AC1" s="263"/>
      <c r="AD1" s="263"/>
      <c r="AE1" s="262"/>
      <c r="AF1" s="263"/>
      <c r="AG1" s="263"/>
      <c r="AH1" s="234"/>
      <c r="AI1" s="234"/>
      <c r="AJ1" s="252"/>
      <c r="AK1" s="234"/>
      <c r="AL1" s="234"/>
      <c r="AM1" s="234"/>
      <c r="AN1" s="234"/>
      <c r="AO1" s="252"/>
      <c r="AP1" s="234"/>
      <c r="AQ1" s="234"/>
      <c r="AR1" s="234"/>
      <c r="AS1" s="252"/>
      <c r="AT1" s="234"/>
      <c r="AU1" s="234"/>
      <c r="AV1" s="252"/>
      <c r="AW1" s="234"/>
    </row>
    <row r="2" spans="1:49" s="240" customFormat="1" ht="16.899999999999999" customHeight="1" x14ac:dyDescent="0.25">
      <c r="A2" s="414" t="s">
        <v>49</v>
      </c>
      <c r="B2" s="241"/>
      <c r="C2" s="264"/>
      <c r="D2" s="241"/>
      <c r="E2" s="241"/>
      <c r="F2" s="241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52"/>
      <c r="Y2" s="234"/>
      <c r="Z2" s="234"/>
      <c r="AA2" s="234"/>
      <c r="AB2" s="234"/>
      <c r="AC2" s="234"/>
      <c r="AD2" s="234"/>
      <c r="AE2" s="252"/>
      <c r="AF2" s="234"/>
      <c r="AG2" s="234"/>
      <c r="AH2" s="234"/>
      <c r="AI2" s="234"/>
      <c r="AJ2" s="252"/>
      <c r="AK2" s="234"/>
      <c r="AL2" s="234"/>
      <c r="AM2" s="234"/>
      <c r="AN2" s="234"/>
      <c r="AO2" s="252"/>
      <c r="AP2" s="234"/>
      <c r="AQ2" s="234"/>
      <c r="AR2" s="234"/>
      <c r="AS2" s="252"/>
      <c r="AT2" s="234"/>
      <c r="AU2" s="234"/>
      <c r="AV2" s="252"/>
      <c r="AW2" s="234"/>
    </row>
    <row r="3" spans="1:49" s="240" customFormat="1" x14ac:dyDescent="0.25"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380"/>
      <c r="W3" s="234"/>
      <c r="X3" s="252"/>
      <c r="Y3" s="234"/>
      <c r="Z3" s="234"/>
      <c r="AA3" s="234"/>
      <c r="AB3" s="234"/>
      <c r="AC3" s="234"/>
      <c r="AD3" s="234"/>
      <c r="AE3" s="252"/>
      <c r="AF3" s="234"/>
      <c r="AG3" s="234"/>
      <c r="AH3" s="234"/>
      <c r="AI3" s="234"/>
      <c r="AJ3" s="252"/>
      <c r="AK3" s="234"/>
      <c r="AL3" s="234"/>
      <c r="AM3" s="234"/>
      <c r="AN3" s="234"/>
      <c r="AO3" s="252"/>
      <c r="AP3" s="234"/>
      <c r="AQ3" s="234"/>
      <c r="AR3" s="234"/>
      <c r="AS3" s="252"/>
      <c r="AT3" s="234"/>
      <c r="AU3" s="234"/>
      <c r="AV3" s="252"/>
      <c r="AW3" s="234"/>
    </row>
    <row r="4" spans="1:49" s="240" customFormat="1" ht="10.15" customHeight="1" x14ac:dyDescent="0.25">
      <c r="C4" s="234"/>
      <c r="D4" s="234"/>
      <c r="E4" s="234"/>
      <c r="F4" s="234"/>
      <c r="G4" s="234"/>
      <c r="H4" s="234"/>
      <c r="I4" s="234"/>
      <c r="J4" s="265"/>
      <c r="K4" s="265"/>
      <c r="L4" s="265"/>
      <c r="M4" s="265"/>
      <c r="N4" s="265"/>
      <c r="O4" s="265"/>
      <c r="P4" s="234"/>
      <c r="Q4" s="234"/>
      <c r="R4" s="234"/>
      <c r="S4" s="252"/>
      <c r="T4" s="234"/>
      <c r="U4" s="234"/>
      <c r="V4" s="234"/>
      <c r="W4" s="234"/>
      <c r="X4" s="252"/>
      <c r="Y4" s="234"/>
      <c r="Z4" s="234"/>
      <c r="AA4" s="265" t="s">
        <v>50</v>
      </c>
      <c r="AB4" s="265"/>
      <c r="AC4" s="265"/>
      <c r="AD4" s="265"/>
      <c r="AE4" s="266"/>
      <c r="AF4" s="265"/>
      <c r="AG4" s="265"/>
      <c r="AH4" s="234"/>
      <c r="AI4" s="234"/>
      <c r="AJ4" s="252"/>
      <c r="AK4" s="234"/>
      <c r="AL4" s="234"/>
      <c r="AM4" s="234"/>
      <c r="AN4" s="234"/>
      <c r="AO4" s="252"/>
      <c r="AP4" s="234"/>
      <c r="AQ4" s="234"/>
      <c r="AR4" s="234"/>
      <c r="AS4" s="252"/>
      <c r="AT4" s="234"/>
      <c r="AU4" s="234"/>
      <c r="AV4" s="252"/>
      <c r="AW4" s="234"/>
    </row>
    <row r="5" spans="1:49" s="267" customFormat="1" ht="43.15" customHeight="1" x14ac:dyDescent="0.25">
      <c r="A5" s="240" t="s">
        <v>2</v>
      </c>
      <c r="B5" s="240" t="s">
        <v>51</v>
      </c>
      <c r="C5" s="268" t="s">
        <v>52</v>
      </c>
      <c r="D5" s="269" t="s">
        <v>53</v>
      </c>
      <c r="E5" s="270" t="s">
        <v>54</v>
      </c>
      <c r="F5" s="270"/>
      <c r="G5" s="271"/>
      <c r="H5" s="270" t="s">
        <v>55</v>
      </c>
      <c r="I5" s="270" t="s">
        <v>54</v>
      </c>
      <c r="J5" s="270" t="s">
        <v>56</v>
      </c>
      <c r="K5" s="270" t="s">
        <v>57</v>
      </c>
      <c r="L5" s="270" t="s">
        <v>58</v>
      </c>
      <c r="M5" s="270" t="s">
        <v>59</v>
      </c>
      <c r="N5" s="270" t="s">
        <v>60</v>
      </c>
      <c r="O5" s="270" t="s">
        <v>61</v>
      </c>
      <c r="P5" s="342"/>
      <c r="Q5" s="259"/>
      <c r="R5" s="272" t="s">
        <v>62</v>
      </c>
      <c r="S5" s="273"/>
      <c r="T5" s="274"/>
      <c r="U5" s="275"/>
      <c r="V5" s="381"/>
      <c r="W5" s="272" t="s">
        <v>63</v>
      </c>
      <c r="X5" s="276"/>
      <c r="Y5" s="277"/>
      <c r="Z5" s="278"/>
      <c r="AA5" s="279" t="s">
        <v>64</v>
      </c>
      <c r="AB5" s="279"/>
      <c r="AC5" s="259"/>
      <c r="AD5" s="280" t="s">
        <v>65</v>
      </c>
      <c r="AE5" s="281"/>
      <c r="AF5" s="282"/>
      <c r="AG5" s="283"/>
      <c r="AH5" s="259"/>
      <c r="AI5" s="272" t="s">
        <v>66</v>
      </c>
      <c r="AJ5" s="276"/>
      <c r="AK5" s="277"/>
      <c r="AL5" s="278"/>
      <c r="AM5" s="259"/>
      <c r="AN5" s="272" t="s">
        <v>67</v>
      </c>
      <c r="AO5" s="276"/>
      <c r="AP5" s="277"/>
      <c r="AQ5" s="278"/>
      <c r="AR5" s="277" t="s">
        <v>68</v>
      </c>
      <c r="AS5" s="276"/>
      <c r="AT5" s="277"/>
      <c r="AU5" s="277"/>
      <c r="AV5" s="284" t="s">
        <v>55</v>
      </c>
      <c r="AW5" s="285"/>
    </row>
    <row r="6" spans="1:49" s="209" customFormat="1" ht="67.5" hidden="1" x14ac:dyDescent="0.3">
      <c r="A6" s="208" t="s">
        <v>69</v>
      </c>
      <c r="B6" s="208"/>
      <c r="C6" s="210"/>
      <c r="D6" s="210"/>
      <c r="E6" s="210" t="s">
        <v>70</v>
      </c>
      <c r="F6" s="210"/>
      <c r="G6" s="211"/>
      <c r="H6" s="210" t="s">
        <v>71</v>
      </c>
      <c r="J6" s="324">
        <v>3.1</v>
      </c>
      <c r="K6" s="324">
        <v>3.5</v>
      </c>
      <c r="L6" s="324" t="s">
        <v>72</v>
      </c>
      <c r="M6" s="324" t="s">
        <v>73</v>
      </c>
      <c r="N6" s="327" t="s">
        <v>74</v>
      </c>
      <c r="O6" s="325"/>
      <c r="P6" s="343" t="str">
        <f>"3.2"</f>
        <v>3.2</v>
      </c>
      <c r="Q6" s="212" t="s">
        <v>75</v>
      </c>
      <c r="R6" s="214" t="s">
        <v>76</v>
      </c>
      <c r="S6" s="215"/>
      <c r="T6" s="216"/>
      <c r="U6" s="217"/>
      <c r="V6" s="326">
        <v>3.3</v>
      </c>
      <c r="W6" s="214" t="s">
        <v>77</v>
      </c>
      <c r="X6" s="218"/>
      <c r="Y6" s="212"/>
      <c r="Z6" s="217"/>
      <c r="AA6" s="326">
        <v>217</v>
      </c>
      <c r="AB6" s="326">
        <v>217</v>
      </c>
      <c r="AC6" s="213"/>
      <c r="AD6" s="214" t="s">
        <v>78</v>
      </c>
      <c r="AE6" s="218"/>
      <c r="AF6" s="212"/>
      <c r="AG6" s="219"/>
      <c r="AH6" s="213" t="s">
        <v>79</v>
      </c>
      <c r="AI6" s="214" t="s">
        <v>78</v>
      </c>
      <c r="AJ6" s="218"/>
      <c r="AK6" s="212"/>
      <c r="AL6" s="219"/>
      <c r="AM6" s="326">
        <v>3.11</v>
      </c>
      <c r="AN6" s="214" t="s">
        <v>78</v>
      </c>
      <c r="AO6" s="218"/>
      <c r="AP6" s="212"/>
      <c r="AQ6" s="217"/>
      <c r="AR6" s="209" t="s">
        <v>78</v>
      </c>
      <c r="AS6" s="220"/>
      <c r="AT6" s="221"/>
      <c r="AU6" s="221"/>
      <c r="AV6" s="222" t="s">
        <v>80</v>
      </c>
      <c r="AW6" s="212"/>
    </row>
    <row r="7" spans="1:49" s="240" customFormat="1" ht="13.15" customHeight="1" x14ac:dyDescent="0.3">
      <c r="A7" s="286"/>
      <c r="B7" s="286"/>
      <c r="C7" s="287"/>
      <c r="D7" s="286" t="s">
        <v>81</v>
      </c>
      <c r="E7" s="216"/>
      <c r="F7" s="216" t="s">
        <v>82</v>
      </c>
      <c r="G7" s="288" t="s">
        <v>83</v>
      </c>
      <c r="H7" s="216"/>
      <c r="I7" s="289" t="s">
        <v>84</v>
      </c>
      <c r="J7" s="289" t="s">
        <v>84</v>
      </c>
      <c r="K7" s="216"/>
      <c r="L7" s="216"/>
      <c r="M7" s="216"/>
      <c r="N7" s="216"/>
      <c r="O7" s="216"/>
      <c r="P7" s="290" t="s">
        <v>85</v>
      </c>
      <c r="Q7" s="291"/>
      <c r="R7" s="291" t="s">
        <v>85</v>
      </c>
      <c r="S7" s="215" t="s">
        <v>80</v>
      </c>
      <c r="T7" s="216" t="s">
        <v>82</v>
      </c>
      <c r="U7" s="288" t="s">
        <v>83</v>
      </c>
      <c r="V7" s="290" t="s">
        <v>85</v>
      </c>
      <c r="W7" s="290" t="s">
        <v>85</v>
      </c>
      <c r="X7" s="215" t="s">
        <v>80</v>
      </c>
      <c r="Y7" s="216" t="s">
        <v>82</v>
      </c>
      <c r="Z7" s="288" t="s">
        <v>83</v>
      </c>
      <c r="AA7" s="216" t="s">
        <v>86</v>
      </c>
      <c r="AB7" s="216" t="s">
        <v>87</v>
      </c>
      <c r="AC7" s="290" t="s">
        <v>85</v>
      </c>
      <c r="AD7" s="291" t="s">
        <v>85</v>
      </c>
      <c r="AE7" s="215" t="s">
        <v>80</v>
      </c>
      <c r="AF7" s="216" t="s">
        <v>82</v>
      </c>
      <c r="AG7" s="288" t="s">
        <v>83</v>
      </c>
      <c r="AH7" s="290" t="s">
        <v>85</v>
      </c>
      <c r="AI7" s="291" t="s">
        <v>85</v>
      </c>
      <c r="AJ7" s="215" t="s">
        <v>80</v>
      </c>
      <c r="AK7" s="216" t="s">
        <v>82</v>
      </c>
      <c r="AL7" s="288" t="s">
        <v>83</v>
      </c>
      <c r="AM7" s="290" t="s">
        <v>85</v>
      </c>
      <c r="AN7" s="291" t="s">
        <v>85</v>
      </c>
      <c r="AO7" s="215" t="s">
        <v>80</v>
      </c>
      <c r="AP7" s="216" t="s">
        <v>82</v>
      </c>
      <c r="AQ7" s="288" t="s">
        <v>83</v>
      </c>
      <c r="AR7" s="216" t="s">
        <v>85</v>
      </c>
      <c r="AS7" s="292" t="s">
        <v>80</v>
      </c>
      <c r="AT7" s="291" t="s">
        <v>82</v>
      </c>
      <c r="AU7" s="291" t="s">
        <v>83</v>
      </c>
      <c r="AV7" s="293"/>
      <c r="AW7" s="216"/>
    </row>
    <row r="8" spans="1:49" ht="25.9" customHeight="1" x14ac:dyDescent="0.25">
      <c r="A8" s="365" t="s">
        <v>88</v>
      </c>
      <c r="B8" s="365" t="s">
        <v>34</v>
      </c>
      <c r="C8" s="328">
        <v>15.5</v>
      </c>
      <c r="D8" s="328">
        <f>Kennzahlen!H8</f>
        <v>323</v>
      </c>
      <c r="E8" s="223">
        <f>'KiGa - PS'!F9+'KiGa - PS'!L9*Funktional!H8</f>
        <v>4227970.3170719584</v>
      </c>
      <c r="F8" s="223">
        <f t="shared" ref="F8:F9" si="0">E8/C8</f>
        <v>272772.27852077154</v>
      </c>
      <c r="G8" s="224">
        <f>E8/D8</f>
        <v>13089.691384123711</v>
      </c>
      <c r="H8" s="223">
        <f>I8-'KiGa - PS'!H9</f>
        <v>2737960.4599999995</v>
      </c>
      <c r="I8" s="223">
        <f>J8-K8-L8-M8</f>
        <v>4930319.8099999996</v>
      </c>
      <c r="J8" s="365">
        <v>5330346.26</v>
      </c>
      <c r="K8" s="365">
        <v>361376.65</v>
      </c>
      <c r="L8" s="365">
        <v>61.55</v>
      </c>
      <c r="M8" s="365">
        <v>38588.25</v>
      </c>
      <c r="N8" s="365"/>
      <c r="O8" s="365"/>
      <c r="P8" s="365">
        <v>2242916.25</v>
      </c>
      <c r="Q8" s="27">
        <f>P8-M8</f>
        <v>2204328</v>
      </c>
      <c r="R8" s="223">
        <f>(Q8-'KiGa - PS'!H9)*'KiGa - PS'!L9+'KiGa - PS'!F9</f>
        <v>1890310.1040600848</v>
      </c>
      <c r="S8" s="226">
        <f>R8/$E8</f>
        <v>0.44709635174761619</v>
      </c>
      <c r="T8" s="223">
        <f>R8/C8</f>
        <v>121955.4905845216</v>
      </c>
      <c r="U8" s="224">
        <f>R8/D8</f>
        <v>5852.3532633439154</v>
      </c>
      <c r="V8" s="365">
        <v>208427.6</v>
      </c>
      <c r="W8" s="223">
        <f>V8*'KiGa - PS'!$K9</f>
        <v>178736.01308198858</v>
      </c>
      <c r="X8" s="226">
        <f>W8/$E8</f>
        <v>4.2274661286120507E-2</v>
      </c>
      <c r="Y8" s="223">
        <f>W8/C8</f>
        <v>11531.355682708941</v>
      </c>
      <c r="Z8" s="224">
        <f>W8/$D8</f>
        <v>553.36226960367981</v>
      </c>
      <c r="AA8" s="365">
        <v>667906.25</v>
      </c>
      <c r="AB8" s="365">
        <v>132545</v>
      </c>
      <c r="AC8" s="225">
        <f>Artengliederung!AE8</f>
        <v>525885.6</v>
      </c>
      <c r="AD8" s="223">
        <f>AC8*'KiGa - PS'!L9</f>
        <v>450970.48318566929</v>
      </c>
      <c r="AE8" s="226">
        <f>AD8/$E8</f>
        <v>0.10666358781297801</v>
      </c>
      <c r="AF8" s="223">
        <f>AD8/C8</f>
        <v>29094.869882946405</v>
      </c>
      <c r="AG8" s="224">
        <f>AD8/D8</f>
        <v>1396.1934463952609</v>
      </c>
      <c r="AH8" s="225">
        <f t="shared" ref="AH8:AH23" si="1">AA8-AB8</f>
        <v>535361.25</v>
      </c>
      <c r="AI8" s="223">
        <f>AH8*'KiGa - PS'!L9</f>
        <v>459096.27795738063</v>
      </c>
      <c r="AJ8" s="226">
        <f>AI8/$E8</f>
        <v>0.1085855016776285</v>
      </c>
      <c r="AK8" s="223">
        <f>AI8/C8</f>
        <v>29619.114706927783</v>
      </c>
      <c r="AL8" s="224">
        <f>AI8/D8</f>
        <v>1421.3507057504044</v>
      </c>
      <c r="AM8" s="365">
        <v>10633.35</v>
      </c>
      <c r="AN8" s="223">
        <f>AM8*'KiGa - PS'!L9</f>
        <v>9118.5744340258352</v>
      </c>
      <c r="AO8" s="226">
        <f>AN8/$E8</f>
        <v>2.1567262185371301E-3</v>
      </c>
      <c r="AP8" s="223">
        <f>AN8/C8</f>
        <v>588.29512477586036</v>
      </c>
      <c r="AQ8" s="224">
        <f>AN8/$D8</f>
        <v>28.23088060069918</v>
      </c>
      <c r="AR8" s="223">
        <f>Artengliederung!X8*'KiGa - PS'!L9</f>
        <v>508502.3947715573</v>
      </c>
      <c r="AS8" s="226">
        <f>AR8/E8</f>
        <v>0.1202710418089491</v>
      </c>
      <c r="AT8" s="223">
        <f>AR8/C8</f>
        <v>32806.606114294016</v>
      </c>
      <c r="AU8" s="223">
        <f>AR8/D8</f>
        <v>1574.3108197261836</v>
      </c>
      <c r="AV8" s="227">
        <f>1-S8-X8-AJ8-AE8-AO8-AS8</f>
        <v>0.17295212944817051</v>
      </c>
    </row>
    <row r="9" spans="1:49" ht="13.9" customHeight="1" x14ac:dyDescent="0.25">
      <c r="A9" s="365" t="s">
        <v>89</v>
      </c>
      <c r="B9" s="365" t="s">
        <v>34</v>
      </c>
      <c r="C9" s="328">
        <v>3</v>
      </c>
      <c r="D9" s="328">
        <f>Kennzahlen!H9</f>
        <v>56</v>
      </c>
      <c r="E9" s="223">
        <f>'KiGa - PS'!F10+'KiGa - PS'!L10*Funktional!H9</f>
        <v>1049335.9330734359</v>
      </c>
      <c r="F9" s="223">
        <f t="shared" si="0"/>
        <v>349778.64435781195</v>
      </c>
      <c r="G9" s="224">
        <f t="shared" ref="G9:G24" si="2">E9/D9</f>
        <v>18738.141662025642</v>
      </c>
      <c r="H9" s="223">
        <f>I9-'KiGa - PS'!H10</f>
        <v>815147.62999999989</v>
      </c>
      <c r="I9" s="223">
        <f t="shared" ref="I9:I24" si="3">J9-K9-L9-M9</f>
        <v>1409213.18</v>
      </c>
      <c r="J9" s="365">
        <v>1519433.63</v>
      </c>
      <c r="K9" s="365">
        <v>52164.25</v>
      </c>
      <c r="L9" s="365">
        <v>0</v>
      </c>
      <c r="M9" s="365">
        <v>58056.2</v>
      </c>
      <c r="N9" s="365"/>
      <c r="O9" s="365"/>
      <c r="P9" s="365">
        <v>609267.65</v>
      </c>
      <c r="Q9" s="27">
        <f t="shared" ref="Q9:Q24" si="4">P9-M9</f>
        <v>551211.45000000007</v>
      </c>
      <c r="R9" s="223">
        <f>(Q9-'KiGa - PS'!H10)*'KiGa - PS'!L10+'KiGa - PS'!F10</f>
        <v>410446.04848679586</v>
      </c>
      <c r="S9" s="226">
        <f t="shared" ref="S9:S24" si="5">R9/$E9</f>
        <v>0.39114837827446391</v>
      </c>
      <c r="T9" s="223">
        <f t="shared" ref="T9:T24" si="6">R9/C9</f>
        <v>136815.34949559861</v>
      </c>
      <c r="U9" s="224">
        <f t="shared" ref="U9:U24" si="7">R9/D9</f>
        <v>7329.3937229784979</v>
      </c>
      <c r="V9" s="365">
        <v>56203.5</v>
      </c>
      <c r="W9" s="223">
        <f>V9*'KiGa - PS'!$K10</f>
        <v>41850.553877514023</v>
      </c>
      <c r="X9" s="226">
        <f t="shared" ref="X9:X24" si="8">W9/$E9</f>
        <v>3.9882894084200954E-2</v>
      </c>
      <c r="Y9" s="223">
        <f t="shared" ref="Y9:Y24" si="9">W9/C9</f>
        <v>13950.184625838008</v>
      </c>
      <c r="Z9" s="224">
        <f t="shared" ref="Z9:Z24" si="10">W9/D9</f>
        <v>747.33131924132181</v>
      </c>
      <c r="AA9" s="365">
        <v>259655.75</v>
      </c>
      <c r="AB9" s="365">
        <v>126984.4</v>
      </c>
      <c r="AC9" s="225">
        <f>Artengliederung!AE9</f>
        <v>110400</v>
      </c>
      <c r="AD9" s="223">
        <f>AC9*'KiGa - PS'!L10</f>
        <v>82206.644569778538</v>
      </c>
      <c r="AE9" s="226">
        <f t="shared" ref="AE9:AE24" si="11">AD9/$E9</f>
        <v>7.834158916963864E-2</v>
      </c>
      <c r="AF9" s="223">
        <f t="shared" ref="AF9:AF24" si="12">AD9/C9</f>
        <v>27402.214856592847</v>
      </c>
      <c r="AG9" s="224">
        <f t="shared" ref="AG9:AG24" si="13">AD9/D9</f>
        <v>1467.9757958889024</v>
      </c>
      <c r="AH9" s="225">
        <f t="shared" si="1"/>
        <v>132671.35</v>
      </c>
      <c r="AI9" s="223">
        <f>AH9*'KiGa - PS'!L10</f>
        <v>98790.457554734501</v>
      </c>
      <c r="AJ9" s="226">
        <f t="shared" ref="AJ9:AJ24" si="14">AI9/$E9</f>
        <v>9.4145691995301969E-2</v>
      </c>
      <c r="AK9" s="223">
        <f t="shared" ref="AK9:AK24" si="15">AI9/C9</f>
        <v>32930.152518244831</v>
      </c>
      <c r="AL9" s="224">
        <f t="shared" ref="AL9:AL24" si="16">AI9/D9</f>
        <v>1764.1153134774017</v>
      </c>
      <c r="AM9" s="365">
        <v>2865.2</v>
      </c>
      <c r="AN9" s="223">
        <f>AM9*'KiGa - PS'!L10</f>
        <v>2133.5007067149409</v>
      </c>
      <c r="AO9" s="226">
        <f t="shared" ref="AO9:AO24" si="17">AN9/$E9</f>
        <v>2.0331913160221795E-3</v>
      </c>
      <c r="AP9" s="223">
        <f t="shared" ref="AP9:AP24" si="18">AN9/C9</f>
        <v>711.16690223831358</v>
      </c>
      <c r="AQ9" s="224">
        <f t="shared" ref="AQ9:AQ24" si="19">AN9/$D9</f>
        <v>38.098226905623946</v>
      </c>
      <c r="AR9" s="223">
        <f>Artengliederung!X9*'KiGa - PS'!L10</f>
        <v>92349.522275168114</v>
      </c>
      <c r="AS9" s="226">
        <f t="shared" ref="AS9:AS24" si="20">AR9/E9</f>
        <v>8.800758590691013E-2</v>
      </c>
      <c r="AT9" s="223">
        <f t="shared" ref="AT9:AT24" si="21">AR9/C9</f>
        <v>30783.174091722703</v>
      </c>
      <c r="AU9" s="223">
        <f t="shared" ref="AU9:AU24" si="22">AR9/D9</f>
        <v>1649.0986120565735</v>
      </c>
      <c r="AV9" s="227">
        <f t="shared" ref="AV9:AV24" si="23">1-S9-X9-AJ9-AE9-AO9-AS9</f>
        <v>0.30644066925346214</v>
      </c>
    </row>
    <row r="10" spans="1:49" x14ac:dyDescent="0.25">
      <c r="A10" s="365" t="s">
        <v>90</v>
      </c>
      <c r="B10" s="365" t="s">
        <v>34</v>
      </c>
      <c r="C10" s="328">
        <v>3</v>
      </c>
      <c r="D10" s="328">
        <f>Kennzahlen!H10</f>
        <v>57</v>
      </c>
      <c r="E10" s="223">
        <f>'KiGa - PS'!F11+'KiGa - PS'!L11*Funktional!H10</f>
        <v>961631.69882789068</v>
      </c>
      <c r="F10" s="223">
        <f t="shared" ref="F10:F25" si="24">E10/C10</f>
        <v>320543.89960929687</v>
      </c>
      <c r="G10" s="224">
        <f t="shared" si="2"/>
        <v>16870.731558384046</v>
      </c>
      <c r="H10" s="223">
        <f>I10-'KiGa - PS'!H11</f>
        <v>591982.15000000014</v>
      </c>
      <c r="I10" s="223">
        <f t="shared" si="3"/>
        <v>1134341.9000000001</v>
      </c>
      <c r="J10" s="365">
        <v>1169357</v>
      </c>
      <c r="K10" s="365">
        <v>21477.4</v>
      </c>
      <c r="L10" s="365">
        <v>0</v>
      </c>
      <c r="M10" s="365">
        <v>13537.7</v>
      </c>
      <c r="N10" s="365"/>
      <c r="O10" s="365"/>
      <c r="P10" s="365">
        <v>542359.75</v>
      </c>
      <c r="Q10" s="27">
        <f t="shared" si="4"/>
        <v>528822.05000000005</v>
      </c>
      <c r="R10" s="223">
        <f>(Q10-'KiGa - PS'!H11)*'KiGa - PS'!L11+'KiGa - PS'!F11</f>
        <v>448305.79415178765</v>
      </c>
      <c r="S10" s="226">
        <f t="shared" si="5"/>
        <v>0.46619282070070756</v>
      </c>
      <c r="T10" s="223">
        <f t="shared" si="6"/>
        <v>149435.26471726256</v>
      </c>
      <c r="U10" s="224">
        <f t="shared" si="7"/>
        <v>7865.0139324875026</v>
      </c>
      <c r="V10" s="365">
        <v>38431.4</v>
      </c>
      <c r="W10" s="223">
        <f>V10*'KiGa - PS'!L11</f>
        <v>32579.99415373283</v>
      </c>
      <c r="X10" s="226">
        <f t="shared" si="8"/>
        <v>3.3879908694195278E-2</v>
      </c>
      <c r="Y10" s="223">
        <f t="shared" si="9"/>
        <v>10859.998051244276</v>
      </c>
      <c r="Z10" s="224">
        <f t="shared" si="10"/>
        <v>571.57884480233031</v>
      </c>
      <c r="AA10" s="365">
        <v>279205.75</v>
      </c>
      <c r="AB10" s="365">
        <v>274886.95</v>
      </c>
      <c r="AC10" s="225">
        <f>Artengliederung!AE10</f>
        <v>97546.25</v>
      </c>
      <c r="AD10" s="223">
        <f>AC10*'KiGa - PS'!L11</f>
        <v>82694.261846265319</v>
      </c>
      <c r="AE10" s="226">
        <f t="shared" si="11"/>
        <v>8.5993693788442419E-2</v>
      </c>
      <c r="AF10" s="223">
        <f t="shared" si="12"/>
        <v>27564.753948755108</v>
      </c>
      <c r="AG10" s="224">
        <f t="shared" si="13"/>
        <v>1450.7765236186899</v>
      </c>
      <c r="AH10" s="225">
        <f t="shared" si="1"/>
        <v>4318.7999999999884</v>
      </c>
      <c r="AI10" s="223">
        <f>AH10*'KiGa - PS'!L11</f>
        <v>3661.2373931509383</v>
      </c>
      <c r="AJ10" s="226">
        <f t="shared" si="14"/>
        <v>3.8073177055348018E-3</v>
      </c>
      <c r="AK10" s="223">
        <f t="shared" si="15"/>
        <v>1220.412464383646</v>
      </c>
      <c r="AL10" s="224">
        <f t="shared" si="16"/>
        <v>64.232234967560316</v>
      </c>
      <c r="AM10" s="365">
        <v>5594.8</v>
      </c>
      <c r="AN10" s="223">
        <f>AM10*'KiGa - PS'!L11</f>
        <v>4742.9589161806343</v>
      </c>
      <c r="AO10" s="226">
        <f t="shared" si="17"/>
        <v>4.9321990133662508E-3</v>
      </c>
      <c r="AP10" s="223">
        <f t="shared" si="18"/>
        <v>1580.9863053935449</v>
      </c>
      <c r="AQ10" s="224">
        <f t="shared" si="19"/>
        <v>83.209805547028679</v>
      </c>
      <c r="AR10" s="223">
        <f>Artengliederung!X10*'KiGa - PS'!L11</f>
        <v>65841.150724201056</v>
      </c>
      <c r="AS10" s="226">
        <f t="shared" si="20"/>
        <v>6.8468157616323605E-2</v>
      </c>
      <c r="AT10" s="223">
        <f t="shared" si="21"/>
        <v>21947.050241400353</v>
      </c>
      <c r="AU10" s="223">
        <f t="shared" si="22"/>
        <v>1155.1079074421239</v>
      </c>
      <c r="AV10" s="227">
        <f t="shared" si="23"/>
        <v>0.33672590248143008</v>
      </c>
    </row>
    <row r="11" spans="1:49" x14ac:dyDescent="0.25">
      <c r="A11" s="365" t="s">
        <v>91</v>
      </c>
      <c r="B11" s="365" t="s">
        <v>34</v>
      </c>
      <c r="C11" s="328">
        <v>1</v>
      </c>
      <c r="D11" s="328">
        <f>Kennzahlen!H11</f>
        <v>27</v>
      </c>
      <c r="E11" s="223">
        <f>I11</f>
        <v>333918.95</v>
      </c>
      <c r="F11" s="223">
        <f t="shared" si="24"/>
        <v>333918.95</v>
      </c>
      <c r="G11" s="224">
        <f t="shared" si="2"/>
        <v>12367.368518518519</v>
      </c>
      <c r="H11" s="223">
        <f>I11-'KiGa - PS'!H12</f>
        <v>51478.549999999988</v>
      </c>
      <c r="I11" s="223">
        <f t="shared" si="3"/>
        <v>333918.95</v>
      </c>
      <c r="J11" s="365">
        <v>371156.85</v>
      </c>
      <c r="K11" s="365">
        <v>3624.6</v>
      </c>
      <c r="L11" s="365">
        <v>0</v>
      </c>
      <c r="M11" s="365">
        <v>33613.300000000003</v>
      </c>
      <c r="N11" s="365"/>
      <c r="O11" s="365"/>
      <c r="P11" s="365">
        <v>282938.2</v>
      </c>
      <c r="Q11" s="27">
        <f t="shared" si="4"/>
        <v>249324.90000000002</v>
      </c>
      <c r="R11" s="223">
        <f>Q11</f>
        <v>249324.90000000002</v>
      </c>
      <c r="S11" s="226">
        <f t="shared" si="5"/>
        <v>0.7466629252397925</v>
      </c>
      <c r="T11" s="223">
        <f t="shared" si="6"/>
        <v>249324.90000000002</v>
      </c>
      <c r="U11" s="224">
        <f t="shared" si="7"/>
        <v>9234.2555555555573</v>
      </c>
      <c r="V11" s="365">
        <v>19998.45</v>
      </c>
      <c r="W11" s="223">
        <f>V11*'KiGa - PS'!L12</f>
        <v>19998.45</v>
      </c>
      <c r="X11" s="226">
        <f t="shared" si="8"/>
        <v>5.9890132021557928E-2</v>
      </c>
      <c r="Y11" s="223">
        <f t="shared" si="9"/>
        <v>19998.45</v>
      </c>
      <c r="Z11" s="224">
        <f t="shared" si="10"/>
        <v>740.68333333333339</v>
      </c>
      <c r="AA11" s="365">
        <v>26293.15</v>
      </c>
      <c r="AB11" s="365">
        <v>0</v>
      </c>
      <c r="AC11" s="225">
        <f>Artengliederung!AE11</f>
        <v>3043</v>
      </c>
      <c r="AD11" s="223">
        <f>AC11*'KiGa - PS'!L12</f>
        <v>3043</v>
      </c>
      <c r="AE11" s="226">
        <f t="shared" si="11"/>
        <v>9.1129898437929315E-3</v>
      </c>
      <c r="AF11" s="223">
        <f t="shared" si="12"/>
        <v>3043</v>
      </c>
      <c r="AG11" s="224">
        <f t="shared" si="13"/>
        <v>112.70370370370371</v>
      </c>
      <c r="AH11" s="225">
        <f t="shared" si="1"/>
        <v>26293.15</v>
      </c>
      <c r="AI11" s="223">
        <f>AH11*'KiGa - PS'!L12</f>
        <v>26293.15</v>
      </c>
      <c r="AJ11" s="226">
        <f t="shared" si="14"/>
        <v>7.874111367444106E-2</v>
      </c>
      <c r="AK11" s="223">
        <f t="shared" si="15"/>
        <v>26293.15</v>
      </c>
      <c r="AL11" s="224">
        <f t="shared" si="16"/>
        <v>973.82037037037037</v>
      </c>
      <c r="AM11" s="365">
        <v>2644.85</v>
      </c>
      <c r="AN11" s="223">
        <f>AM11*'KiGa - PS'!L12</f>
        <v>2644.85</v>
      </c>
      <c r="AO11" s="226">
        <f t="shared" si="17"/>
        <v>7.9206346330449352E-3</v>
      </c>
      <c r="AP11" s="223">
        <f t="shared" si="18"/>
        <v>2644.85</v>
      </c>
      <c r="AQ11" s="224">
        <f t="shared" si="19"/>
        <v>97.957407407407402</v>
      </c>
      <c r="AR11" s="223">
        <f>Artengliederung!X11*'KiGa - PS'!L12</f>
        <v>13894.2</v>
      </c>
      <c r="AS11" s="226">
        <f t="shared" si="20"/>
        <v>4.1609498352818852E-2</v>
      </c>
      <c r="AT11" s="223">
        <f t="shared" si="21"/>
        <v>13894.2</v>
      </c>
      <c r="AU11" s="223">
        <f t="shared" si="22"/>
        <v>514.6</v>
      </c>
      <c r="AV11" s="227">
        <f t="shared" si="23"/>
        <v>5.6062706234551798E-2</v>
      </c>
    </row>
    <row r="12" spans="1:49" x14ac:dyDescent="0.25">
      <c r="A12" s="365" t="s">
        <v>92</v>
      </c>
      <c r="B12" s="365" t="s">
        <v>34</v>
      </c>
      <c r="C12" s="328">
        <v>8.5</v>
      </c>
      <c r="D12" s="328">
        <f>Kennzahlen!H12</f>
        <v>174</v>
      </c>
      <c r="E12" s="223">
        <f>'KiGa - PS'!F13+'KiGa - PS'!L13*Funktional!H12</f>
        <v>2167915.3449251563</v>
      </c>
      <c r="F12" s="223">
        <f t="shared" si="24"/>
        <v>255048.86410884192</v>
      </c>
      <c r="G12" s="224">
        <f t="shared" si="2"/>
        <v>12459.283591523887</v>
      </c>
      <c r="H12" s="223">
        <f>I12-'KiGa - PS'!H13</f>
        <v>1174569</v>
      </c>
      <c r="I12" s="223">
        <f t="shared" si="3"/>
        <v>2546879.75</v>
      </c>
      <c r="J12" s="365">
        <v>2577212.5499999998</v>
      </c>
      <c r="K12" s="365">
        <v>63446.55</v>
      </c>
      <c r="L12" s="365">
        <v>0</v>
      </c>
      <c r="M12" s="365">
        <v>-33113.75</v>
      </c>
      <c r="N12" s="365"/>
      <c r="O12" s="365"/>
      <c r="P12" s="365">
        <v>1378604.2</v>
      </c>
      <c r="Q12" s="27">
        <f t="shared" si="4"/>
        <v>1411717.95</v>
      </c>
      <c r="R12" s="223">
        <f>(Q12-'KiGa - PS'!H13)*'KiGa - PS'!L13+'KiGa - PS'!F13</f>
        <v>1201660.5835086186</v>
      </c>
      <c r="S12" s="226">
        <f t="shared" si="5"/>
        <v>0.5542931306434864</v>
      </c>
      <c r="T12" s="223">
        <f t="shared" si="6"/>
        <v>141371.83335395512</v>
      </c>
      <c r="U12" s="224">
        <f t="shared" si="7"/>
        <v>6906.0953075207972</v>
      </c>
      <c r="V12" s="365">
        <v>89591.75</v>
      </c>
      <c r="W12" s="223">
        <f>V12*'KiGa - PS'!L13</f>
        <v>76260.895161500419</v>
      </c>
      <c r="X12" s="226">
        <f t="shared" si="8"/>
        <v>3.5177063228053862E-2</v>
      </c>
      <c r="Y12" s="223">
        <f t="shared" si="9"/>
        <v>8971.8700190000491</v>
      </c>
      <c r="Z12" s="224">
        <f t="shared" si="10"/>
        <v>438.28100667528975</v>
      </c>
      <c r="AA12" s="365">
        <v>214883.95</v>
      </c>
      <c r="AB12" s="365">
        <v>0</v>
      </c>
      <c r="AC12" s="225">
        <f>Artengliederung!AE12</f>
        <v>349562</v>
      </c>
      <c r="AD12" s="223">
        <f>AC12*'KiGa - PS'!L13</f>
        <v>297548.72557399992</v>
      </c>
      <c r="AE12" s="226">
        <f t="shared" si="11"/>
        <v>0.13725108144583584</v>
      </c>
      <c r="AF12" s="223">
        <f t="shared" si="12"/>
        <v>35005.73242047058</v>
      </c>
      <c r="AG12" s="224">
        <f t="shared" si="13"/>
        <v>1710.0501469770111</v>
      </c>
      <c r="AH12" s="225">
        <f t="shared" si="1"/>
        <v>214883.95</v>
      </c>
      <c r="AI12" s="223">
        <f>AH12*'KiGa - PS'!L13</f>
        <v>182910.1717829945</v>
      </c>
      <c r="AJ12" s="226">
        <f t="shared" si="14"/>
        <v>8.4371454914587155E-2</v>
      </c>
      <c r="AK12" s="223">
        <f t="shared" si="15"/>
        <v>21518.843739175823</v>
      </c>
      <c r="AL12" s="224">
        <f t="shared" si="16"/>
        <v>1051.2078838103132</v>
      </c>
      <c r="AM12" s="365">
        <v>16038.35</v>
      </c>
      <c r="AN12" s="223">
        <f>AM12*'KiGa - PS'!L13</f>
        <v>13651.914689839747</v>
      </c>
      <c r="AO12" s="226">
        <f t="shared" si="17"/>
        <v>6.2972545130958778E-3</v>
      </c>
      <c r="AP12" s="223">
        <f t="shared" si="18"/>
        <v>1606.1076105693819</v>
      </c>
      <c r="AQ12" s="224">
        <f t="shared" si="19"/>
        <v>78.45927982666521</v>
      </c>
      <c r="AR12" s="223">
        <f>Artengliederung!X12*'KiGa - PS'!L13</f>
        <v>227541.03357155077</v>
      </c>
      <c r="AS12" s="226">
        <f t="shared" si="20"/>
        <v>0.10495844964804484</v>
      </c>
      <c r="AT12" s="223">
        <f t="shared" si="21"/>
        <v>26769.533361358914</v>
      </c>
      <c r="AU12" s="223">
        <f t="shared" si="22"/>
        <v>1307.707089491671</v>
      </c>
      <c r="AV12" s="227">
        <f t="shared" si="23"/>
        <v>7.7651565606896053E-2</v>
      </c>
    </row>
    <row r="13" spans="1:49" x14ac:dyDescent="0.25">
      <c r="A13" s="365" t="s">
        <v>93</v>
      </c>
      <c r="B13" s="365" t="s">
        <v>34</v>
      </c>
      <c r="C13" s="328">
        <v>2.5</v>
      </c>
      <c r="D13" s="328">
        <f>Kennzahlen!H13</f>
        <v>49</v>
      </c>
      <c r="E13" s="223">
        <f>'KiGa - PS'!F14+'KiGa - PS'!L14*Funktional!H13</f>
        <v>694661.77246843197</v>
      </c>
      <c r="F13" s="223">
        <f t="shared" si="24"/>
        <v>277864.70898737281</v>
      </c>
      <c r="G13" s="224">
        <f t="shared" si="2"/>
        <v>14176.770866702693</v>
      </c>
      <c r="H13" s="223">
        <f>I13-'KiGa - PS'!H14</f>
        <v>556145.65</v>
      </c>
      <c r="I13" s="223">
        <f t="shared" si="3"/>
        <v>942418.6</v>
      </c>
      <c r="J13" s="365">
        <v>1016353.6</v>
      </c>
      <c r="K13" s="365">
        <v>17827.3</v>
      </c>
      <c r="L13" s="365">
        <v>0</v>
      </c>
      <c r="M13" s="365">
        <v>56107.7</v>
      </c>
      <c r="N13" s="365"/>
      <c r="O13" s="365"/>
      <c r="P13" s="365">
        <v>512422.8</v>
      </c>
      <c r="Q13" s="27">
        <f t="shared" si="4"/>
        <v>456315.1</v>
      </c>
      <c r="R13" s="223">
        <f>(Q13-'KiGa - PS'!H14)*'KiGa - PS'!L14+'KiGa - PS'!F14</f>
        <v>336352.29203891964</v>
      </c>
      <c r="S13" s="226">
        <f t="shared" si="5"/>
        <v>0.48419577032966032</v>
      </c>
      <c r="T13" s="223">
        <f t="shared" si="6"/>
        <v>134540.91681556785</v>
      </c>
      <c r="U13" s="224">
        <f t="shared" si="7"/>
        <v>6864.3324905901964</v>
      </c>
      <c r="V13" s="365">
        <v>44095.4</v>
      </c>
      <c r="W13" s="223">
        <f>V13*'KiGa - PS'!L14</f>
        <v>32502.954336538452</v>
      </c>
      <c r="X13" s="226">
        <f t="shared" si="8"/>
        <v>4.6789611325582924E-2</v>
      </c>
      <c r="Y13" s="223">
        <f t="shared" si="9"/>
        <v>13001.18173461538</v>
      </c>
      <c r="Z13" s="224">
        <f t="shared" si="10"/>
        <v>663.32559870486637</v>
      </c>
      <c r="AA13" s="365">
        <v>155227.75</v>
      </c>
      <c r="AB13" s="365">
        <v>2569</v>
      </c>
      <c r="AC13" s="225">
        <f>Artengliederung!AE13</f>
        <v>136193.70000000001</v>
      </c>
      <c r="AD13" s="223">
        <f>AC13*'KiGa - PS'!L14</f>
        <v>100389.10208375969</v>
      </c>
      <c r="AE13" s="226">
        <f t="shared" si="11"/>
        <v>0.14451508066585275</v>
      </c>
      <c r="AF13" s="223">
        <f t="shared" si="12"/>
        <v>40155.640833503872</v>
      </c>
      <c r="AG13" s="224">
        <f t="shared" si="13"/>
        <v>2048.7571853828508</v>
      </c>
      <c r="AH13" s="225">
        <f t="shared" si="1"/>
        <v>152658.75</v>
      </c>
      <c r="AI13" s="223">
        <f>AH13*'KiGa - PS'!L14</f>
        <v>112525.57818554858</v>
      </c>
      <c r="AJ13" s="226">
        <f t="shared" si="14"/>
        <v>0.16198613864369824</v>
      </c>
      <c r="AK13" s="223">
        <f t="shared" si="15"/>
        <v>45010.231274219434</v>
      </c>
      <c r="AL13" s="224">
        <f t="shared" si="16"/>
        <v>2296.4403711336445</v>
      </c>
      <c r="AM13" s="365">
        <v>4808.8500000000004</v>
      </c>
      <c r="AN13" s="223">
        <f>AM13*'KiGa - PS'!L14</f>
        <v>3544.6289626868775</v>
      </c>
      <c r="AO13" s="226">
        <f t="shared" si="17"/>
        <v>5.1026688140492988E-3</v>
      </c>
      <c r="AP13" s="223">
        <f t="shared" si="18"/>
        <v>1417.851585074751</v>
      </c>
      <c r="AQ13" s="224">
        <f t="shared" si="19"/>
        <v>72.339366585446484</v>
      </c>
      <c r="AR13" s="223">
        <f>Artengliederung!X13*'KiGa - PS'!L14</f>
        <v>56835.464650721726</v>
      </c>
      <c r="AS13" s="226">
        <f t="shared" si="20"/>
        <v>8.1817464128997458E-2</v>
      </c>
      <c r="AT13" s="223">
        <f t="shared" si="21"/>
        <v>22734.18586028869</v>
      </c>
      <c r="AU13" s="223">
        <f t="shared" si="22"/>
        <v>1159.9074418514638</v>
      </c>
      <c r="AV13" s="227">
        <f t="shared" si="23"/>
        <v>7.5593266092158995E-2</v>
      </c>
    </row>
    <row r="14" spans="1:49" x14ac:dyDescent="0.25">
      <c r="A14" s="365" t="s">
        <v>94</v>
      </c>
      <c r="B14" s="365" t="s">
        <v>34</v>
      </c>
      <c r="C14" s="328">
        <v>49</v>
      </c>
      <c r="D14" s="328">
        <f>Kennzahlen!H14</f>
        <v>960</v>
      </c>
      <c r="E14" s="223">
        <f>'KiGa - PS'!F15+'KiGa - PS'!L15*Funktional!H14</f>
        <v>11190479.228150208</v>
      </c>
      <c r="F14" s="223">
        <f t="shared" si="24"/>
        <v>228377.12710510628</v>
      </c>
      <c r="G14" s="224">
        <f t="shared" si="2"/>
        <v>11656.7491959898</v>
      </c>
      <c r="H14" s="223">
        <f>I14-'KiGa - PS'!H15</f>
        <v>5770104.5500000007</v>
      </c>
      <c r="I14" s="223">
        <f t="shared" si="3"/>
        <v>12792996.800000001</v>
      </c>
      <c r="J14" s="365">
        <v>13561041.9</v>
      </c>
      <c r="K14" s="365">
        <v>747727.65</v>
      </c>
      <c r="L14" s="365">
        <v>17789.099999999999</v>
      </c>
      <c r="M14" s="365">
        <v>2528.35</v>
      </c>
      <c r="N14" s="365"/>
      <c r="O14" s="365"/>
      <c r="P14" s="365">
        <v>7458345.4500000002</v>
      </c>
      <c r="Q14" s="27">
        <f t="shared" si="4"/>
        <v>7455817.1000000006</v>
      </c>
      <c r="R14" s="223">
        <f>(Q14-'KiGa - PS'!H15)*'KiGa - PS'!L15+'KiGa - PS'!F15</f>
        <v>6521862.5229732823</v>
      </c>
      <c r="S14" s="226">
        <f t="shared" si="5"/>
        <v>0.58280457789217932</v>
      </c>
      <c r="T14" s="223">
        <f t="shared" si="6"/>
        <v>133099.23516272006</v>
      </c>
      <c r="U14" s="224">
        <f t="shared" si="7"/>
        <v>6793.6067947638358</v>
      </c>
      <c r="V14" s="365">
        <v>742737.3</v>
      </c>
      <c r="W14" s="223">
        <f>V14*'KiGa - PS'!L15</f>
        <v>649698.14794469182</v>
      </c>
      <c r="X14" s="226">
        <f t="shared" si="8"/>
        <v>5.8058116609550001E-2</v>
      </c>
      <c r="Y14" s="223">
        <f t="shared" si="9"/>
        <v>13259.145876422283</v>
      </c>
      <c r="Z14" s="224">
        <f t="shared" si="10"/>
        <v>676.76890410905401</v>
      </c>
      <c r="AA14" s="365">
        <v>1390023.6</v>
      </c>
      <c r="AB14" s="365">
        <v>153265.35</v>
      </c>
      <c r="AC14" s="225">
        <f>Artengliederung!AE14</f>
        <v>821000</v>
      </c>
      <c r="AD14" s="223">
        <f>AC14*'KiGa - PS'!L15</f>
        <v>718157.25353040977</v>
      </c>
      <c r="AE14" s="226">
        <f t="shared" si="11"/>
        <v>6.4175737150188303E-2</v>
      </c>
      <c r="AF14" s="223">
        <f t="shared" si="12"/>
        <v>14656.270480212444</v>
      </c>
      <c r="AG14" s="224">
        <f t="shared" si="13"/>
        <v>748.08047242751013</v>
      </c>
      <c r="AH14" s="225">
        <f t="shared" si="1"/>
        <v>1236758.25</v>
      </c>
      <c r="AI14" s="223">
        <f>AH14*'KiGa - PS'!L15</f>
        <v>1081835.4544471083</v>
      </c>
      <c r="AJ14" s="226">
        <f t="shared" si="14"/>
        <v>9.667463138894869E-2</v>
      </c>
      <c r="AK14" s="223">
        <f t="shared" si="15"/>
        <v>22078.274580553232</v>
      </c>
      <c r="AL14" s="224">
        <f t="shared" si="16"/>
        <v>1126.9119317157379</v>
      </c>
      <c r="AM14" s="365">
        <v>61167.9</v>
      </c>
      <c r="AN14" s="223">
        <f>AM14*'KiGa - PS'!L15</f>
        <v>53505.689486264004</v>
      </c>
      <c r="AO14" s="226">
        <f t="shared" si="17"/>
        <v>4.7813581880986628E-3</v>
      </c>
      <c r="AP14" s="223">
        <f t="shared" si="18"/>
        <v>1091.9528466584491</v>
      </c>
      <c r="AQ14" s="224">
        <f t="shared" si="19"/>
        <v>55.735093214858338</v>
      </c>
      <c r="AR14" s="223">
        <f>Artengliederung!X14*'KiGa - PS'!L15</f>
        <v>802027.7426091088</v>
      </c>
      <c r="AS14" s="226">
        <f t="shared" si="20"/>
        <v>7.1670544778061701E-2</v>
      </c>
      <c r="AT14" s="223">
        <f t="shared" si="21"/>
        <v>16367.913114471608</v>
      </c>
      <c r="AU14" s="223">
        <f t="shared" si="22"/>
        <v>835.4455652178217</v>
      </c>
      <c r="AV14" s="227">
        <f t="shared" si="23"/>
        <v>0.12183503399297332</v>
      </c>
    </row>
    <row r="15" spans="1:49" x14ac:dyDescent="0.25">
      <c r="A15" s="365" t="s">
        <v>95</v>
      </c>
      <c r="B15" s="365" t="s">
        <v>34</v>
      </c>
      <c r="C15" s="328">
        <v>1</v>
      </c>
      <c r="D15" s="328">
        <f>Kennzahlen!H15</f>
        <v>20</v>
      </c>
      <c r="E15" s="223">
        <f>I15</f>
        <v>224972.55</v>
      </c>
      <c r="F15" s="223">
        <f t="shared" si="24"/>
        <v>224972.55</v>
      </c>
      <c r="G15" s="224">
        <f t="shared" si="2"/>
        <v>11248.627499999999</v>
      </c>
      <c r="H15" s="223">
        <f>I15-'KiGa - PS'!H16</f>
        <v>67408.549999999988</v>
      </c>
      <c r="I15" s="223">
        <f t="shared" si="3"/>
        <v>224972.55</v>
      </c>
      <c r="J15" s="365">
        <v>238333.25</v>
      </c>
      <c r="K15" s="365">
        <v>0</v>
      </c>
      <c r="L15" s="365">
        <v>0</v>
      </c>
      <c r="M15" s="365">
        <v>13360.7</v>
      </c>
      <c r="N15" s="365"/>
      <c r="O15" s="365"/>
      <c r="P15" s="365">
        <v>188118.7</v>
      </c>
      <c r="Q15" s="27">
        <f t="shared" si="4"/>
        <v>174758</v>
      </c>
      <c r="R15" s="223">
        <f>Q15</f>
        <v>174758</v>
      </c>
      <c r="S15" s="226">
        <f t="shared" si="5"/>
        <v>0.77679699145517977</v>
      </c>
      <c r="T15" s="223">
        <f t="shared" si="6"/>
        <v>174758</v>
      </c>
      <c r="U15" s="224">
        <f t="shared" si="7"/>
        <v>8737.9</v>
      </c>
      <c r="V15" s="365">
        <v>11161.25</v>
      </c>
      <c r="W15" s="223">
        <f>V15*'KiGa - PS'!L16</f>
        <v>11161.25</v>
      </c>
      <c r="X15" s="226">
        <f t="shared" si="8"/>
        <v>4.961160817175251E-2</v>
      </c>
      <c r="Y15" s="223">
        <f t="shared" si="9"/>
        <v>11161.25</v>
      </c>
      <c r="Z15" s="224">
        <f t="shared" si="10"/>
        <v>558.0625</v>
      </c>
      <c r="AA15" s="365">
        <v>15711.35</v>
      </c>
      <c r="AB15" s="365">
        <v>8300</v>
      </c>
      <c r="AC15" s="225">
        <f>Artengliederung!AE15</f>
        <v>9358</v>
      </c>
      <c r="AD15" s="223">
        <f>AC15*'KiGa - PS'!L16</f>
        <v>9358</v>
      </c>
      <c r="AE15" s="226">
        <f t="shared" si="11"/>
        <v>4.1596185845784298E-2</v>
      </c>
      <c r="AF15" s="223">
        <f t="shared" si="12"/>
        <v>9358</v>
      </c>
      <c r="AG15" s="224">
        <f t="shared" si="13"/>
        <v>467.9</v>
      </c>
      <c r="AH15" s="225">
        <f t="shared" si="1"/>
        <v>7411.35</v>
      </c>
      <c r="AI15" s="223">
        <f>AH15*'KiGa - PS'!L16</f>
        <v>7411.35</v>
      </c>
      <c r="AJ15" s="226">
        <f t="shared" si="14"/>
        <v>3.2943352422328862E-2</v>
      </c>
      <c r="AK15" s="223">
        <f t="shared" si="15"/>
        <v>7411.35</v>
      </c>
      <c r="AL15" s="224">
        <f t="shared" si="16"/>
        <v>370.5675</v>
      </c>
      <c r="AM15" s="365">
        <v>556.95000000000005</v>
      </c>
      <c r="AN15" s="223">
        <f>AM15*'KiGa - PS'!L16</f>
        <v>556.95000000000005</v>
      </c>
      <c r="AO15" s="226">
        <f t="shared" si="17"/>
        <v>2.4756353608473571E-3</v>
      </c>
      <c r="AP15" s="223">
        <f t="shared" si="18"/>
        <v>556.95000000000005</v>
      </c>
      <c r="AQ15" s="224">
        <f t="shared" si="19"/>
        <v>27.847500000000004</v>
      </c>
      <c r="AR15" s="223">
        <f>Artengliederung!X15*'KiGa - PS'!L16</f>
        <v>0</v>
      </c>
      <c r="AS15" s="226">
        <f t="shared" si="20"/>
        <v>0</v>
      </c>
      <c r="AT15" s="223">
        <f t="shared" si="21"/>
        <v>0</v>
      </c>
      <c r="AU15" s="223">
        <f t="shared" si="22"/>
        <v>0</v>
      </c>
      <c r="AV15" s="227">
        <f t="shared" si="23"/>
        <v>9.6576226744107221E-2</v>
      </c>
    </row>
    <row r="16" spans="1:49" x14ac:dyDescent="0.25">
      <c r="A16" s="365" t="s">
        <v>96</v>
      </c>
      <c r="B16" s="365" t="s">
        <v>34</v>
      </c>
      <c r="C16" s="328">
        <v>5</v>
      </c>
      <c r="D16" s="328">
        <f>Kennzahlen!H16</f>
        <v>100</v>
      </c>
      <c r="E16" s="223">
        <f>'KiGa - PS'!F17+'KiGa - PS'!L17*Funktional!H16</f>
        <v>1360781.641981801</v>
      </c>
      <c r="F16" s="223">
        <f t="shared" si="24"/>
        <v>272156.32839636022</v>
      </c>
      <c r="G16" s="224">
        <f t="shared" si="2"/>
        <v>13607.816419818009</v>
      </c>
      <c r="H16" s="223">
        <f>I16-'KiGa - PS'!H17</f>
        <v>600825.80000000005</v>
      </c>
      <c r="I16" s="223">
        <f t="shared" si="3"/>
        <v>1615274.3</v>
      </c>
      <c r="J16" s="365">
        <v>1725477.75</v>
      </c>
      <c r="K16" s="365">
        <v>50405.3</v>
      </c>
      <c r="L16" s="365">
        <v>0</v>
      </c>
      <c r="M16" s="365">
        <v>59798.15</v>
      </c>
      <c r="N16" s="365"/>
      <c r="O16" s="365"/>
      <c r="P16" s="365">
        <v>1015210.65</v>
      </c>
      <c r="Q16" s="27">
        <f t="shared" si="4"/>
        <v>955412.5</v>
      </c>
      <c r="R16" s="223">
        <f>(Q16-'KiGa - PS'!H17)*'KiGa - PS'!L17+'KiGa - PS'!F17</f>
        <v>804883.59811082075</v>
      </c>
      <c r="S16" s="226">
        <f t="shared" si="5"/>
        <v>0.59148622620938118</v>
      </c>
      <c r="T16" s="223">
        <f t="shared" si="6"/>
        <v>160976.71962216415</v>
      </c>
      <c r="U16" s="224">
        <f t="shared" si="7"/>
        <v>8048.8359811082073</v>
      </c>
      <c r="V16" s="365">
        <v>86680.4</v>
      </c>
      <c r="W16" s="223">
        <f>V16*'KiGa - PS'!L17</f>
        <v>73023.570696097435</v>
      </c>
      <c r="X16" s="226">
        <f t="shared" si="8"/>
        <v>5.3662959907181083E-2</v>
      </c>
      <c r="Y16" s="223">
        <f t="shared" si="9"/>
        <v>14604.714139219486</v>
      </c>
      <c r="Z16" s="224">
        <f t="shared" si="10"/>
        <v>730.23570696097431</v>
      </c>
      <c r="AA16" s="365">
        <v>145031.29999999999</v>
      </c>
      <c r="AB16" s="365">
        <v>846.1</v>
      </c>
      <c r="AC16" s="225">
        <f>Artengliederung!AE16</f>
        <v>239038.3</v>
      </c>
      <c r="AD16" s="223">
        <f>AC16*'KiGa - PS'!L17</f>
        <v>201376.8994965984</v>
      </c>
      <c r="AE16" s="226">
        <f t="shared" si="11"/>
        <v>0.1479861965240207</v>
      </c>
      <c r="AF16" s="223">
        <f t="shared" si="12"/>
        <v>40275.379899319683</v>
      </c>
      <c r="AG16" s="224">
        <f t="shared" si="13"/>
        <v>2013.7689949659841</v>
      </c>
      <c r="AH16" s="225">
        <f t="shared" si="1"/>
        <v>144185.19999999998</v>
      </c>
      <c r="AI16" s="223">
        <f>AH16*'KiGa - PS'!L17</f>
        <v>121468.26901503625</v>
      </c>
      <c r="AJ16" s="226">
        <f t="shared" si="14"/>
        <v>8.9263600615697283E-2</v>
      </c>
      <c r="AK16" s="223">
        <f t="shared" si="15"/>
        <v>24293.653803007248</v>
      </c>
      <c r="AL16" s="224">
        <f t="shared" si="16"/>
        <v>1214.6826901503625</v>
      </c>
      <c r="AM16" s="365">
        <v>3578.8</v>
      </c>
      <c r="AN16" s="223">
        <f>AM16*'KiGa - PS'!L17</f>
        <v>3014.946340893599</v>
      </c>
      <c r="AO16" s="226">
        <f t="shared" si="17"/>
        <v>2.2155989233531418E-3</v>
      </c>
      <c r="AP16" s="223">
        <f t="shared" si="18"/>
        <v>602.98926817871984</v>
      </c>
      <c r="AQ16" s="224">
        <f t="shared" si="19"/>
        <v>30.14946340893599</v>
      </c>
      <c r="AR16" s="223">
        <f>Artengliederung!X16*'KiGa - PS'!L17</f>
        <v>135414.33346785227</v>
      </c>
      <c r="AS16" s="226">
        <f t="shared" si="20"/>
        <v>9.9512169542968668E-2</v>
      </c>
      <c r="AT16" s="223">
        <f t="shared" si="21"/>
        <v>27082.866693570453</v>
      </c>
      <c r="AU16" s="223">
        <f t="shared" si="22"/>
        <v>1354.1433346785227</v>
      </c>
      <c r="AV16" s="227">
        <f t="shared" si="23"/>
        <v>1.5873248277397972E-2</v>
      </c>
    </row>
    <row r="17" spans="1:48" x14ac:dyDescent="0.25">
      <c r="A17" s="365" t="s">
        <v>97</v>
      </c>
      <c r="B17" s="365" t="s">
        <v>34</v>
      </c>
      <c r="C17" s="328">
        <v>5</v>
      </c>
      <c r="D17" s="328">
        <f>Kennzahlen!H17</f>
        <v>96</v>
      </c>
      <c r="E17" s="223">
        <f>'KiGa - PS'!F18+'KiGa - PS'!L18*Funktional!H17</f>
        <v>1070695.4093170799</v>
      </c>
      <c r="F17" s="223">
        <f t="shared" si="24"/>
        <v>214139.08186341598</v>
      </c>
      <c r="G17" s="224">
        <f t="shared" si="2"/>
        <v>11153.07718038625</v>
      </c>
      <c r="H17" s="223">
        <f>I17-'KiGa - PS'!H18</f>
        <v>353189.65000000026</v>
      </c>
      <c r="I17" s="223">
        <f t="shared" si="3"/>
        <v>1289031.7000000002</v>
      </c>
      <c r="J17" s="365">
        <v>1356732.1</v>
      </c>
      <c r="K17" s="365">
        <v>67700.399999999994</v>
      </c>
      <c r="L17" s="365">
        <v>0</v>
      </c>
      <c r="M17" s="365">
        <v>0</v>
      </c>
      <c r="N17" s="365"/>
      <c r="O17" s="365"/>
      <c r="P17" s="365">
        <v>936636.75</v>
      </c>
      <c r="Q17" s="27">
        <f t="shared" si="4"/>
        <v>936636.75</v>
      </c>
      <c r="R17" s="223">
        <f>(Q17-'KiGa - PS'!H18)*'KiGa - PS'!L18+'KiGa - PS'!F18</f>
        <v>777989.14365152479</v>
      </c>
      <c r="S17" s="226">
        <f t="shared" si="5"/>
        <v>0.72662041592925897</v>
      </c>
      <c r="T17" s="223">
        <f t="shared" si="6"/>
        <v>155597.82873030496</v>
      </c>
      <c r="U17" s="224">
        <f t="shared" si="7"/>
        <v>8104.0535797033835</v>
      </c>
      <c r="V17" s="365">
        <v>69187</v>
      </c>
      <c r="W17" s="223">
        <f>V17*'KiGa - PS'!L18</f>
        <v>57468.100500880464</v>
      </c>
      <c r="X17" s="226">
        <f t="shared" si="8"/>
        <v>5.3673621835677109E-2</v>
      </c>
      <c r="Y17" s="223">
        <f t="shared" si="9"/>
        <v>11493.620100176093</v>
      </c>
      <c r="Z17" s="224">
        <f t="shared" si="10"/>
        <v>598.6260468841715</v>
      </c>
      <c r="AA17" s="365">
        <v>100951.65</v>
      </c>
      <c r="AB17" s="365">
        <v>195</v>
      </c>
      <c r="AC17" s="225">
        <f>Artengliederung!AE17</f>
        <v>42300</v>
      </c>
      <c r="AD17" s="223">
        <f>AC17*'KiGa - PS'!L18</f>
        <v>35135.22267459557</v>
      </c>
      <c r="AE17" s="226">
        <f t="shared" si="11"/>
        <v>3.2815329522152166E-2</v>
      </c>
      <c r="AF17" s="223">
        <f t="shared" si="12"/>
        <v>7027.0445349191141</v>
      </c>
      <c r="AG17" s="224">
        <f t="shared" si="13"/>
        <v>365.99190286037054</v>
      </c>
      <c r="AH17" s="225">
        <f t="shared" si="1"/>
        <v>100756.65</v>
      </c>
      <c r="AI17" s="223">
        <f>AH17*'KiGa - PS'!L18</f>
        <v>83690.480702039931</v>
      </c>
      <c r="AJ17" s="226">
        <f t="shared" si="14"/>
        <v>7.816460215834875E-2</v>
      </c>
      <c r="AK17" s="223">
        <f t="shared" si="15"/>
        <v>16738.096140407986</v>
      </c>
      <c r="AL17" s="224">
        <f t="shared" si="16"/>
        <v>871.77584064624932</v>
      </c>
      <c r="AM17" s="365">
        <v>12701.6</v>
      </c>
      <c r="AN17" s="223">
        <f>AM17*'KiGa - PS'!L18</f>
        <v>10550.201993466739</v>
      </c>
      <c r="AO17" s="226">
        <f t="shared" si="17"/>
        <v>9.8535978595406127E-3</v>
      </c>
      <c r="AP17" s="223">
        <f t="shared" si="18"/>
        <v>2110.0403986933479</v>
      </c>
      <c r="AQ17" s="224">
        <f t="shared" si="19"/>
        <v>109.89793743194519</v>
      </c>
      <c r="AR17" s="223">
        <f>Artengliederung!X17*'KiGa - PS'!L18</f>
        <v>56682.292524253957</v>
      </c>
      <c r="AS17" s="226">
        <f t="shared" si="20"/>
        <v>5.2939698845265004E-2</v>
      </c>
      <c r="AT17" s="223">
        <f t="shared" si="21"/>
        <v>11336.458504850791</v>
      </c>
      <c r="AU17" s="223">
        <f t="shared" si="22"/>
        <v>590.44054712764535</v>
      </c>
      <c r="AV17" s="227">
        <f t="shared" si="23"/>
        <v>4.5932733849757393E-2</v>
      </c>
    </row>
    <row r="18" spans="1:48" x14ac:dyDescent="0.25">
      <c r="A18" s="365" t="s">
        <v>98</v>
      </c>
      <c r="B18" s="365" t="s">
        <v>34</v>
      </c>
      <c r="C18" s="328">
        <v>9</v>
      </c>
      <c r="D18" s="328">
        <f>Kennzahlen!H18</f>
        <v>190</v>
      </c>
      <c r="E18" s="223">
        <f>'KiGa - PS'!F19+'KiGa - PS'!L19*Funktional!H18</f>
        <v>1907735.1994831539</v>
      </c>
      <c r="F18" s="223">
        <f t="shared" si="24"/>
        <v>211970.57772035044</v>
      </c>
      <c r="G18" s="224">
        <f t="shared" si="2"/>
        <v>10040.711576227126</v>
      </c>
      <c r="H18" s="223">
        <f>I18-'KiGa - PS'!H19</f>
        <v>700775.2</v>
      </c>
      <c r="I18" s="223">
        <f t="shared" si="3"/>
        <v>2274222.9</v>
      </c>
      <c r="J18" s="365">
        <v>2449637</v>
      </c>
      <c r="K18" s="365">
        <v>139288.9</v>
      </c>
      <c r="L18" s="365">
        <v>0</v>
      </c>
      <c r="M18" s="365">
        <v>36125.199999999997</v>
      </c>
      <c r="N18" s="365"/>
      <c r="O18" s="365"/>
      <c r="P18" s="365">
        <v>1587865.3</v>
      </c>
      <c r="Q18" s="27">
        <f t="shared" si="4"/>
        <v>1551740.1</v>
      </c>
      <c r="R18" s="223">
        <f>(Q18-'KiGa - PS'!H19)*'KiGa - PS'!L19+'KiGa - PS'!F19</f>
        <v>1301679.4480521278</v>
      </c>
      <c r="S18" s="226">
        <f t="shared" si="5"/>
        <v>0.68231662780284208</v>
      </c>
      <c r="T18" s="223">
        <f t="shared" si="6"/>
        <v>144631.04978356976</v>
      </c>
      <c r="U18" s="224">
        <f t="shared" si="7"/>
        <v>6850.9444634322517</v>
      </c>
      <c r="V18" s="365">
        <v>104350.7</v>
      </c>
      <c r="W18" s="223">
        <f>V18*'KiGa - PS'!L19</f>
        <v>87534.737021910536</v>
      </c>
      <c r="X18" s="226">
        <f t="shared" si="8"/>
        <v>4.5884112766607005E-2</v>
      </c>
      <c r="Y18" s="223">
        <f t="shared" si="9"/>
        <v>9726.0818913233925</v>
      </c>
      <c r="Z18" s="224">
        <f t="shared" si="10"/>
        <v>460.70914222058178</v>
      </c>
      <c r="AA18" s="365">
        <v>198619.8</v>
      </c>
      <c r="AB18" s="365">
        <v>19300</v>
      </c>
      <c r="AC18" s="225">
        <f>Artengliederung!AE18</f>
        <v>278800.8</v>
      </c>
      <c r="AD18" s="223">
        <f>AC18*'KiGa - PS'!L19</f>
        <v>233872.45806207601</v>
      </c>
      <c r="AE18" s="226">
        <f t="shared" si="11"/>
        <v>0.12259167735933008</v>
      </c>
      <c r="AF18" s="223">
        <f t="shared" si="12"/>
        <v>25985.828673563999</v>
      </c>
      <c r="AG18" s="224">
        <f t="shared" si="13"/>
        <v>1230.9076740109263</v>
      </c>
      <c r="AH18" s="225">
        <f t="shared" si="1"/>
        <v>179319.8</v>
      </c>
      <c r="AI18" s="223">
        <f>AH18*'KiGa - PS'!L19</f>
        <v>150422.67599375561</v>
      </c>
      <c r="AJ18" s="226">
        <f t="shared" si="14"/>
        <v>7.8848823481638491E-2</v>
      </c>
      <c r="AK18" s="223">
        <f t="shared" si="15"/>
        <v>16713.630665972843</v>
      </c>
      <c r="AL18" s="224">
        <f t="shared" si="16"/>
        <v>791.6982947039769</v>
      </c>
      <c r="AM18" s="365">
        <v>12681.25</v>
      </c>
      <c r="AN18" s="223">
        <f>AM18*'KiGa - PS'!L19</f>
        <v>10637.685074073323</v>
      </c>
      <c r="AO18" s="226">
        <f t="shared" si="17"/>
        <v>5.5760805152388539E-3</v>
      </c>
      <c r="AP18" s="223">
        <f t="shared" si="18"/>
        <v>1181.9650082303692</v>
      </c>
      <c r="AQ18" s="224">
        <f t="shared" si="19"/>
        <v>55.987816179333279</v>
      </c>
      <c r="AR18" s="223">
        <f>Artengliederung!X18*'KiGa - PS'!L19</f>
        <v>51424.782118795556</v>
      </c>
      <c r="AS18" s="226">
        <f t="shared" si="20"/>
        <v>2.6955932947469664E-2</v>
      </c>
      <c r="AT18" s="223">
        <f t="shared" si="21"/>
        <v>5713.864679866173</v>
      </c>
      <c r="AU18" s="223">
        <f t="shared" si="22"/>
        <v>270.65674799366082</v>
      </c>
      <c r="AV18" s="227">
        <f t="shared" si="23"/>
        <v>3.7826745126873867E-2</v>
      </c>
    </row>
    <row r="19" spans="1:48" x14ac:dyDescent="0.25">
      <c r="A19" s="365" t="s">
        <v>99</v>
      </c>
      <c r="B19" s="365" t="s">
        <v>34</v>
      </c>
      <c r="C19" s="328">
        <v>3</v>
      </c>
      <c r="D19" s="328">
        <f>Kennzahlen!H19</f>
        <v>73</v>
      </c>
      <c r="E19" s="223">
        <f>'KiGa - PS'!F20+'KiGa - PS'!L20*Funktional!H19</f>
        <v>869479.31466669426</v>
      </c>
      <c r="F19" s="223">
        <f t="shared" si="24"/>
        <v>289826.4382222314</v>
      </c>
      <c r="G19" s="224">
        <f t="shared" si="2"/>
        <v>11910.675543379373</v>
      </c>
      <c r="H19" s="223">
        <f>I19-'KiGa - PS'!H20</f>
        <v>378415.34999999986</v>
      </c>
      <c r="I19" s="223">
        <f t="shared" si="3"/>
        <v>1060912.7</v>
      </c>
      <c r="J19" s="365">
        <v>1135584.55</v>
      </c>
      <c r="K19" s="365">
        <v>41333.85</v>
      </c>
      <c r="L19" s="365">
        <v>0</v>
      </c>
      <c r="M19" s="365">
        <v>33338</v>
      </c>
      <c r="N19" s="365"/>
      <c r="O19" s="365"/>
      <c r="P19" s="365">
        <v>688087.85</v>
      </c>
      <c r="Q19" s="27">
        <f t="shared" si="4"/>
        <v>654749.85</v>
      </c>
      <c r="R19" s="223">
        <f>(Q19-'KiGa - PS'!H20)*'KiGa - PS'!L20+'KiGa - PS'!F20</f>
        <v>536605.36899607372</v>
      </c>
      <c r="S19" s="226">
        <f t="shared" si="5"/>
        <v>0.61715714214751127</v>
      </c>
      <c r="T19" s="223">
        <f t="shared" si="6"/>
        <v>178868.45633202457</v>
      </c>
      <c r="U19" s="224">
        <f t="shared" si="7"/>
        <v>7350.7584793982705</v>
      </c>
      <c r="V19" s="365">
        <v>69543.5</v>
      </c>
      <c r="W19" s="223">
        <f>V19*'KiGa - PS'!L20</f>
        <v>56994.920241338667</v>
      </c>
      <c r="X19" s="226">
        <f t="shared" si="8"/>
        <v>6.5550633902299413E-2</v>
      </c>
      <c r="Y19" s="223">
        <f t="shared" si="9"/>
        <v>18998.306747112889</v>
      </c>
      <c r="Z19" s="224">
        <f t="shared" si="10"/>
        <v>780.75233207313238</v>
      </c>
      <c r="AA19" s="365">
        <v>59454.95</v>
      </c>
      <c r="AB19" s="365">
        <v>0</v>
      </c>
      <c r="AC19" s="225">
        <f>Artengliederung!AE19</f>
        <v>4135</v>
      </c>
      <c r="AD19" s="223">
        <f>AC19*'KiGa - PS'!L20</f>
        <v>3388.8716443367875</v>
      </c>
      <c r="AE19" s="226">
        <f t="shared" si="11"/>
        <v>3.8975874263735368E-3</v>
      </c>
      <c r="AF19" s="223">
        <f t="shared" si="12"/>
        <v>1129.6238814455958</v>
      </c>
      <c r="AG19" s="224">
        <f t="shared" si="13"/>
        <v>46.422899237490242</v>
      </c>
      <c r="AH19" s="225">
        <f t="shared" si="1"/>
        <v>59454.95</v>
      </c>
      <c r="AI19" s="223">
        <f>AH19*'KiGa - PS'!L20</f>
        <v>48726.770053315959</v>
      </c>
      <c r="AJ19" s="226">
        <f t="shared" si="14"/>
        <v>5.6041321778879639E-2</v>
      </c>
      <c r="AK19" s="223">
        <f t="shared" si="15"/>
        <v>16242.256684438653</v>
      </c>
      <c r="AL19" s="224">
        <f t="shared" si="16"/>
        <v>667.49000073035563</v>
      </c>
      <c r="AM19" s="365">
        <v>10684.4</v>
      </c>
      <c r="AN19" s="223">
        <f>AM19*'KiGa - PS'!L20</f>
        <v>8756.483723519219</v>
      </c>
      <c r="AO19" s="226">
        <f t="shared" si="17"/>
        <v>1.0070951172514006E-2</v>
      </c>
      <c r="AP19" s="223">
        <f t="shared" si="18"/>
        <v>2918.8279078397395</v>
      </c>
      <c r="AQ19" s="224">
        <f t="shared" si="19"/>
        <v>119.9518318290304</v>
      </c>
      <c r="AR19" s="223">
        <f>Artengliederung!X19*'KiGa - PS'!L20</f>
        <v>42051.184648672992</v>
      </c>
      <c r="AS19" s="226">
        <f t="shared" si="20"/>
        <v>4.8363640099699061E-2</v>
      </c>
      <c r="AT19" s="223">
        <f t="shared" si="21"/>
        <v>14017.061549557664</v>
      </c>
      <c r="AU19" s="223">
        <f t="shared" si="22"/>
        <v>576.04362532428752</v>
      </c>
      <c r="AV19" s="227">
        <f t="shared" si="23"/>
        <v>0.19891872347272305</v>
      </c>
    </row>
    <row r="20" spans="1:48" x14ac:dyDescent="0.25">
      <c r="A20" s="365" t="s">
        <v>100</v>
      </c>
      <c r="B20" s="365" t="s">
        <v>34</v>
      </c>
      <c r="C20" s="328">
        <v>6</v>
      </c>
      <c r="D20" s="328">
        <f>Kennzahlen!H20</f>
        <v>115</v>
      </c>
      <c r="E20" s="223">
        <f>'KiGa - PS'!F21+'KiGa - PS'!L21*Funktional!H20</f>
        <v>1277383.453355127</v>
      </c>
      <c r="F20" s="223">
        <f t="shared" si="24"/>
        <v>212897.24222585451</v>
      </c>
      <c r="G20" s="224">
        <f t="shared" si="2"/>
        <v>11107.682203088061</v>
      </c>
      <c r="H20" s="223">
        <f>I20-'KiGa - PS'!H21</f>
        <v>698829.45</v>
      </c>
      <c r="I20" s="223">
        <f t="shared" si="3"/>
        <v>1554237.45</v>
      </c>
      <c r="J20" s="365">
        <v>1585407.95</v>
      </c>
      <c r="K20" s="365">
        <v>18167.650000000001</v>
      </c>
      <c r="L20" s="365">
        <v>0</v>
      </c>
      <c r="M20" s="365">
        <v>13002.85</v>
      </c>
      <c r="N20" s="365"/>
      <c r="O20" s="365"/>
      <c r="P20" s="365">
        <v>864833.45</v>
      </c>
      <c r="Q20" s="27">
        <f t="shared" si="4"/>
        <v>851830.6</v>
      </c>
      <c r="R20" s="223">
        <f>(Q20-'KiGa - PS'!H21)*'KiGa - PS'!L21+'KiGa - PS'!F21</f>
        <v>700095.28692129359</v>
      </c>
      <c r="S20" s="226">
        <f t="shared" si="5"/>
        <v>0.54806979461214234</v>
      </c>
      <c r="T20" s="223">
        <f t="shared" si="6"/>
        <v>116682.54782021559</v>
      </c>
      <c r="U20" s="224">
        <f t="shared" si="7"/>
        <v>6087.7851036634229</v>
      </c>
      <c r="V20" s="365">
        <v>54742.1</v>
      </c>
      <c r="W20" s="223">
        <f>V20*'KiGa - PS'!L21</f>
        <v>44990.971451570476</v>
      </c>
      <c r="X20" s="226">
        <f t="shared" si="8"/>
        <v>3.5221194805208175E-2</v>
      </c>
      <c r="Y20" s="223">
        <f t="shared" si="9"/>
        <v>7498.4952419284127</v>
      </c>
      <c r="Z20" s="224">
        <f t="shared" si="10"/>
        <v>391.2258387093085</v>
      </c>
      <c r="AA20" s="365">
        <v>185368.95</v>
      </c>
      <c r="AB20" s="365">
        <v>37678.9</v>
      </c>
      <c r="AC20" s="225">
        <f>Artengliederung!AE20</f>
        <v>199964</v>
      </c>
      <c r="AD20" s="223">
        <f>AC20*'KiGa - PS'!L21</f>
        <v>164344.71120658211</v>
      </c>
      <c r="AE20" s="226">
        <f t="shared" si="11"/>
        <v>0.12865730394026986</v>
      </c>
      <c r="AF20" s="223">
        <f t="shared" si="12"/>
        <v>27390.78520109702</v>
      </c>
      <c r="AG20" s="224">
        <f t="shared" si="13"/>
        <v>1429.0844452746271</v>
      </c>
      <c r="AH20" s="225">
        <f t="shared" si="1"/>
        <v>147690.05000000002</v>
      </c>
      <c r="AI20" s="223">
        <f>AH20*'KiGa - PS'!L21</f>
        <v>121382.24188021681</v>
      </c>
      <c r="AJ20" s="226">
        <f t="shared" si="14"/>
        <v>9.5024122601086475E-2</v>
      </c>
      <c r="AK20" s="223">
        <f t="shared" si="15"/>
        <v>20230.373646702803</v>
      </c>
      <c r="AL20" s="224">
        <f t="shared" si="16"/>
        <v>1055.4977554801462</v>
      </c>
      <c r="AM20" s="365">
        <v>2751.05</v>
      </c>
      <c r="AN20" s="223">
        <f>AM20*'KiGa - PS'!L21</f>
        <v>2261.0095705470371</v>
      </c>
      <c r="AO20" s="226">
        <f t="shared" si="17"/>
        <v>1.7700319857818379E-3</v>
      </c>
      <c r="AP20" s="223">
        <f t="shared" si="18"/>
        <v>376.83492842450619</v>
      </c>
      <c r="AQ20" s="224">
        <f t="shared" si="19"/>
        <v>19.660952787365542</v>
      </c>
      <c r="AR20" s="223">
        <f>Artengliederung!X20*'KiGa - PS'!L21</f>
        <v>183472.53739662826</v>
      </c>
      <c r="AS20" s="226">
        <f t="shared" si="20"/>
        <v>0.14363152811689101</v>
      </c>
      <c r="AT20" s="223">
        <f t="shared" si="21"/>
        <v>30578.756232771379</v>
      </c>
      <c r="AU20" s="223">
        <f t="shared" si="22"/>
        <v>1595.4133686663326</v>
      </c>
      <c r="AV20" s="227">
        <f t="shared" si="23"/>
        <v>4.762602393862031E-2</v>
      </c>
    </row>
    <row r="21" spans="1:48" x14ac:dyDescent="0.25">
      <c r="A21" s="365" t="s">
        <v>101</v>
      </c>
      <c r="B21" s="365" t="s">
        <v>34</v>
      </c>
      <c r="C21" s="328">
        <v>5</v>
      </c>
      <c r="D21" s="328">
        <f>Kennzahlen!H21</f>
        <v>101</v>
      </c>
      <c r="E21" s="223">
        <f>'KiGa - PS'!F22+'KiGa - PS'!L22*Funktional!H21</f>
        <v>1034573.3818698584</v>
      </c>
      <c r="F21" s="223">
        <f t="shared" si="24"/>
        <v>206914.67637397168</v>
      </c>
      <c r="G21" s="224">
        <f t="shared" si="2"/>
        <v>10243.300810592656</v>
      </c>
      <c r="H21" s="223">
        <f>I21-'KiGa - PS'!H22</f>
        <v>482847.69999999995</v>
      </c>
      <c r="I21" s="223">
        <f t="shared" si="3"/>
        <v>1327418.5999999999</v>
      </c>
      <c r="J21" s="365">
        <v>1440965.45</v>
      </c>
      <c r="K21" s="365">
        <v>45581</v>
      </c>
      <c r="L21" s="365">
        <v>0</v>
      </c>
      <c r="M21" s="365">
        <v>67965.850000000006</v>
      </c>
      <c r="N21" s="365"/>
      <c r="O21" s="365"/>
      <c r="P21" s="365">
        <v>846713.7</v>
      </c>
      <c r="Q21" s="27">
        <f t="shared" si="4"/>
        <v>778747.85</v>
      </c>
      <c r="R21" s="223">
        <f>(Q21-'KiGa - PS'!H22)*'KiGa - PS'!L22+'KiGa - PS'!F22</f>
        <v>606946.29169606429</v>
      </c>
      <c r="S21" s="226">
        <f t="shared" si="5"/>
        <v>0.58666335547806858</v>
      </c>
      <c r="T21" s="223">
        <f t="shared" si="6"/>
        <v>121389.25833921286</v>
      </c>
      <c r="U21" s="224">
        <f t="shared" si="7"/>
        <v>6009.3692247135077</v>
      </c>
      <c r="V21" s="365">
        <v>90708.1</v>
      </c>
      <c r="W21" s="223">
        <f>V21*'KiGa - PS'!L22</f>
        <v>70696.753669105819</v>
      </c>
      <c r="X21" s="226">
        <f t="shared" si="8"/>
        <v>6.8334208967691129E-2</v>
      </c>
      <c r="Y21" s="223">
        <f t="shared" si="9"/>
        <v>14139.350733821164</v>
      </c>
      <c r="Z21" s="224">
        <f t="shared" si="10"/>
        <v>699.96785810995857</v>
      </c>
      <c r="AA21" s="365">
        <v>211747</v>
      </c>
      <c r="AB21" s="365">
        <v>18206.900000000001</v>
      </c>
      <c r="AC21" s="225">
        <f>Artengliederung!AE21</f>
        <v>85345</v>
      </c>
      <c r="AD21" s="223">
        <f>AC21*'KiGa - PS'!L22</f>
        <v>66516.820900116261</v>
      </c>
      <c r="AE21" s="226">
        <f t="shared" si="11"/>
        <v>6.4293961226699711E-2</v>
      </c>
      <c r="AF21" s="223">
        <f t="shared" si="12"/>
        <v>13303.364180023253</v>
      </c>
      <c r="AG21" s="224">
        <f t="shared" si="13"/>
        <v>658.58238514966592</v>
      </c>
      <c r="AH21" s="225">
        <f t="shared" si="1"/>
        <v>193540.1</v>
      </c>
      <c r="AI21" s="223">
        <f>AH21*'KiGa - PS'!L22</f>
        <v>150842.72269834895</v>
      </c>
      <c r="AJ21" s="226">
        <f t="shared" si="14"/>
        <v>0.14580185933811687</v>
      </c>
      <c r="AK21" s="223">
        <f t="shared" si="15"/>
        <v>30168.544539669791</v>
      </c>
      <c r="AL21" s="224">
        <f t="shared" si="16"/>
        <v>1493.4923039440491</v>
      </c>
      <c r="AM21" s="365">
        <v>1998.2</v>
      </c>
      <c r="AN21" s="223">
        <f>AM21*'KiGa - PS'!L22</f>
        <v>1557.3719787053994</v>
      </c>
      <c r="AO21" s="226">
        <f t="shared" si="17"/>
        <v>1.5053277089834361E-3</v>
      </c>
      <c r="AP21" s="223">
        <f t="shared" si="18"/>
        <v>311.47439574107989</v>
      </c>
      <c r="AQ21" s="224">
        <f t="shared" si="19"/>
        <v>15.419524541637617</v>
      </c>
      <c r="AR21" s="223">
        <f>Artengliederung!X21*'KiGa - PS'!L22</f>
        <v>87878.778403941571</v>
      </c>
      <c r="AS21" s="226">
        <f t="shared" si="20"/>
        <v>8.4942044657201579E-2</v>
      </c>
      <c r="AT21" s="223">
        <f t="shared" si="21"/>
        <v>17575.755680788316</v>
      </c>
      <c r="AU21" s="223">
        <f t="shared" si="22"/>
        <v>870.08691489051057</v>
      </c>
      <c r="AV21" s="227">
        <f t="shared" si="23"/>
        <v>4.8459242623238682E-2</v>
      </c>
    </row>
    <row r="22" spans="1:48" x14ac:dyDescent="0.25">
      <c r="A22" s="365" t="s">
        <v>102</v>
      </c>
      <c r="B22" s="365" t="s">
        <v>34</v>
      </c>
      <c r="C22" s="328">
        <v>20</v>
      </c>
      <c r="D22" s="328">
        <f>Kennzahlen!H22</f>
        <v>386</v>
      </c>
      <c r="E22" s="223">
        <f>'KiGa - PS'!F23+'KiGa - PS'!L23*Funktional!H22</f>
        <v>4917090.858897699</v>
      </c>
      <c r="F22" s="223">
        <f t="shared" si="24"/>
        <v>245854.54294488495</v>
      </c>
      <c r="G22" s="224">
        <f t="shared" si="2"/>
        <v>12738.577354657251</v>
      </c>
      <c r="H22" s="223">
        <f>I22-'KiGa - PS'!H23</f>
        <v>2172342.2999999998</v>
      </c>
      <c r="I22" s="223">
        <f t="shared" si="3"/>
        <v>5536460.2999999998</v>
      </c>
      <c r="J22" s="365">
        <v>5896591</v>
      </c>
      <c r="K22" s="365">
        <v>350274.65</v>
      </c>
      <c r="L22" s="365">
        <v>0</v>
      </c>
      <c r="M22" s="365">
        <v>9856.0499999999993</v>
      </c>
      <c r="N22" s="365"/>
      <c r="O22" s="365"/>
      <c r="P22" s="365">
        <v>3367342.75</v>
      </c>
      <c r="Q22" s="27">
        <f t="shared" si="4"/>
        <v>3357486.7</v>
      </c>
      <c r="R22" s="223">
        <f>(Q22-'KiGa - PS'!H23)*'KiGa - PS'!L23+'KiGa - PS'!F23</f>
        <v>2981881.2502711532</v>
      </c>
      <c r="S22" s="226">
        <f t="shared" si="5"/>
        <v>0.60643200132763542</v>
      </c>
      <c r="T22" s="223">
        <f t="shared" si="6"/>
        <v>149094.06251355767</v>
      </c>
      <c r="U22" s="224">
        <f t="shared" si="7"/>
        <v>7725.0809592516925</v>
      </c>
      <c r="V22" s="365">
        <v>299329.55</v>
      </c>
      <c r="W22" s="223">
        <f>V22*'KiGa - PS'!L23</f>
        <v>265843.24899845518</v>
      </c>
      <c r="X22" s="226">
        <f t="shared" si="8"/>
        <v>5.4065148809971604E-2</v>
      </c>
      <c r="Y22" s="223">
        <f t="shared" si="9"/>
        <v>13292.162449922758</v>
      </c>
      <c r="Z22" s="224">
        <f t="shared" si="10"/>
        <v>688.71308030687874</v>
      </c>
      <c r="AA22" s="365">
        <v>344640.2</v>
      </c>
      <c r="AB22" s="365">
        <v>218780</v>
      </c>
      <c r="AC22" s="225">
        <f>Artengliederung!AE22</f>
        <v>644840</v>
      </c>
      <c r="AD22" s="223">
        <f>AC22*'KiGa - PS'!L23</f>
        <v>572701.09377495083</v>
      </c>
      <c r="AE22" s="226">
        <f t="shared" si="11"/>
        <v>0.11647152965225814</v>
      </c>
      <c r="AF22" s="223">
        <f t="shared" si="12"/>
        <v>28635.054688747543</v>
      </c>
      <c r="AG22" s="224">
        <f t="shared" si="13"/>
        <v>1483.6815900905463</v>
      </c>
      <c r="AH22" s="225">
        <f t="shared" si="1"/>
        <v>125860.20000000001</v>
      </c>
      <c r="AI22" s="223">
        <f>AH22*'KiGa - PS'!L23</f>
        <v>111780.09149980472</v>
      </c>
      <c r="AJ22" s="226">
        <f t="shared" si="14"/>
        <v>2.2732972545653408E-2</v>
      </c>
      <c r="AK22" s="223">
        <f t="shared" si="15"/>
        <v>5589.0045749902365</v>
      </c>
      <c r="AL22" s="224">
        <f t="shared" si="16"/>
        <v>289.58572927410552</v>
      </c>
      <c r="AM22" s="365">
        <v>9321.9500000000007</v>
      </c>
      <c r="AN22" s="223">
        <f>AM22*'KiGa - PS'!L23</f>
        <v>8279.0939785301834</v>
      </c>
      <c r="AO22" s="226">
        <f t="shared" si="17"/>
        <v>1.6837382542054897E-3</v>
      </c>
      <c r="AP22" s="223">
        <f t="shared" si="18"/>
        <v>413.9546989265092</v>
      </c>
      <c r="AQ22" s="224">
        <f t="shared" si="19"/>
        <v>21.448429996192186</v>
      </c>
      <c r="AR22" s="223">
        <f>Artengliederung!X22*'KiGa - PS'!L23</f>
        <v>541701.52888675581</v>
      </c>
      <c r="AS22" s="226">
        <f t="shared" si="20"/>
        <v>0.11016707732917368</v>
      </c>
      <c r="AT22" s="223">
        <f t="shared" si="21"/>
        <v>27085.076444337792</v>
      </c>
      <c r="AU22" s="223">
        <f t="shared" si="22"/>
        <v>1403.371836494186</v>
      </c>
      <c r="AV22" s="227">
        <f t="shared" si="23"/>
        <v>8.8447532081102245E-2</v>
      </c>
    </row>
    <row r="23" spans="1:48" x14ac:dyDescent="0.25">
      <c r="A23" s="365" t="s">
        <v>103</v>
      </c>
      <c r="B23" s="365" t="s">
        <v>34</v>
      </c>
      <c r="C23" s="328">
        <v>2</v>
      </c>
      <c r="D23" s="328">
        <f>Kennzahlen!H23</f>
        <v>28</v>
      </c>
      <c r="E23" s="223">
        <f>I23</f>
        <v>428661.65</v>
      </c>
      <c r="F23" s="223">
        <f t="shared" si="24"/>
        <v>214330.82500000001</v>
      </c>
      <c r="G23" s="224">
        <f t="shared" si="2"/>
        <v>15309.344642857144</v>
      </c>
      <c r="H23" s="223">
        <f>I23-'KiGa - PS'!H24</f>
        <v>174725.40000000002</v>
      </c>
      <c r="I23" s="223">
        <f>J23-K23-L23-M23</f>
        <v>428661.65</v>
      </c>
      <c r="J23" s="365">
        <v>492488.7</v>
      </c>
      <c r="K23" s="365">
        <v>0</v>
      </c>
      <c r="L23" s="365">
        <v>0</v>
      </c>
      <c r="M23" s="365">
        <v>63827.05</v>
      </c>
      <c r="N23" s="365"/>
      <c r="O23" s="365"/>
      <c r="P23" s="365">
        <v>276668.34999999998</v>
      </c>
      <c r="Q23" s="27">
        <f t="shared" si="4"/>
        <v>212841.3</v>
      </c>
      <c r="R23" s="223">
        <f>Q23</f>
        <v>212841.3</v>
      </c>
      <c r="S23" s="226">
        <f t="shared" si="5"/>
        <v>0.49652517317562694</v>
      </c>
      <c r="T23" s="223">
        <f t="shared" si="6"/>
        <v>106420.65</v>
      </c>
      <c r="U23" s="224">
        <f t="shared" si="7"/>
        <v>7601.4749999999995</v>
      </c>
      <c r="V23" s="365">
        <v>22898.15</v>
      </c>
      <c r="W23" s="223">
        <f>V23*'KiGa - PS'!L24</f>
        <v>22898.15</v>
      </c>
      <c r="X23" s="226">
        <f t="shared" si="8"/>
        <v>5.3417771335504356E-2</v>
      </c>
      <c r="Y23" s="223">
        <f t="shared" si="9"/>
        <v>11449.075000000001</v>
      </c>
      <c r="Z23" s="224">
        <f t="shared" si="10"/>
        <v>817.79107142857151</v>
      </c>
      <c r="AA23" s="365">
        <v>31624.55</v>
      </c>
      <c r="AB23" s="365">
        <v>550</v>
      </c>
      <c r="AC23" s="225">
        <f>Artengliederung!AE23</f>
        <v>21194.85</v>
      </c>
      <c r="AD23" s="223">
        <f>AC23*'KiGa - PS'!L24</f>
        <v>21194.85</v>
      </c>
      <c r="AE23" s="226">
        <f t="shared" si="11"/>
        <v>4.9444241163164461E-2</v>
      </c>
      <c r="AF23" s="223">
        <f t="shared" si="12"/>
        <v>10597.424999999999</v>
      </c>
      <c r="AG23" s="224">
        <f t="shared" si="13"/>
        <v>756.95892857142849</v>
      </c>
      <c r="AH23" s="225">
        <f t="shared" si="1"/>
        <v>31074.55</v>
      </c>
      <c r="AI23" s="223">
        <f>AH23*'KiGa - PS'!L24</f>
        <v>31074.55</v>
      </c>
      <c r="AJ23" s="226">
        <f t="shared" si="14"/>
        <v>7.2492022554385249E-2</v>
      </c>
      <c r="AK23" s="223">
        <f t="shared" si="15"/>
        <v>15537.275</v>
      </c>
      <c r="AL23" s="224">
        <f t="shared" si="16"/>
        <v>1109.805357142857</v>
      </c>
      <c r="AM23" s="365">
        <v>1201.3</v>
      </c>
      <c r="AN23" s="223">
        <f>AM23*'KiGa - PS'!L24</f>
        <v>1201.3</v>
      </c>
      <c r="AO23" s="226">
        <f t="shared" si="17"/>
        <v>2.8024433722960754E-3</v>
      </c>
      <c r="AP23" s="223">
        <f t="shared" si="18"/>
        <v>600.65</v>
      </c>
      <c r="AQ23" s="224">
        <f t="shared" si="19"/>
        <v>42.903571428571425</v>
      </c>
      <c r="AR23" s="223">
        <f>Artengliederung!X23*'KiGa - PS'!L24</f>
        <v>13671.45</v>
      </c>
      <c r="AS23" s="226">
        <f t="shared" si="20"/>
        <v>3.1893335921232981E-2</v>
      </c>
      <c r="AT23" s="223">
        <f t="shared" si="21"/>
        <v>6835.7250000000004</v>
      </c>
      <c r="AU23" s="223">
        <f t="shared" si="22"/>
        <v>488.26607142857148</v>
      </c>
      <c r="AV23" s="227">
        <f t="shared" si="23"/>
        <v>0.2934250124777899</v>
      </c>
    </row>
    <row r="24" spans="1:48" x14ac:dyDescent="0.25">
      <c r="A24" s="365" t="s">
        <v>104</v>
      </c>
      <c r="B24" s="365" t="s">
        <v>34</v>
      </c>
      <c r="C24" s="328">
        <v>4</v>
      </c>
      <c r="D24" s="328">
        <f>Kennzahlen!H24</f>
        <v>101</v>
      </c>
      <c r="E24" s="223">
        <f>'KiGa - PS'!F25+'KiGa - PS'!L25*Funktional!H24</f>
        <v>7506882.8553178748</v>
      </c>
      <c r="F24" s="223">
        <f t="shared" si="24"/>
        <v>1876720.7138294687</v>
      </c>
      <c r="G24" s="224">
        <f t="shared" si="2"/>
        <v>74325.572824929448</v>
      </c>
      <c r="H24" s="223">
        <f>I24-'KiGa - PS'!H25</f>
        <v>8435233.1499999985</v>
      </c>
      <c r="I24" s="223">
        <f t="shared" si="3"/>
        <v>9336622.4999999981</v>
      </c>
      <c r="J24" s="365">
        <v>9416474.9499999993</v>
      </c>
      <c r="K24" s="365">
        <v>48430.3</v>
      </c>
      <c r="L24" s="365">
        <v>0</v>
      </c>
      <c r="M24" s="365">
        <v>31422.15</v>
      </c>
      <c r="N24" s="365"/>
      <c r="O24" s="365"/>
      <c r="P24" s="365">
        <v>907077.4</v>
      </c>
      <c r="Q24" s="27">
        <f t="shared" si="4"/>
        <v>875655.25</v>
      </c>
      <c r="R24" s="223">
        <f>(Q24-'KiGa - PS'!H25)*'KiGa - PS'!L25+'KiGa - PS'!F25</f>
        <v>704049.17660471855</v>
      </c>
      <c r="S24" s="226">
        <f t="shared" si="5"/>
        <v>9.3787153759295736E-2</v>
      </c>
      <c r="T24" s="223">
        <f t="shared" si="6"/>
        <v>176012.29415117964</v>
      </c>
      <c r="U24" s="224">
        <f t="shared" si="7"/>
        <v>6970.7839267793915</v>
      </c>
      <c r="V24" s="365">
        <v>122952.85</v>
      </c>
      <c r="W24" s="223">
        <f>V24*'KiGa - PS'!L25</f>
        <v>98857.230403978596</v>
      </c>
      <c r="X24" s="226">
        <f t="shared" si="8"/>
        <v>1.3168878788876816E-2</v>
      </c>
      <c r="Y24" s="223">
        <f t="shared" si="9"/>
        <v>24714.307600994649</v>
      </c>
      <c r="Z24" s="224">
        <f t="shared" si="10"/>
        <v>978.78445944533269</v>
      </c>
      <c r="AA24" s="365">
        <v>286117.45</v>
      </c>
      <c r="AB24" s="365">
        <v>11810</v>
      </c>
      <c r="AC24" s="225">
        <f>Artengliederung!AE24</f>
        <v>315000</v>
      </c>
      <c r="AD24" s="223">
        <f>AC24*'KiGa - PS'!L25</f>
        <v>253268.041995393</v>
      </c>
      <c r="AE24" s="226">
        <f t="shared" si="11"/>
        <v>3.3738110328440513E-2</v>
      </c>
      <c r="AF24" s="223">
        <f t="shared" si="12"/>
        <v>63317.010498848249</v>
      </c>
      <c r="AG24" s="224">
        <f t="shared" si="13"/>
        <v>2507.60437619201</v>
      </c>
      <c r="AH24" s="225">
        <f t="shared" ref="AH24:AH39" si="25">AA24-AB24</f>
        <v>274307.45</v>
      </c>
      <c r="AI24" s="223">
        <f>AH24*'KiGa - PS'!L25</f>
        <v>220550.19290872751</v>
      </c>
      <c r="AJ24" s="226">
        <f t="shared" si="14"/>
        <v>2.9379730196867238E-2</v>
      </c>
      <c r="AK24" s="223">
        <f t="shared" si="15"/>
        <v>55137.548227181876</v>
      </c>
      <c r="AL24" s="224">
        <f t="shared" si="16"/>
        <v>2183.6652763240345</v>
      </c>
      <c r="AM24" s="365">
        <v>20226.45</v>
      </c>
      <c r="AN24" s="223">
        <f>AM24*'KiGa - PS'!L25</f>
        <v>16262.582184183228</v>
      </c>
      <c r="AO24" s="226">
        <f t="shared" si="17"/>
        <v>2.1663561957228116E-3</v>
      </c>
      <c r="AP24" s="223">
        <f t="shared" si="18"/>
        <v>4065.6455460458069</v>
      </c>
      <c r="AQ24" s="224">
        <f t="shared" si="19"/>
        <v>161.01566518993295</v>
      </c>
      <c r="AR24" s="223">
        <f>Artengliederung!X24*'KiGa - PS'!L25</f>
        <v>67518.043893851194</v>
      </c>
      <c r="AS24" s="226">
        <f t="shared" si="20"/>
        <v>8.9941517931136257E-3</v>
      </c>
      <c r="AT24" s="223">
        <f t="shared" si="21"/>
        <v>16879.510973462799</v>
      </c>
      <c r="AU24" s="223">
        <f t="shared" si="22"/>
        <v>668.49548409753663</v>
      </c>
      <c r="AV24" s="227">
        <f t="shared" si="23"/>
        <v>0.81876561893768329</v>
      </c>
    </row>
    <row r="25" spans="1:48" x14ac:dyDescent="0.25">
      <c r="A25" s="365" t="s">
        <v>105</v>
      </c>
      <c r="B25" s="365" t="s">
        <v>34</v>
      </c>
      <c r="C25" s="328">
        <v>3</v>
      </c>
      <c r="D25" s="328">
        <f>Kennzahlen!H25</f>
        <v>63</v>
      </c>
      <c r="E25" s="223">
        <f>'KiGa - PS'!F26+'KiGa - PS'!L26*Funktional!H25</f>
        <v>695301.66079225868</v>
      </c>
      <c r="F25" s="223">
        <f t="shared" si="24"/>
        <v>231767.22026408624</v>
      </c>
      <c r="G25" s="224">
        <f t="shared" ref="G25:G40" si="26">E25/D25</f>
        <v>11036.53429828982</v>
      </c>
      <c r="H25" s="223">
        <f>I25-'KiGa - PS'!H26</f>
        <v>264743.69999999995</v>
      </c>
      <c r="I25" s="223">
        <f t="shared" ref="I25:I40" si="27">J25-K25-L25-M25</f>
        <v>838271</v>
      </c>
      <c r="J25" s="365">
        <v>860650.75</v>
      </c>
      <c r="K25" s="365">
        <v>11586</v>
      </c>
      <c r="L25" s="365">
        <v>0</v>
      </c>
      <c r="M25" s="365">
        <v>10793.75</v>
      </c>
      <c r="N25" s="365"/>
      <c r="O25" s="365"/>
      <c r="P25" s="365">
        <v>574178.6</v>
      </c>
      <c r="Q25" s="27">
        <f t="shared" ref="Q25:Q40" si="28">P25-M25</f>
        <v>563384.85</v>
      </c>
      <c r="R25" s="223">
        <f>(Q25-'KiGa - PS'!H26)*'KiGa - PS'!L26+'KiGa - PS'!F26</f>
        <v>467298.07170974248</v>
      </c>
      <c r="S25" s="226">
        <f t="shared" ref="S25:S40" si="29">R25/$E25</f>
        <v>0.67207961387188631</v>
      </c>
      <c r="T25" s="223">
        <f t="shared" ref="T25:T40" si="30">R25/C25</f>
        <v>155766.02390324749</v>
      </c>
      <c r="U25" s="224">
        <f t="shared" ref="U25:U40" si="31">R25/D25</f>
        <v>7417.4297096784521</v>
      </c>
      <c r="V25" s="365">
        <v>38223.85</v>
      </c>
      <c r="W25" s="223">
        <f>V25*'KiGa - PS'!L26</f>
        <v>31704.671146770168</v>
      </c>
      <c r="X25" s="226">
        <f t="shared" ref="X25:X40" si="32">W25/$E25</f>
        <v>4.5598440122585654E-2</v>
      </c>
      <c r="Y25" s="223">
        <f t="shared" ref="Y25:Y40" si="33">W25/C25</f>
        <v>10568.223715590057</v>
      </c>
      <c r="Z25" s="224">
        <f t="shared" ref="Z25:Z40" si="34">W25/D25</f>
        <v>503.24874836143124</v>
      </c>
      <c r="AA25" s="365">
        <v>66523.8</v>
      </c>
      <c r="AB25" s="365">
        <v>19560.599999999999</v>
      </c>
      <c r="AC25" s="225">
        <f>Artengliederung!AE25</f>
        <v>66423</v>
      </c>
      <c r="AD25" s="223">
        <f>AC25*'KiGa - PS'!L26</f>
        <v>55094.381428922388</v>
      </c>
      <c r="AE25" s="226">
        <f t="shared" ref="AE25:AE40" si="35">AD25/$E25</f>
        <v>7.9238098419246283E-2</v>
      </c>
      <c r="AF25" s="223">
        <f t="shared" ref="AF25:AF40" si="36">AD25/C25</f>
        <v>18364.793809640796</v>
      </c>
      <c r="AG25" s="224">
        <f t="shared" ref="AG25:AG40" si="37">AD25/D25</f>
        <v>874.51399093527596</v>
      </c>
      <c r="AH25" s="225">
        <f t="shared" si="25"/>
        <v>46963.200000000004</v>
      </c>
      <c r="AI25" s="223">
        <f>AH25*'KiGa - PS'!L26</f>
        <v>38953.501858133</v>
      </c>
      <c r="AJ25" s="226">
        <f t="shared" ref="AJ25:AJ40" si="38">AI25/$E25</f>
        <v>5.6023887263188167E-2</v>
      </c>
      <c r="AK25" s="223">
        <f t="shared" ref="AK25:AK40" si="39">AI25/C25</f>
        <v>12984.500619377666</v>
      </c>
      <c r="AL25" s="224">
        <f t="shared" ref="AL25:AL40" si="40">AI25/D25</f>
        <v>618.30955330369841</v>
      </c>
      <c r="AM25" s="365">
        <v>-1812.45</v>
      </c>
      <c r="AN25" s="223">
        <f>AM25*'KiGa - PS'!L26</f>
        <v>-1503.3318522326661</v>
      </c>
      <c r="AO25" s="226">
        <f t="shared" ref="AO25:AO40" si="41">AN25/$E25</f>
        <v>-2.1621289535245763E-3</v>
      </c>
      <c r="AP25" s="223">
        <f t="shared" ref="AP25:AP40" si="42">AN25/C25</f>
        <v>-501.11061741088866</v>
      </c>
      <c r="AQ25" s="224">
        <f t="shared" ref="AQ25:AQ40" si="43">AN25/$D25</f>
        <v>-23.86241035289946</v>
      </c>
      <c r="AR25" s="223">
        <f>Artengliederung!X25*'KiGa - PS'!L26</f>
        <v>36153.992629705681</v>
      </c>
      <c r="AS25" s="226">
        <f t="shared" ref="AS25:AS40" si="44">AR25/E25</f>
        <v>5.1997564033588184E-2</v>
      </c>
      <c r="AT25" s="223">
        <f t="shared" ref="AT25:AT40" si="45">AR25/C25</f>
        <v>12051.33087656856</v>
      </c>
      <c r="AU25" s="223">
        <f t="shared" ref="AU25:AU40" si="46">AR25/D25</f>
        <v>573.87289888421719</v>
      </c>
      <c r="AV25" s="227">
        <f t="shared" ref="AV25:AV40" si="47">1-S25-X25-AJ25-AE25-AO25-AS25</f>
        <v>9.7224525243030019E-2</v>
      </c>
    </row>
    <row r="26" spans="1:48" x14ac:dyDescent="0.25">
      <c r="A26" s="365" t="s">
        <v>106</v>
      </c>
      <c r="B26" s="365" t="s">
        <v>34</v>
      </c>
      <c r="C26" s="328">
        <v>2</v>
      </c>
      <c r="D26" s="328">
        <f>Kennzahlen!H26</f>
        <v>43</v>
      </c>
      <c r="E26" s="223">
        <f>I26</f>
        <v>425670.6</v>
      </c>
      <c r="F26" s="223">
        <f t="shared" ref="F26:F41" si="48">E26/C26</f>
        <v>212835.3</v>
      </c>
      <c r="G26" s="224">
        <f t="shared" si="26"/>
        <v>9899.3162790697661</v>
      </c>
      <c r="H26" s="223">
        <f>I26-'KiGa - PS'!H27</f>
        <v>87725.199999999953</v>
      </c>
      <c r="I26" s="223">
        <f>J26-K26-L26-M26</f>
        <v>425670.6</v>
      </c>
      <c r="J26" s="365">
        <v>494809.7</v>
      </c>
      <c r="K26" s="365">
        <v>3286.2</v>
      </c>
      <c r="L26" s="365">
        <v>0</v>
      </c>
      <c r="M26" s="365">
        <v>65852.899999999994</v>
      </c>
      <c r="N26" s="365"/>
      <c r="O26" s="365"/>
      <c r="P26" s="365">
        <v>342507.6</v>
      </c>
      <c r="Q26" s="27">
        <f t="shared" si="28"/>
        <v>276654.69999999995</v>
      </c>
      <c r="R26" s="223">
        <f>Q26</f>
        <v>276654.69999999995</v>
      </c>
      <c r="S26" s="226">
        <f t="shared" si="29"/>
        <v>0.64992672738027946</v>
      </c>
      <c r="T26" s="223">
        <f t="shared" si="30"/>
        <v>138327.34999999998</v>
      </c>
      <c r="U26" s="224">
        <f t="shared" si="31"/>
        <v>6433.8302325581381</v>
      </c>
      <c r="V26" s="365">
        <v>20718.3</v>
      </c>
      <c r="W26" s="223">
        <f>V26*'KiGa - PS'!L27</f>
        <v>20718.3</v>
      </c>
      <c r="X26" s="226">
        <f t="shared" si="32"/>
        <v>4.8672142262115352E-2</v>
      </c>
      <c r="Y26" s="223">
        <f t="shared" si="33"/>
        <v>10359.15</v>
      </c>
      <c r="Z26" s="224">
        <f t="shared" si="34"/>
        <v>481.82093023255811</v>
      </c>
      <c r="AA26" s="365">
        <v>78790.3</v>
      </c>
      <c r="AB26" s="365">
        <v>18102.650000000001</v>
      </c>
      <c r="AC26" s="225">
        <f>Artengliederung!AE26</f>
        <v>13052</v>
      </c>
      <c r="AD26" s="223">
        <f>AC26*'KiGa - PS'!L27</f>
        <v>13052</v>
      </c>
      <c r="AE26" s="226">
        <f t="shared" si="35"/>
        <v>3.0662206880155689E-2</v>
      </c>
      <c r="AF26" s="223">
        <f t="shared" si="36"/>
        <v>6526</v>
      </c>
      <c r="AG26" s="224">
        <f t="shared" si="37"/>
        <v>303.53488372093022</v>
      </c>
      <c r="AH26" s="225">
        <f t="shared" si="25"/>
        <v>60687.65</v>
      </c>
      <c r="AI26" s="223">
        <f>AH26*'KiGa - PS'!L27</f>
        <v>60687.65</v>
      </c>
      <c r="AJ26" s="226">
        <f t="shared" si="38"/>
        <v>0.14256951267012569</v>
      </c>
      <c r="AK26" s="223">
        <f t="shared" si="39"/>
        <v>30343.825000000001</v>
      </c>
      <c r="AL26" s="224">
        <f t="shared" si="40"/>
        <v>1411.3406976744186</v>
      </c>
      <c r="AM26" s="365">
        <v>1402.8</v>
      </c>
      <c r="AN26" s="223">
        <f>AM26*'KiGa - PS'!L27</f>
        <v>1402.8</v>
      </c>
      <c r="AO26" s="226">
        <f t="shared" si="41"/>
        <v>3.2955059616520382E-3</v>
      </c>
      <c r="AP26" s="223">
        <f t="shared" si="42"/>
        <v>701.4</v>
      </c>
      <c r="AQ26" s="224">
        <f t="shared" si="43"/>
        <v>32.623255813953485</v>
      </c>
      <c r="AR26" s="223">
        <f>Artengliederung!X26*'KiGa - PS'!L27</f>
        <v>13406.25</v>
      </c>
      <c r="AS26" s="226">
        <f t="shared" si="44"/>
        <v>3.1494423152550355E-2</v>
      </c>
      <c r="AT26" s="223">
        <f t="shared" si="45"/>
        <v>6703.125</v>
      </c>
      <c r="AU26" s="223">
        <f t="shared" si="46"/>
        <v>311.77325581395348</v>
      </c>
      <c r="AV26" s="227">
        <f t="shared" si="47"/>
        <v>9.3379481693121408E-2</v>
      </c>
    </row>
    <row r="27" spans="1:48" x14ac:dyDescent="0.25">
      <c r="A27" s="365" t="s">
        <v>107</v>
      </c>
      <c r="B27" s="365" t="s">
        <v>34</v>
      </c>
      <c r="C27" s="328">
        <v>4</v>
      </c>
      <c r="D27" s="328">
        <f>Kennzahlen!H27</f>
        <v>80</v>
      </c>
      <c r="E27" s="223">
        <f>'KiGa - PS'!F28+'KiGa - PS'!L28*Funktional!H27</f>
        <v>975539.30523751676</v>
      </c>
      <c r="F27" s="223">
        <f t="shared" si="48"/>
        <v>243884.82630937919</v>
      </c>
      <c r="G27" s="224">
        <f t="shared" si="26"/>
        <v>12194.24131546896</v>
      </c>
      <c r="H27" s="223">
        <f>I27-'KiGa - PS'!H28</f>
        <v>476027.74999999988</v>
      </c>
      <c r="I27" s="223">
        <f t="shared" si="27"/>
        <v>1149792.6499999999</v>
      </c>
      <c r="J27" s="365">
        <v>1211560.45</v>
      </c>
      <c r="K27" s="365">
        <v>23815.5</v>
      </c>
      <c r="L27" s="365">
        <v>0</v>
      </c>
      <c r="M27" s="365">
        <v>37952.300000000003</v>
      </c>
      <c r="N27" s="365"/>
      <c r="O27" s="365"/>
      <c r="P27" s="365">
        <v>725178.85</v>
      </c>
      <c r="Q27" s="27">
        <f t="shared" si="28"/>
        <v>687226.54999999993</v>
      </c>
      <c r="R27" s="223">
        <f>(Q27-'KiGa - PS'!H28)*'KiGa - PS'!L28+'KiGa - PS'!F28</f>
        <v>583076.01038132876</v>
      </c>
      <c r="S27" s="226">
        <f t="shared" si="29"/>
        <v>0.5976960715482047</v>
      </c>
      <c r="T27" s="223">
        <f t="shared" si="30"/>
        <v>145769.00259533219</v>
      </c>
      <c r="U27" s="224">
        <f t="shared" si="31"/>
        <v>7288.4501297666093</v>
      </c>
      <c r="V27" s="365">
        <v>43133.55</v>
      </c>
      <c r="W27" s="223">
        <f>V27*'KiGa - PS'!L28</f>
        <v>36596.575390726051</v>
      </c>
      <c r="X27" s="226">
        <f t="shared" si="32"/>
        <v>3.7514198755749573E-2</v>
      </c>
      <c r="Y27" s="223">
        <f t="shared" si="33"/>
        <v>9149.1438476815129</v>
      </c>
      <c r="Z27" s="224">
        <f t="shared" si="34"/>
        <v>457.45719238407565</v>
      </c>
      <c r="AA27" s="365">
        <v>181839.7</v>
      </c>
      <c r="AB27" s="365">
        <v>30165</v>
      </c>
      <c r="AC27" s="225">
        <f>Artengliederung!AE27</f>
        <v>51156.5</v>
      </c>
      <c r="AD27" s="223">
        <f>AC27*'KiGa - PS'!L28</f>
        <v>43403.631488149644</v>
      </c>
      <c r="AE27" s="226">
        <f t="shared" si="35"/>
        <v>4.4491935132825899E-2</v>
      </c>
      <c r="AF27" s="223">
        <f t="shared" si="36"/>
        <v>10850.907872037411</v>
      </c>
      <c r="AG27" s="224">
        <f t="shared" si="37"/>
        <v>542.5453936018705</v>
      </c>
      <c r="AH27" s="225">
        <f t="shared" si="25"/>
        <v>151674.70000000001</v>
      </c>
      <c r="AI27" s="223">
        <f>AH27*'KiGa - PS'!L28</f>
        <v>128688.09994576743</v>
      </c>
      <c r="AJ27" s="226">
        <f t="shared" si="38"/>
        <v>0.13191482829534526</v>
      </c>
      <c r="AK27" s="223">
        <f t="shared" si="39"/>
        <v>32172.024986441858</v>
      </c>
      <c r="AL27" s="224">
        <f t="shared" si="40"/>
        <v>1608.6012493220928</v>
      </c>
      <c r="AM27" s="365">
        <v>3765.9</v>
      </c>
      <c r="AN27" s="223">
        <f>AM27*'KiGa - PS'!L28</f>
        <v>3195.1704245056399</v>
      </c>
      <c r="AO27" s="226">
        <f t="shared" si="41"/>
        <v>3.2752862005162413E-3</v>
      </c>
      <c r="AP27" s="223">
        <f t="shared" si="42"/>
        <v>798.79260612640996</v>
      </c>
      <c r="AQ27" s="224">
        <f t="shared" si="43"/>
        <v>39.939630306320495</v>
      </c>
      <c r="AR27" s="223">
        <f>Artengliederung!X27*'KiGa - PS'!L28</f>
        <v>40844.500127010171</v>
      </c>
      <c r="AS27" s="226">
        <f t="shared" si="44"/>
        <v>4.1868636053639753E-2</v>
      </c>
      <c r="AT27" s="223">
        <f t="shared" si="45"/>
        <v>10211.125031752543</v>
      </c>
      <c r="AU27" s="223">
        <f t="shared" si="46"/>
        <v>510.55625158762712</v>
      </c>
      <c r="AV27" s="227">
        <f t="shared" si="47"/>
        <v>0.14323904401371859</v>
      </c>
    </row>
    <row r="28" spans="1:48" x14ac:dyDescent="0.25">
      <c r="A28" s="365" t="s">
        <v>108</v>
      </c>
      <c r="B28" s="365" t="s">
        <v>34</v>
      </c>
      <c r="C28" s="328">
        <v>13</v>
      </c>
      <c r="D28" s="328">
        <f>Kennzahlen!H28</f>
        <v>218</v>
      </c>
      <c r="E28" s="223">
        <f>'KiGa - PS'!F29+'KiGa - PS'!L29*Funktional!H28</f>
        <v>3112036.9978763079</v>
      </c>
      <c r="F28" s="223">
        <f t="shared" si="48"/>
        <v>239387.4613751006</v>
      </c>
      <c r="G28" s="224">
        <f t="shared" si="26"/>
        <v>14275.3990728271</v>
      </c>
      <c r="H28" s="223">
        <f>I28-'KiGa - PS'!H29</f>
        <v>1306631.8999999999</v>
      </c>
      <c r="I28" s="223">
        <f t="shared" si="27"/>
        <v>3493470.65</v>
      </c>
      <c r="J28" s="365">
        <v>3632036.4</v>
      </c>
      <c r="K28" s="365">
        <v>136205.95000000001</v>
      </c>
      <c r="L28" s="365">
        <v>0</v>
      </c>
      <c r="M28" s="365">
        <v>2359.8000000000002</v>
      </c>
      <c r="N28" s="365"/>
      <c r="O28" s="365"/>
      <c r="P28" s="365">
        <v>2384225.7999999998</v>
      </c>
      <c r="Q28" s="27">
        <f t="shared" si="28"/>
        <v>2381866</v>
      </c>
      <c r="R28" s="223">
        <f>(Q28-'KiGa - PS'!H29)*'KiGa - PS'!L29+'KiGa - PS'!F29</f>
        <v>2121802.6022298629</v>
      </c>
      <c r="S28" s="226">
        <f t="shared" si="29"/>
        <v>0.68180506969480348</v>
      </c>
      <c r="T28" s="223">
        <f t="shared" si="30"/>
        <v>163215.58478691254</v>
      </c>
      <c r="U28" s="224">
        <f t="shared" si="31"/>
        <v>9733.0394597700142</v>
      </c>
      <c r="V28" s="365">
        <v>139481.25</v>
      </c>
      <c r="W28" s="223">
        <f>V28*'KiGa - PS'!L29</f>
        <v>124252.02728124673</v>
      </c>
      <c r="X28" s="226">
        <f t="shared" si="32"/>
        <v>3.992626931043488E-2</v>
      </c>
      <c r="Y28" s="223">
        <f t="shared" si="33"/>
        <v>9557.8482524035953</v>
      </c>
      <c r="Z28" s="224">
        <f t="shared" si="34"/>
        <v>569.96342789562721</v>
      </c>
      <c r="AA28" s="365">
        <v>381638.05</v>
      </c>
      <c r="AB28" s="365">
        <v>134000.15</v>
      </c>
      <c r="AC28" s="225">
        <f>Artengliederung!AE28</f>
        <v>292587</v>
      </c>
      <c r="AD28" s="223">
        <f>AC28*'KiGa - PS'!L29</f>
        <v>260640.96719909046</v>
      </c>
      <c r="AE28" s="226">
        <f t="shared" si="35"/>
        <v>8.3752528449036773E-2</v>
      </c>
      <c r="AF28" s="223">
        <f t="shared" si="36"/>
        <v>20049.305169160805</v>
      </c>
      <c r="AG28" s="224">
        <f t="shared" si="37"/>
        <v>1195.6007669683049</v>
      </c>
      <c r="AH28" s="225">
        <f t="shared" si="25"/>
        <v>247637.9</v>
      </c>
      <c r="AI28" s="223">
        <f>AH28*'KiGa - PS'!L29</f>
        <v>220599.62257773464</v>
      </c>
      <c r="AJ28" s="226">
        <f t="shared" si="38"/>
        <v>7.0885925433494049E-2</v>
      </c>
      <c r="AK28" s="223">
        <f t="shared" si="39"/>
        <v>16969.201736748819</v>
      </c>
      <c r="AL28" s="224">
        <f t="shared" si="40"/>
        <v>1011.9248742097919</v>
      </c>
      <c r="AM28" s="365">
        <v>10633.15</v>
      </c>
      <c r="AN28" s="223">
        <f>AM28*'KiGa - PS'!L29</f>
        <v>9472.1723807722447</v>
      </c>
      <c r="AO28" s="226">
        <f t="shared" si="41"/>
        <v>3.04372100564234E-3</v>
      </c>
      <c r="AP28" s="223">
        <f t="shared" si="42"/>
        <v>728.62864467478801</v>
      </c>
      <c r="AQ28" s="224">
        <f t="shared" si="43"/>
        <v>43.450332021891029</v>
      </c>
      <c r="AR28" s="223">
        <f>Artengliederung!X28*'KiGa - PS'!L29</f>
        <v>163861.01471164712</v>
      </c>
      <c r="AS28" s="226">
        <f t="shared" si="44"/>
        <v>5.2653941718388268E-2</v>
      </c>
      <c r="AT28" s="223">
        <f t="shared" si="45"/>
        <v>12604.69343935747</v>
      </c>
      <c r="AU28" s="223">
        <f t="shared" si="46"/>
        <v>751.65603078737206</v>
      </c>
      <c r="AV28" s="227">
        <f t="shared" si="47"/>
        <v>6.7932544388200233E-2</v>
      </c>
    </row>
    <row r="29" spans="1:48" x14ac:dyDescent="0.25">
      <c r="A29" s="365" t="s">
        <v>109</v>
      </c>
      <c r="B29" s="365" t="s">
        <v>34</v>
      </c>
      <c r="C29" s="328">
        <v>4</v>
      </c>
      <c r="D29" s="328">
        <f>Kennzahlen!H29</f>
        <v>96</v>
      </c>
      <c r="E29" s="223">
        <f>'KiGa - PS'!F30+'KiGa - PS'!L30*Funktional!H29</f>
        <v>1006226.0938906537</v>
      </c>
      <c r="F29" s="223">
        <f t="shared" si="48"/>
        <v>251556.52347266342</v>
      </c>
      <c r="G29" s="224">
        <f t="shared" si="26"/>
        <v>10481.521811360975</v>
      </c>
      <c r="H29" s="223">
        <f>I29-'KiGa - PS'!H30</f>
        <v>400725.95000000007</v>
      </c>
      <c r="I29" s="223">
        <f t="shared" si="27"/>
        <v>1254710.1000000001</v>
      </c>
      <c r="J29" s="365">
        <v>1297078.8500000001</v>
      </c>
      <c r="K29" s="365">
        <v>30920</v>
      </c>
      <c r="L29" s="365">
        <v>0</v>
      </c>
      <c r="M29" s="365">
        <v>11448.75</v>
      </c>
      <c r="N29" s="365"/>
      <c r="O29" s="365"/>
      <c r="P29" s="365">
        <v>855267.45</v>
      </c>
      <c r="Q29" s="27">
        <f t="shared" si="28"/>
        <v>843818.7</v>
      </c>
      <c r="R29" s="223">
        <f>(Q29-'KiGa - PS'!H30)*'KiGa - PS'!L30+'KiGa - PS'!F30</f>
        <v>676708.02558526408</v>
      </c>
      <c r="S29" s="226">
        <f t="shared" si="29"/>
        <v>0.672520847644408</v>
      </c>
      <c r="T29" s="223">
        <f t="shared" si="30"/>
        <v>169177.00639631602</v>
      </c>
      <c r="U29" s="224">
        <f t="shared" si="31"/>
        <v>7049.0419331798339</v>
      </c>
      <c r="V29" s="365">
        <v>64120.75</v>
      </c>
      <c r="W29" s="223">
        <f>V29*'KiGa - PS'!L30</f>
        <v>51422.21443012145</v>
      </c>
      <c r="X29" s="226">
        <f t="shared" si="32"/>
        <v>5.1104035904389382E-2</v>
      </c>
      <c r="Y29" s="223">
        <f t="shared" si="33"/>
        <v>12855.553607530363</v>
      </c>
      <c r="Z29" s="224">
        <f t="shared" si="34"/>
        <v>535.64806698043174</v>
      </c>
      <c r="AA29" s="365">
        <v>138593.5</v>
      </c>
      <c r="AB29" s="365">
        <v>30415.8</v>
      </c>
      <c r="AC29" s="225">
        <f>Artengliederung!AE29</f>
        <v>133626</v>
      </c>
      <c r="AD29" s="223">
        <f>AC29*'KiGa - PS'!L30</f>
        <v>107162.57725368791</v>
      </c>
      <c r="AE29" s="226">
        <f t="shared" si="35"/>
        <v>0.10649950135891947</v>
      </c>
      <c r="AF29" s="223">
        <f t="shared" si="36"/>
        <v>26790.644313421977</v>
      </c>
      <c r="AG29" s="224">
        <f t="shared" si="37"/>
        <v>1116.2768463925825</v>
      </c>
      <c r="AH29" s="225">
        <f t="shared" si="25"/>
        <v>108177.7</v>
      </c>
      <c r="AI29" s="223">
        <f>AH29*'KiGa - PS'!L30</f>
        <v>86754.083287505986</v>
      </c>
      <c r="AJ29" s="226">
        <f t="shared" si="38"/>
        <v>8.6217286367584037E-2</v>
      </c>
      <c r="AK29" s="223">
        <f t="shared" si="39"/>
        <v>21688.520821876496</v>
      </c>
      <c r="AL29" s="224">
        <f t="shared" si="40"/>
        <v>903.68836757818735</v>
      </c>
      <c r="AM29" s="365">
        <v>3591.3</v>
      </c>
      <c r="AN29" s="223">
        <f>AM29*'KiGa - PS'!L30</f>
        <v>2880.0754620445828</v>
      </c>
      <c r="AO29" s="226">
        <f t="shared" si="41"/>
        <v>2.8622547949522363E-3</v>
      </c>
      <c r="AP29" s="223">
        <f t="shared" si="42"/>
        <v>720.01886551114569</v>
      </c>
      <c r="AQ29" s="224">
        <f t="shared" si="43"/>
        <v>30.000786062964405</v>
      </c>
      <c r="AR29" s="223">
        <f>Artengliederung!X29*'KiGa - PS'!L30</f>
        <v>44062.115144560936</v>
      </c>
      <c r="AS29" s="226">
        <f t="shared" si="44"/>
        <v>4.3789477744699747E-2</v>
      </c>
      <c r="AT29" s="223">
        <f t="shared" si="45"/>
        <v>11015.528786140234</v>
      </c>
      <c r="AU29" s="223">
        <f t="shared" si="46"/>
        <v>458.98036608917641</v>
      </c>
      <c r="AV29" s="227">
        <f t="shared" si="47"/>
        <v>3.7006596185047126E-2</v>
      </c>
    </row>
    <row r="30" spans="1:48" x14ac:dyDescent="0.25">
      <c r="A30" s="365" t="s">
        <v>110</v>
      </c>
      <c r="B30" s="365" t="s">
        <v>34</v>
      </c>
      <c r="C30" s="328">
        <v>4</v>
      </c>
      <c r="D30" s="328">
        <f>Kennzahlen!H30</f>
        <v>89</v>
      </c>
      <c r="E30" s="223">
        <f>'KiGa - PS'!F31+'KiGa - PS'!L31*Funktional!H30</f>
        <v>907467.50536806975</v>
      </c>
      <c r="F30" s="223">
        <f t="shared" si="48"/>
        <v>226866.87634201744</v>
      </c>
      <c r="G30" s="224">
        <f t="shared" si="26"/>
        <v>10196.26410525921</v>
      </c>
      <c r="H30" s="223">
        <f>I30-'KiGa - PS'!H31</f>
        <v>422977.05000000005</v>
      </c>
      <c r="I30" s="223">
        <f t="shared" si="27"/>
        <v>1053088.1000000001</v>
      </c>
      <c r="J30" s="365">
        <v>1107508.1000000001</v>
      </c>
      <c r="K30" s="365">
        <v>20366.25</v>
      </c>
      <c r="L30" s="365">
        <v>0</v>
      </c>
      <c r="M30" s="365">
        <v>34053.75</v>
      </c>
      <c r="N30" s="365"/>
      <c r="O30" s="365"/>
      <c r="P30" s="365">
        <v>632381.25</v>
      </c>
      <c r="Q30" s="27">
        <f t="shared" si="28"/>
        <v>598327.5</v>
      </c>
      <c r="R30" s="223">
        <f>(Q30-'KiGa - PS'!H31)*'KiGa - PS'!L31+'KiGa - PS'!F31</f>
        <v>515591.01638135849</v>
      </c>
      <c r="S30" s="226">
        <f t="shared" si="29"/>
        <v>0.56816471480401298</v>
      </c>
      <c r="T30" s="223">
        <f t="shared" si="30"/>
        <v>128897.75409533962</v>
      </c>
      <c r="U30" s="224">
        <f t="shared" si="31"/>
        <v>5793.1574874309945</v>
      </c>
      <c r="V30" s="365">
        <v>41890.300000000003</v>
      </c>
      <c r="W30" s="223">
        <f>V30*'KiGa - PS'!L31</f>
        <v>36097.726334691324</v>
      </c>
      <c r="X30" s="226">
        <f t="shared" si="32"/>
        <v>3.9778533249022564E-2</v>
      </c>
      <c r="Y30" s="223">
        <f t="shared" si="33"/>
        <v>9024.431583672831</v>
      </c>
      <c r="Z30" s="224">
        <f t="shared" si="34"/>
        <v>405.59243072686883</v>
      </c>
      <c r="AA30" s="365">
        <v>178145.55</v>
      </c>
      <c r="AB30" s="365">
        <v>23262.9</v>
      </c>
      <c r="AC30" s="225">
        <f>Artengliederung!AE30</f>
        <v>129819</v>
      </c>
      <c r="AD30" s="223">
        <f>AC30*'KiGa - PS'!L31</f>
        <v>111867.68142131456</v>
      </c>
      <c r="AE30" s="226">
        <f t="shared" si="35"/>
        <v>0.12327458642823901</v>
      </c>
      <c r="AF30" s="223">
        <f t="shared" si="36"/>
        <v>27966.920355328639</v>
      </c>
      <c r="AG30" s="224">
        <f t="shared" si="37"/>
        <v>1256.9402406889276</v>
      </c>
      <c r="AH30" s="225">
        <f t="shared" si="25"/>
        <v>154882.65</v>
      </c>
      <c r="AI30" s="223">
        <f>AH30*'KiGa - PS'!L31</f>
        <v>133465.54008187525</v>
      </c>
      <c r="AJ30" s="226">
        <f t="shared" si="38"/>
        <v>0.14707473192413814</v>
      </c>
      <c r="AK30" s="223">
        <f t="shared" si="39"/>
        <v>33366.385020468813</v>
      </c>
      <c r="AL30" s="224">
        <f t="shared" si="40"/>
        <v>1499.6128099087107</v>
      </c>
      <c r="AM30" s="365">
        <v>3307.45</v>
      </c>
      <c r="AN30" s="223">
        <f>AM30*'KiGa - PS'!L31</f>
        <v>2850.0971577113273</v>
      </c>
      <c r="AO30" s="226">
        <f t="shared" si="41"/>
        <v>3.1407153874400441E-3</v>
      </c>
      <c r="AP30" s="223">
        <f t="shared" si="42"/>
        <v>712.52428942783183</v>
      </c>
      <c r="AQ30" s="224">
        <f t="shared" si="43"/>
        <v>32.023563569790191</v>
      </c>
      <c r="AR30" s="223">
        <f>Artengliederung!X30*'KiGa - PS'!L31</f>
        <v>79083.226962703644</v>
      </c>
      <c r="AS30" s="226">
        <f t="shared" si="44"/>
        <v>8.7147172207149612E-2</v>
      </c>
      <c r="AT30" s="223">
        <f t="shared" si="45"/>
        <v>19770.806740675911</v>
      </c>
      <c r="AU30" s="223">
        <f t="shared" si="46"/>
        <v>888.5755838506027</v>
      </c>
      <c r="AV30" s="227">
        <f t="shared" si="47"/>
        <v>3.1419545999997633E-2</v>
      </c>
    </row>
    <row r="31" spans="1:48" x14ac:dyDescent="0.25">
      <c r="A31" s="365" t="s">
        <v>111</v>
      </c>
      <c r="B31" s="365" t="s">
        <v>34</v>
      </c>
      <c r="C31" s="328">
        <v>3.5</v>
      </c>
      <c r="D31" s="328">
        <f>Kennzahlen!H31</f>
        <v>91</v>
      </c>
      <c r="E31" s="223">
        <f>'KiGa - PS'!F32+'KiGa - PS'!L32*Funktional!H31</f>
        <v>896807.98999241239</v>
      </c>
      <c r="F31" s="223">
        <f t="shared" si="48"/>
        <v>256230.85428354639</v>
      </c>
      <c r="G31" s="224">
        <f t="shared" si="26"/>
        <v>9855.0328570594775</v>
      </c>
      <c r="H31" s="223">
        <f>I31-'KiGa - PS'!H32</f>
        <v>441701.04999999981</v>
      </c>
      <c r="I31" s="223">
        <f t="shared" si="27"/>
        <v>1074983.0499999998</v>
      </c>
      <c r="J31" s="365">
        <v>1144897.2</v>
      </c>
      <c r="K31" s="365">
        <v>17367.3</v>
      </c>
      <c r="L31" s="365">
        <v>0</v>
      </c>
      <c r="M31" s="365">
        <v>52546.85</v>
      </c>
      <c r="N31" s="365"/>
      <c r="O31" s="365"/>
      <c r="P31" s="365">
        <v>648706</v>
      </c>
      <c r="Q31" s="27">
        <f t="shared" si="28"/>
        <v>596159.15</v>
      </c>
      <c r="R31" s="223">
        <f>(Q31-'KiGa - PS'!H32)*'KiGa - PS'!L32+'KiGa - PS'!F32</f>
        <v>497347.64564621291</v>
      </c>
      <c r="S31" s="226">
        <f t="shared" si="29"/>
        <v>0.55457539539809497</v>
      </c>
      <c r="T31" s="223">
        <f t="shared" si="30"/>
        <v>142099.32732748942</v>
      </c>
      <c r="U31" s="224">
        <f t="shared" si="31"/>
        <v>5465.3587433649773</v>
      </c>
      <c r="V31" s="365">
        <v>43042.65</v>
      </c>
      <c r="W31" s="223">
        <f>V31*'KiGa - PS'!L32</f>
        <v>35908.466119951299</v>
      </c>
      <c r="X31" s="226">
        <f t="shared" si="32"/>
        <v>4.0040305751797671E-2</v>
      </c>
      <c r="Y31" s="223">
        <f t="shared" si="33"/>
        <v>10259.561748557515</v>
      </c>
      <c r="Z31" s="224">
        <f t="shared" si="34"/>
        <v>394.59852879067364</v>
      </c>
      <c r="AA31" s="365">
        <v>107642.35</v>
      </c>
      <c r="AB31" s="365">
        <v>52710</v>
      </c>
      <c r="AC31" s="225">
        <f>Artengliederung!AE31</f>
        <v>150660</v>
      </c>
      <c r="AD31" s="223">
        <f>AC31*'KiGa - PS'!L32</f>
        <v>125688.57878480677</v>
      </c>
      <c r="AE31" s="226">
        <f t="shared" si="35"/>
        <v>0.14015104703278813</v>
      </c>
      <c r="AF31" s="223">
        <f t="shared" si="36"/>
        <v>35911.022509944793</v>
      </c>
      <c r="AG31" s="224">
        <f t="shared" si="37"/>
        <v>1381.193173459415</v>
      </c>
      <c r="AH31" s="225">
        <f t="shared" si="25"/>
        <v>54932.350000000006</v>
      </c>
      <c r="AI31" s="223">
        <f>AH31*'KiGa - PS'!L32</f>
        <v>45827.485734830618</v>
      </c>
      <c r="AJ31" s="226">
        <f t="shared" si="38"/>
        <v>5.1100666191899506E-2</v>
      </c>
      <c r="AK31" s="223">
        <f t="shared" si="39"/>
        <v>13093.567352808748</v>
      </c>
      <c r="AL31" s="224">
        <f t="shared" si="40"/>
        <v>503.59874433879799</v>
      </c>
      <c r="AM31" s="365">
        <v>4796.05</v>
      </c>
      <c r="AN31" s="223">
        <f>AM31*'KiGa - PS'!L32</f>
        <v>4001.1197947754713</v>
      </c>
      <c r="AO31" s="226">
        <f t="shared" si="41"/>
        <v>4.4615122070994521E-3</v>
      </c>
      <c r="AP31" s="223">
        <f t="shared" si="42"/>
        <v>1143.1770842215633</v>
      </c>
      <c r="AQ31" s="224">
        <f t="shared" si="43"/>
        <v>43.968349393137046</v>
      </c>
      <c r="AR31" s="223">
        <f>Artengliederung!X31*'KiGa - PS'!L32</f>
        <v>0</v>
      </c>
      <c r="AS31" s="226">
        <f t="shared" si="44"/>
        <v>0</v>
      </c>
      <c r="AT31" s="223">
        <f t="shared" si="45"/>
        <v>0</v>
      </c>
      <c r="AU31" s="223">
        <f t="shared" si="46"/>
        <v>0</v>
      </c>
      <c r="AV31" s="227">
        <f t="shared" si="47"/>
        <v>0.20967107341832025</v>
      </c>
    </row>
    <row r="32" spans="1:48" x14ac:dyDescent="0.25">
      <c r="A32" s="365" t="s">
        <v>112</v>
      </c>
      <c r="B32" s="365" t="s">
        <v>34</v>
      </c>
      <c r="C32" s="328">
        <v>11</v>
      </c>
      <c r="D32" s="328">
        <f>Kennzahlen!H32</f>
        <v>233</v>
      </c>
      <c r="E32" s="223">
        <f>'KiGa - PS'!F33+'KiGa - PS'!L33*Funktional!H32</f>
        <v>2582168.2949821511</v>
      </c>
      <c r="F32" s="223">
        <f t="shared" si="48"/>
        <v>234742.57227110464</v>
      </c>
      <c r="G32" s="224">
        <f t="shared" si="26"/>
        <v>11082.267360438416</v>
      </c>
      <c r="H32" s="223">
        <f>I32-'KiGa - PS'!H33</f>
        <v>1115546.7999999998</v>
      </c>
      <c r="I32" s="223">
        <f t="shared" si="27"/>
        <v>3074550.65</v>
      </c>
      <c r="J32" s="365">
        <v>3190709.4</v>
      </c>
      <c r="K32" s="365">
        <v>116158.75</v>
      </c>
      <c r="L32" s="365">
        <v>0</v>
      </c>
      <c r="M32" s="365">
        <v>0</v>
      </c>
      <c r="N32" s="365"/>
      <c r="O32" s="365"/>
      <c r="P32" s="365">
        <v>2200923.5499999998</v>
      </c>
      <c r="Q32" s="27">
        <f t="shared" si="28"/>
        <v>2200923.5499999998</v>
      </c>
      <c r="R32" s="223">
        <f>(Q32-'KiGa - PS'!H33)*'KiGa - PS'!L33+'KiGa - PS'!F33</f>
        <v>1848450.6054533734</v>
      </c>
      <c r="S32" s="226">
        <f t="shared" si="29"/>
        <v>0.71585210346103745</v>
      </c>
      <c r="T32" s="223">
        <f t="shared" si="30"/>
        <v>168040.96413212485</v>
      </c>
      <c r="U32" s="224">
        <f t="shared" si="31"/>
        <v>7933.2644010874392</v>
      </c>
      <c r="V32" s="365">
        <v>153935.04999999999</v>
      </c>
      <c r="W32" s="223">
        <f>V32*'KiGa - PS'!L33</f>
        <v>129282.6987893311</v>
      </c>
      <c r="X32" s="226">
        <f t="shared" si="32"/>
        <v>5.0067495228936949E-2</v>
      </c>
      <c r="Y32" s="223">
        <f t="shared" si="33"/>
        <v>11752.972617211919</v>
      </c>
      <c r="Z32" s="224">
        <f t="shared" si="34"/>
        <v>554.86136819455407</v>
      </c>
      <c r="AA32" s="365">
        <v>482406.15</v>
      </c>
      <c r="AB32" s="365">
        <v>259792.35</v>
      </c>
      <c r="AC32" s="225">
        <f>Artengliederung!AE32</f>
        <v>93392</v>
      </c>
      <c r="AD32" s="223">
        <f>AC32*'KiGa - PS'!L33</f>
        <v>78435.481752422274</v>
      </c>
      <c r="AE32" s="226">
        <f t="shared" si="35"/>
        <v>3.0375820935003947E-2</v>
      </c>
      <c r="AF32" s="223">
        <f t="shared" si="36"/>
        <v>7130.4983411292978</v>
      </c>
      <c r="AG32" s="224">
        <f t="shared" si="37"/>
        <v>336.63296889451618</v>
      </c>
      <c r="AH32" s="225">
        <f t="shared" si="25"/>
        <v>222613.80000000002</v>
      </c>
      <c r="AI32" s="223">
        <f>AH32*'KiGa - PS'!L33</f>
        <v>186962.7018131894</v>
      </c>
      <c r="AJ32" s="226">
        <f t="shared" si="38"/>
        <v>7.2405312301490304E-2</v>
      </c>
      <c r="AK32" s="223">
        <f t="shared" si="39"/>
        <v>16996.60925574449</v>
      </c>
      <c r="AL32" s="224">
        <f t="shared" si="40"/>
        <v>802.41502924115628</v>
      </c>
      <c r="AM32" s="365">
        <v>12919.5</v>
      </c>
      <c r="AN32" s="223">
        <f>AM32*'KiGa - PS'!L33</f>
        <v>10850.471202034645</v>
      </c>
      <c r="AO32" s="226">
        <f t="shared" si="41"/>
        <v>4.2020774645556737E-3</v>
      </c>
      <c r="AP32" s="223">
        <f t="shared" si="42"/>
        <v>986.40647291224047</v>
      </c>
      <c r="AQ32" s="224">
        <f t="shared" si="43"/>
        <v>46.568545931479164</v>
      </c>
      <c r="AR32" s="223">
        <f>Artengliederung!X32*'KiGa - PS'!L33</f>
        <v>67315.333991467138</v>
      </c>
      <c r="AS32" s="226">
        <f t="shared" si="44"/>
        <v>2.6069305444683437E-2</v>
      </c>
      <c r="AT32" s="223">
        <f t="shared" si="45"/>
        <v>6119.5758174061039</v>
      </c>
      <c r="AU32" s="223">
        <f t="shared" si="46"/>
        <v>288.90701283891474</v>
      </c>
      <c r="AV32" s="227">
        <f t="shared" si="47"/>
        <v>0.10102788516429226</v>
      </c>
    </row>
    <row r="33" spans="1:48" x14ac:dyDescent="0.25">
      <c r="A33" s="365" t="s">
        <v>113</v>
      </c>
      <c r="B33" s="365" t="s">
        <v>34</v>
      </c>
      <c r="C33" s="328">
        <v>1</v>
      </c>
      <c r="D33" s="328">
        <f>Kennzahlen!H33</f>
        <v>1</v>
      </c>
      <c r="E33" s="223">
        <f>I33</f>
        <v>45912.600000000006</v>
      </c>
      <c r="F33" s="234"/>
      <c r="G33" s="234"/>
      <c r="H33" s="223">
        <f>I33-'KiGa - PS'!H34</f>
        <v>6692.6000000000058</v>
      </c>
      <c r="I33" s="223">
        <f>J33-K33-L33-M33</f>
        <v>45912.600000000006</v>
      </c>
      <c r="J33" s="365">
        <v>85132.6</v>
      </c>
      <c r="K33" s="365">
        <v>0</v>
      </c>
      <c r="L33" s="365">
        <v>0</v>
      </c>
      <c r="M33" s="365">
        <v>39220</v>
      </c>
      <c r="N33" s="365"/>
      <c r="O33" s="365"/>
      <c r="P33" s="365">
        <v>40992.400000000001</v>
      </c>
      <c r="Q33" s="27">
        <f t="shared" si="28"/>
        <v>1772.4000000000015</v>
      </c>
      <c r="R33" s="223">
        <f>(Q33-'KiGa - PS'!H34)*'KiGa - PS'!L34+'KiGa - PS'!F34</f>
        <v>-8347.5999999999985</v>
      </c>
      <c r="S33" s="226"/>
      <c r="T33" s="223"/>
      <c r="U33" s="224"/>
      <c r="V33" s="365">
        <v>7987.8</v>
      </c>
      <c r="W33" s="223">
        <f>V33*'KiGa - PS'!L34</f>
        <v>7987.8</v>
      </c>
      <c r="X33" s="226"/>
      <c r="Y33" s="223"/>
      <c r="Z33" s="224"/>
      <c r="AA33" s="365">
        <v>26972.1</v>
      </c>
      <c r="AB33" s="365">
        <v>12000</v>
      </c>
      <c r="AC33" s="225">
        <f>Artengliederung!AE33</f>
        <v>4130</v>
      </c>
      <c r="AD33" s="223">
        <f>AC33*'KiGa - PS'!L34</f>
        <v>4130</v>
      </c>
      <c r="AE33" s="226"/>
      <c r="AF33" s="223"/>
      <c r="AG33" s="224"/>
      <c r="AH33" s="225">
        <f t="shared" si="25"/>
        <v>14972.099999999999</v>
      </c>
      <c r="AI33" s="223">
        <f>AH33*'KiGa - PS'!L34</f>
        <v>14972.099999999999</v>
      </c>
      <c r="AJ33" s="226"/>
      <c r="AK33" s="223"/>
      <c r="AL33" s="224"/>
      <c r="AM33" s="365">
        <v>0</v>
      </c>
      <c r="AN33" s="223">
        <f>AM33*'KiGa - PS'!L34</f>
        <v>0</v>
      </c>
      <c r="AO33" s="226"/>
      <c r="AP33" s="223"/>
      <c r="AQ33" s="224"/>
      <c r="AR33" s="223"/>
      <c r="AS33" s="226"/>
      <c r="AT33" s="223"/>
      <c r="AU33" s="223"/>
      <c r="AV33" s="227"/>
    </row>
    <row r="34" spans="1:48" x14ac:dyDescent="0.25">
      <c r="A34" s="365" t="s">
        <v>114</v>
      </c>
      <c r="B34" s="365" t="s">
        <v>34</v>
      </c>
      <c r="C34" s="328">
        <v>2</v>
      </c>
      <c r="D34" s="328">
        <f>Kennzahlen!H34</f>
        <v>36</v>
      </c>
      <c r="E34" s="223">
        <f>'KiGa - PS'!F35+'KiGa - PS'!L35*Funktional!H34</f>
        <v>527445.99267810036</v>
      </c>
      <c r="F34" s="223">
        <f t="shared" si="48"/>
        <v>263722.99633905018</v>
      </c>
      <c r="G34" s="224">
        <f t="shared" si="26"/>
        <v>14651.277574391677</v>
      </c>
      <c r="H34" s="223">
        <f>I34-'KiGa - PS'!H35</f>
        <v>273964.40000000002</v>
      </c>
      <c r="I34" s="223">
        <f t="shared" si="27"/>
        <v>625528.9</v>
      </c>
      <c r="J34" s="365">
        <v>657953.65</v>
      </c>
      <c r="K34" s="365">
        <v>8992</v>
      </c>
      <c r="L34" s="365">
        <v>0</v>
      </c>
      <c r="M34" s="365">
        <v>23432.75</v>
      </c>
      <c r="N34" s="365"/>
      <c r="O34" s="365"/>
      <c r="P34" s="365">
        <v>370091.65</v>
      </c>
      <c r="Q34" s="27">
        <f t="shared" si="28"/>
        <v>346658.9</v>
      </c>
      <c r="R34" s="223">
        <f>(Q34-'KiGa - PS'!H35)*'KiGa - PS'!L35+'KiGa - PS'!F35</f>
        <v>292302.79789023072</v>
      </c>
      <c r="S34" s="226">
        <f t="shared" si="29"/>
        <v>0.55418526626027997</v>
      </c>
      <c r="T34" s="223">
        <f t="shared" si="30"/>
        <v>146151.39894511536</v>
      </c>
      <c r="U34" s="224">
        <f t="shared" si="31"/>
        <v>8119.5221636175202</v>
      </c>
      <c r="V34" s="365">
        <v>26976.65</v>
      </c>
      <c r="W34" s="223">
        <f>V34*'KiGa - PS'!L35</f>
        <v>22746.712323570784</v>
      </c>
      <c r="X34" s="226">
        <f t="shared" si="32"/>
        <v>4.3126144931113497E-2</v>
      </c>
      <c r="Y34" s="223">
        <f t="shared" si="33"/>
        <v>11373.356161785392</v>
      </c>
      <c r="Z34" s="224">
        <f t="shared" si="34"/>
        <v>631.85312009918846</v>
      </c>
      <c r="AA34" s="365">
        <v>53754</v>
      </c>
      <c r="AB34" s="365">
        <v>35414</v>
      </c>
      <c r="AC34" s="225">
        <f>Artengliederung!AE34</f>
        <v>57300</v>
      </c>
      <c r="AD34" s="223">
        <f>AC34*'KiGa - PS'!L35</f>
        <v>48315.36221660606</v>
      </c>
      <c r="AE34" s="226">
        <f t="shared" si="35"/>
        <v>9.1602482315365441E-2</v>
      </c>
      <c r="AF34" s="223">
        <f t="shared" si="36"/>
        <v>24157.68110830303</v>
      </c>
      <c r="AG34" s="224">
        <f t="shared" si="37"/>
        <v>1342.0933949057239</v>
      </c>
      <c r="AH34" s="225">
        <f t="shared" si="25"/>
        <v>18340</v>
      </c>
      <c r="AI34" s="223">
        <f>AH34*'KiGa - PS'!L35</f>
        <v>15464.288709468676</v>
      </c>
      <c r="AJ34" s="226">
        <f t="shared" si="38"/>
        <v>2.9319188929560248E-2</v>
      </c>
      <c r="AK34" s="223">
        <f t="shared" si="39"/>
        <v>7732.1443547343379</v>
      </c>
      <c r="AL34" s="224">
        <f t="shared" si="40"/>
        <v>429.56357526301878</v>
      </c>
      <c r="AM34" s="365">
        <v>3522.05</v>
      </c>
      <c r="AN34" s="223">
        <f>AM34*'KiGa - PS'!L35</f>
        <v>2969.7926962477727</v>
      </c>
      <c r="AO34" s="226">
        <f t="shared" si="41"/>
        <v>5.6305152327894041E-3</v>
      </c>
      <c r="AP34" s="223">
        <f t="shared" si="42"/>
        <v>1484.8963481238864</v>
      </c>
      <c r="AQ34" s="224">
        <f t="shared" si="43"/>
        <v>82.494241562438134</v>
      </c>
      <c r="AR34" s="223">
        <f>Artengliederung!X34*'KiGa - PS'!L35</f>
        <v>48065.226925130381</v>
      </c>
      <c r="AS34" s="226">
        <f t="shared" si="44"/>
        <v>9.1128243635106215E-2</v>
      </c>
      <c r="AT34" s="223">
        <f t="shared" si="45"/>
        <v>24032.61346256519</v>
      </c>
      <c r="AU34" s="223">
        <f t="shared" si="46"/>
        <v>1335.1451923647328</v>
      </c>
      <c r="AV34" s="227">
        <f t="shared" si="47"/>
        <v>0.18500815869578521</v>
      </c>
    </row>
    <row r="35" spans="1:48" x14ac:dyDescent="0.25">
      <c r="A35" s="365" t="s">
        <v>115</v>
      </c>
      <c r="B35" s="365" t="s">
        <v>34</v>
      </c>
      <c r="C35" s="328">
        <v>2</v>
      </c>
      <c r="D35" s="328">
        <f>Kennzahlen!H35</f>
        <v>48</v>
      </c>
      <c r="E35" s="223">
        <f>I35</f>
        <v>477479.55</v>
      </c>
      <c r="F35" s="223">
        <f t="shared" si="48"/>
        <v>238739.77499999999</v>
      </c>
      <c r="G35" s="224">
        <f t="shared" si="26"/>
        <v>9947.4906250000004</v>
      </c>
      <c r="H35" s="223">
        <f>I35-'KiGa - PS'!H36</f>
        <v>121593.59999999998</v>
      </c>
      <c r="I35" s="223">
        <f>J35-K35-L35-M35</f>
        <v>477479.55</v>
      </c>
      <c r="J35" s="365">
        <f>569868.05-'KiGa - PS'!I36</f>
        <v>544566.75</v>
      </c>
      <c r="K35" s="365">
        <v>17073.5</v>
      </c>
      <c r="L35" s="365">
        <v>0</v>
      </c>
      <c r="M35" s="365">
        <v>50013.7</v>
      </c>
      <c r="N35" s="365"/>
      <c r="O35" s="365"/>
      <c r="P35" s="365">
        <f>356798.2-'KiGa - PS'!I36</f>
        <v>331496.90000000002</v>
      </c>
      <c r="Q35" s="27">
        <f t="shared" si="28"/>
        <v>281483.2</v>
      </c>
      <c r="R35" s="223">
        <f>Q35</f>
        <v>281483.2</v>
      </c>
      <c r="S35" s="226">
        <f t="shared" si="29"/>
        <v>0.58951886002238219</v>
      </c>
      <c r="T35" s="223">
        <f t="shared" si="30"/>
        <v>140741.6</v>
      </c>
      <c r="U35" s="224">
        <f t="shared" si="31"/>
        <v>5864.2333333333336</v>
      </c>
      <c r="V35" s="365">
        <v>30803.45</v>
      </c>
      <c r="W35" s="223">
        <f>V35*'KiGa - PS'!L36</f>
        <v>30803.45</v>
      </c>
      <c r="X35" s="226">
        <f t="shared" si="32"/>
        <v>6.4512605827830749E-2</v>
      </c>
      <c r="Y35" s="223">
        <f t="shared" si="33"/>
        <v>15401.725</v>
      </c>
      <c r="Z35" s="224">
        <f t="shared" si="34"/>
        <v>641.73854166666672</v>
      </c>
      <c r="AA35" s="365">
        <v>42482.400000000001</v>
      </c>
      <c r="AB35" s="365">
        <v>0</v>
      </c>
      <c r="AC35" s="225">
        <f>Artengliederung!AE35</f>
        <v>62315</v>
      </c>
      <c r="AD35" s="223">
        <f>AC35*'KiGa - PS'!L36</f>
        <v>62315</v>
      </c>
      <c r="AE35" s="226">
        <f t="shared" si="35"/>
        <v>0.13050820710541425</v>
      </c>
      <c r="AF35" s="223">
        <f t="shared" si="36"/>
        <v>31157.5</v>
      </c>
      <c r="AG35" s="224">
        <f t="shared" si="37"/>
        <v>1298.2291666666667</v>
      </c>
      <c r="AH35" s="225">
        <f t="shared" si="25"/>
        <v>42482.400000000001</v>
      </c>
      <c r="AI35" s="223">
        <f>AH35*'KiGa - PS'!L36</f>
        <v>42482.400000000001</v>
      </c>
      <c r="AJ35" s="226">
        <f t="shared" si="38"/>
        <v>8.8972187395250757E-2</v>
      </c>
      <c r="AK35" s="223">
        <f t="shared" si="39"/>
        <v>21241.200000000001</v>
      </c>
      <c r="AL35" s="224">
        <f t="shared" si="40"/>
        <v>885.05000000000007</v>
      </c>
      <c r="AM35" s="365">
        <v>1970.45</v>
      </c>
      <c r="AN35" s="223">
        <f>AM35*'KiGa - PS'!L36</f>
        <v>1970.45</v>
      </c>
      <c r="AO35" s="226">
        <f t="shared" si="41"/>
        <v>4.126773596900642E-3</v>
      </c>
      <c r="AP35" s="223">
        <f t="shared" si="42"/>
        <v>985.22500000000002</v>
      </c>
      <c r="AQ35" s="224">
        <f t="shared" si="43"/>
        <v>41.05104166666667</v>
      </c>
      <c r="AR35" s="223">
        <f>Artengliederung!X35*'KiGa - PS'!L36</f>
        <v>52083.75</v>
      </c>
      <c r="AS35" s="226">
        <f t="shared" si="44"/>
        <v>0.10908058784925972</v>
      </c>
      <c r="AT35" s="223">
        <f t="shared" si="45"/>
        <v>26041.875</v>
      </c>
      <c r="AU35" s="223">
        <f t="shared" si="46"/>
        <v>1085.078125</v>
      </c>
      <c r="AV35" s="227">
        <f t="shared" si="47"/>
        <v>1.3280778202961696E-2</v>
      </c>
    </row>
    <row r="36" spans="1:48" x14ac:dyDescent="0.25">
      <c r="A36" s="365" t="s">
        <v>116</v>
      </c>
      <c r="B36" s="365" t="s">
        <v>34</v>
      </c>
      <c r="C36" s="328">
        <v>9</v>
      </c>
      <c r="D36" s="328">
        <f>Kennzahlen!H36</f>
        <v>180</v>
      </c>
      <c r="E36" s="223">
        <f>'KiGa - PS'!F37+'KiGa - PS'!L37*Funktional!H36</f>
        <v>1900547.0929663209</v>
      </c>
      <c r="F36" s="223">
        <f t="shared" si="48"/>
        <v>211171.8992184801</v>
      </c>
      <c r="G36" s="224">
        <f t="shared" si="26"/>
        <v>10558.594960924005</v>
      </c>
      <c r="H36" s="223">
        <f>I36-'KiGa - PS'!H37</f>
        <v>598821.89999999944</v>
      </c>
      <c r="I36" s="223">
        <f t="shared" si="27"/>
        <v>2155559.1999999997</v>
      </c>
      <c r="J36" s="365">
        <v>2276618.7999999998</v>
      </c>
      <c r="K36" s="365">
        <v>63942.25</v>
      </c>
      <c r="L36" s="365">
        <v>0</v>
      </c>
      <c r="M36" s="365">
        <v>57117.35</v>
      </c>
      <c r="N36" s="365"/>
      <c r="O36" s="365"/>
      <c r="P36" s="365">
        <v>1559733.95</v>
      </c>
      <c r="Q36" s="27">
        <f t="shared" si="28"/>
        <v>1502616.5999999999</v>
      </c>
      <c r="R36" s="223">
        <f>(Q36-'KiGa - PS'!H37)*'KiGa - PS'!L37+'KiGa - PS'!F37</f>
        <v>1324850.4661681002</v>
      </c>
      <c r="S36" s="226">
        <f t="shared" si="29"/>
        <v>0.69708899667427371</v>
      </c>
      <c r="T36" s="223">
        <f t="shared" si="30"/>
        <v>147205.60735201114</v>
      </c>
      <c r="U36" s="224">
        <f t="shared" si="31"/>
        <v>7360.2803676005569</v>
      </c>
      <c r="V36" s="365">
        <v>83605.600000000006</v>
      </c>
      <c r="W36" s="223">
        <f>V36*'KiGa - PS'!L37</f>
        <v>73714.690849458028</v>
      </c>
      <c r="X36" s="226">
        <f t="shared" si="32"/>
        <v>3.8786037516390183E-2</v>
      </c>
      <c r="Y36" s="223">
        <f t="shared" si="33"/>
        <v>8190.5212054953363</v>
      </c>
      <c r="Z36" s="224">
        <f t="shared" si="34"/>
        <v>409.52606027476679</v>
      </c>
      <c r="AA36" s="365">
        <v>209621.3</v>
      </c>
      <c r="AB36" s="365">
        <v>24395.9</v>
      </c>
      <c r="AC36" s="225">
        <f>Artengliederung!AE36</f>
        <v>163371.1</v>
      </c>
      <c r="AD36" s="223">
        <f>AC36*'KiGa - PS'!L37</f>
        <v>144043.5823705098</v>
      </c>
      <c r="AE36" s="226">
        <f t="shared" si="35"/>
        <v>7.5790588354056831E-2</v>
      </c>
      <c r="AF36" s="223">
        <f t="shared" si="36"/>
        <v>16004.8424856122</v>
      </c>
      <c r="AG36" s="224">
        <f t="shared" si="37"/>
        <v>800.24212428061003</v>
      </c>
      <c r="AH36" s="225">
        <f t="shared" si="25"/>
        <v>185225.4</v>
      </c>
      <c r="AI36" s="223">
        <f>AH36*'KiGa - PS'!L37</f>
        <v>163312.42283372409</v>
      </c>
      <c r="AJ36" s="226">
        <f t="shared" si="38"/>
        <v>8.5929163996052646E-2</v>
      </c>
      <c r="AK36" s="223">
        <f t="shared" si="39"/>
        <v>18145.824759302675</v>
      </c>
      <c r="AL36" s="224">
        <f t="shared" si="40"/>
        <v>907.29123796513386</v>
      </c>
      <c r="AM36" s="365">
        <v>10608.85</v>
      </c>
      <c r="AN36" s="223">
        <f>AM36*'KiGa - PS'!L37</f>
        <v>9353.7765175810327</v>
      </c>
      <c r="AO36" s="226">
        <f t="shared" si="41"/>
        <v>4.9216231222042068E-3</v>
      </c>
      <c r="AP36" s="223">
        <f t="shared" si="42"/>
        <v>1039.3085019534481</v>
      </c>
      <c r="AQ36" s="224">
        <f t="shared" si="43"/>
        <v>51.965425097672401</v>
      </c>
      <c r="AR36" s="223">
        <f>Artengliederung!X36*'KiGa - PS'!L37</f>
        <v>106429.96253262994</v>
      </c>
      <c r="AS36" s="226">
        <f t="shared" si="44"/>
        <v>5.5999645010909475E-2</v>
      </c>
      <c r="AT36" s="223">
        <f t="shared" si="45"/>
        <v>11825.551392514439</v>
      </c>
      <c r="AU36" s="223">
        <f t="shared" si="46"/>
        <v>591.27756962572187</v>
      </c>
      <c r="AV36" s="227">
        <f t="shared" si="47"/>
        <v>4.1483945326112916E-2</v>
      </c>
    </row>
    <row r="37" spans="1:48" x14ac:dyDescent="0.25">
      <c r="A37" s="365" t="s">
        <v>117</v>
      </c>
      <c r="B37" s="365" t="s">
        <v>34</v>
      </c>
      <c r="C37" s="328">
        <v>4</v>
      </c>
      <c r="D37" s="328">
        <f>Kennzahlen!H37</f>
        <v>83</v>
      </c>
      <c r="E37" s="223">
        <f>'KiGa - PS'!F38+'KiGa - PS'!L38*Funktional!H37</f>
        <v>753460.81603016553</v>
      </c>
      <c r="F37" s="223">
        <f t="shared" si="48"/>
        <v>188365.20400754138</v>
      </c>
      <c r="G37" s="224">
        <f t="shared" si="26"/>
        <v>9077.8411569899454</v>
      </c>
      <c r="H37" s="223">
        <f>I37-'KiGa - PS'!H38</f>
        <v>198566.85000000009</v>
      </c>
      <c r="I37" s="223">
        <f t="shared" si="27"/>
        <v>863459.55</v>
      </c>
      <c r="J37" s="365">
        <v>955954.05</v>
      </c>
      <c r="K37" s="365">
        <v>11332.7</v>
      </c>
      <c r="L37" s="365">
        <v>0</v>
      </c>
      <c r="M37" s="365">
        <v>81161.8</v>
      </c>
      <c r="N37" s="365"/>
      <c r="O37" s="365"/>
      <c r="P37" s="365">
        <v>665743.85</v>
      </c>
      <c r="Q37" s="27">
        <f t="shared" si="28"/>
        <v>584582.04999999993</v>
      </c>
      <c r="R37" s="223">
        <f>(Q37-'KiGa - PS'!H38)*'KiGa - PS'!L38+'KiGa - PS'!F38</f>
        <v>510110.36756682693</v>
      </c>
      <c r="S37" s="226">
        <f t="shared" si="29"/>
        <v>0.677023086952944</v>
      </c>
      <c r="T37" s="223">
        <f t="shared" si="30"/>
        <v>127527.59189170673</v>
      </c>
      <c r="U37" s="224">
        <f t="shared" si="31"/>
        <v>6145.9080429738187</v>
      </c>
      <c r="V37" s="365">
        <v>57017.45</v>
      </c>
      <c r="W37" s="223">
        <f>V37*'KiGa - PS'!L38</f>
        <v>49753.823910985942</v>
      </c>
      <c r="X37" s="226">
        <f t="shared" si="32"/>
        <v>6.6033724451828688E-2</v>
      </c>
      <c r="Y37" s="223">
        <f t="shared" si="33"/>
        <v>12438.455977746486</v>
      </c>
      <c r="Z37" s="224">
        <f t="shared" si="34"/>
        <v>599.44366157814386</v>
      </c>
      <c r="AA37" s="365">
        <v>155776</v>
      </c>
      <c r="AB37" s="365">
        <v>13682.5</v>
      </c>
      <c r="AC37" s="225">
        <f>Artengliederung!AE37</f>
        <v>19720</v>
      </c>
      <c r="AD37" s="223">
        <f>AC37*'KiGa - PS'!L38</f>
        <v>17207.809320210617</v>
      </c>
      <c r="AE37" s="226">
        <f t="shared" si="35"/>
        <v>2.2838359944018224E-2</v>
      </c>
      <c r="AF37" s="223">
        <f t="shared" si="36"/>
        <v>4301.9523300526544</v>
      </c>
      <c r="AG37" s="224">
        <f t="shared" si="37"/>
        <v>207.32300385795924</v>
      </c>
      <c r="AH37" s="225">
        <f t="shared" si="25"/>
        <v>142093.5</v>
      </c>
      <c r="AI37" s="223">
        <f>AH37*'KiGa - PS'!L38</f>
        <v>123991.77756801964</v>
      </c>
      <c r="AJ37" s="226">
        <f t="shared" si="38"/>
        <v>0.16456300703374002</v>
      </c>
      <c r="AK37" s="223">
        <f t="shared" si="39"/>
        <v>30997.944392004909</v>
      </c>
      <c r="AL37" s="224">
        <f t="shared" si="40"/>
        <v>1493.8768381689113</v>
      </c>
      <c r="AM37" s="365">
        <v>3173.85</v>
      </c>
      <c r="AN37" s="223">
        <f>AM37*'KiGa - PS'!L38</f>
        <v>2769.5236111029649</v>
      </c>
      <c r="AO37" s="226">
        <f t="shared" si="41"/>
        <v>3.6757367499149212E-3</v>
      </c>
      <c r="AP37" s="223">
        <f t="shared" si="42"/>
        <v>692.38090277574122</v>
      </c>
      <c r="AQ37" s="224">
        <f t="shared" si="43"/>
        <v>33.36775435063813</v>
      </c>
      <c r="AR37" s="223">
        <f>Artengliederung!X37*'KiGa - PS'!L38</f>
        <v>26283.139892346542</v>
      </c>
      <c r="AS37" s="226">
        <f t="shared" si="44"/>
        <v>3.4883220644209678E-2</v>
      </c>
      <c r="AT37" s="223">
        <f t="shared" si="45"/>
        <v>6570.7849730866355</v>
      </c>
      <c r="AU37" s="223">
        <f t="shared" si="46"/>
        <v>316.66433605236796</v>
      </c>
      <c r="AV37" s="227">
        <f t="shared" si="47"/>
        <v>3.0982864223344453E-2</v>
      </c>
    </row>
    <row r="38" spans="1:48" x14ac:dyDescent="0.25">
      <c r="A38" s="365" t="s">
        <v>118</v>
      </c>
      <c r="B38" s="365" t="s">
        <v>34</v>
      </c>
      <c r="C38" s="328">
        <v>2</v>
      </c>
      <c r="D38" s="328">
        <f>Kennzahlen!H38</f>
        <v>38</v>
      </c>
      <c r="E38" s="223">
        <f>I38</f>
        <v>443832.25</v>
      </c>
      <c r="F38" s="223">
        <f t="shared" si="48"/>
        <v>221916.125</v>
      </c>
      <c r="G38" s="224">
        <f t="shared" si="26"/>
        <v>11679.796052631578</v>
      </c>
      <c r="H38" s="223">
        <f>I38-'KiGa - PS'!H39</f>
        <v>110392.95000000001</v>
      </c>
      <c r="I38" s="223">
        <f>J38-K38-L38-M38</f>
        <v>443832.25</v>
      </c>
      <c r="J38" s="365">
        <v>484172.05</v>
      </c>
      <c r="K38" s="365">
        <v>4807.5</v>
      </c>
      <c r="L38" s="365">
        <v>0</v>
      </c>
      <c r="M38" s="365">
        <v>35532.300000000003</v>
      </c>
      <c r="N38" s="365"/>
      <c r="O38" s="365"/>
      <c r="P38" s="365">
        <v>345950.7</v>
      </c>
      <c r="Q38" s="27">
        <f t="shared" si="28"/>
        <v>310418.40000000002</v>
      </c>
      <c r="R38" s="223">
        <f>Q38</f>
        <v>310418.40000000002</v>
      </c>
      <c r="S38" s="226">
        <f t="shared" si="29"/>
        <v>0.69940478638044001</v>
      </c>
      <c r="T38" s="223">
        <f t="shared" si="30"/>
        <v>155209.20000000001</v>
      </c>
      <c r="U38" s="224">
        <f t="shared" si="31"/>
        <v>8168.9052631578952</v>
      </c>
      <c r="V38" s="365">
        <v>34100.949999999997</v>
      </c>
      <c r="W38" s="223">
        <f>V38*'KiGa - PS'!L39</f>
        <v>34100.949999999997</v>
      </c>
      <c r="X38" s="226">
        <f t="shared" si="32"/>
        <v>7.6832970114271773E-2</v>
      </c>
      <c r="Y38" s="223">
        <f t="shared" si="33"/>
        <v>17050.474999999999</v>
      </c>
      <c r="Z38" s="224">
        <f t="shared" si="34"/>
        <v>897.39342105263154</v>
      </c>
      <c r="AA38" s="365">
        <v>75777.850000000006</v>
      </c>
      <c r="AB38" s="365">
        <v>15754</v>
      </c>
      <c r="AC38" s="225">
        <f>Artengliederung!AE38</f>
        <v>4176</v>
      </c>
      <c r="AD38" s="223">
        <f>AC38*'KiGa - PS'!L39</f>
        <v>4176</v>
      </c>
      <c r="AE38" s="226">
        <f t="shared" si="35"/>
        <v>9.4089602546908215E-3</v>
      </c>
      <c r="AF38" s="223">
        <f t="shared" si="36"/>
        <v>2088</v>
      </c>
      <c r="AG38" s="224">
        <f t="shared" si="37"/>
        <v>109.89473684210526</v>
      </c>
      <c r="AH38" s="225">
        <f t="shared" si="25"/>
        <v>60023.850000000006</v>
      </c>
      <c r="AI38" s="223">
        <f>AH38*'KiGa - PS'!L39</f>
        <v>60023.850000000006</v>
      </c>
      <c r="AJ38" s="226">
        <f t="shared" si="38"/>
        <v>0.13523994707459858</v>
      </c>
      <c r="AK38" s="223">
        <f t="shared" si="39"/>
        <v>30011.925000000003</v>
      </c>
      <c r="AL38" s="224">
        <f t="shared" si="40"/>
        <v>1579.575</v>
      </c>
      <c r="AM38" s="365">
        <v>3802.45</v>
      </c>
      <c r="AN38" s="223">
        <f>AM38*'KiGa - PS'!L39</f>
        <v>3802.45</v>
      </c>
      <c r="AO38" s="226">
        <f t="shared" si="41"/>
        <v>8.567313438804864E-3</v>
      </c>
      <c r="AP38" s="223">
        <f t="shared" si="42"/>
        <v>1901.2249999999999</v>
      </c>
      <c r="AQ38" s="224">
        <f t="shared" si="43"/>
        <v>100.06447368421053</v>
      </c>
      <c r="AR38" s="223">
        <f>Artengliederung!X38*'KiGa - PS'!L39</f>
        <v>2396.9</v>
      </c>
      <c r="AS38" s="226">
        <f t="shared" si="44"/>
        <v>5.4004638013573827E-3</v>
      </c>
      <c r="AT38" s="223">
        <f t="shared" si="45"/>
        <v>1198.45</v>
      </c>
      <c r="AU38" s="223">
        <f t="shared" si="46"/>
        <v>63.076315789473689</v>
      </c>
      <c r="AV38" s="227">
        <f t="shared" si="47"/>
        <v>6.5145558935836595E-2</v>
      </c>
    </row>
    <row r="39" spans="1:48" x14ac:dyDescent="0.25">
      <c r="A39" s="365" t="s">
        <v>119</v>
      </c>
      <c r="B39" s="365" t="s">
        <v>34</v>
      </c>
      <c r="C39" s="328">
        <v>8</v>
      </c>
      <c r="D39" s="328">
        <f>Kennzahlen!H39</f>
        <v>166</v>
      </c>
      <c r="E39" s="223">
        <f>'KiGa - PS'!F40+'KiGa - PS'!L40*Funktional!H39</f>
        <v>1308674.7619144765</v>
      </c>
      <c r="F39" s="223">
        <f t="shared" si="48"/>
        <v>163584.34523930956</v>
      </c>
      <c r="G39" s="224">
        <f t="shared" si="26"/>
        <v>7883.5829030992563</v>
      </c>
      <c r="H39" s="223">
        <f>I39-'KiGa - PS'!H40</f>
        <v>464078.90000000014</v>
      </c>
      <c r="I39" s="223">
        <f t="shared" si="27"/>
        <v>1541775.85</v>
      </c>
      <c r="J39" s="365">
        <v>1671334.85</v>
      </c>
      <c r="K39" s="365">
        <v>69114.75</v>
      </c>
      <c r="L39" s="365">
        <v>0</v>
      </c>
      <c r="M39" s="365">
        <v>60444.25</v>
      </c>
      <c r="N39" s="365"/>
      <c r="O39" s="365"/>
      <c r="P39" s="365">
        <v>1082780.45</v>
      </c>
      <c r="Q39" s="27">
        <f t="shared" si="28"/>
        <v>1022336.2</v>
      </c>
      <c r="R39" s="223">
        <f>(Q39-'KiGa - PS'!H40)*'KiGa - PS'!L40+'KiGa - PS'!F40</f>
        <v>867769.19169641333</v>
      </c>
      <c r="S39" s="226">
        <f t="shared" si="29"/>
        <v>0.66309003348314211</v>
      </c>
      <c r="T39" s="223">
        <f t="shared" si="30"/>
        <v>108471.14896205167</v>
      </c>
      <c r="U39" s="224">
        <f t="shared" si="31"/>
        <v>5227.5252511832132</v>
      </c>
      <c r="V39" s="365">
        <v>61240.15</v>
      </c>
      <c r="W39" s="223">
        <f>V39*'KiGa - PS'!L40</f>
        <v>51981.251827791195</v>
      </c>
      <c r="X39" s="226">
        <f t="shared" si="32"/>
        <v>3.9720527468373561E-2</v>
      </c>
      <c r="Y39" s="223">
        <f t="shared" si="33"/>
        <v>6497.6564784738994</v>
      </c>
      <c r="Z39" s="224">
        <f t="shared" si="34"/>
        <v>313.14007125175419</v>
      </c>
      <c r="AA39" s="365">
        <v>264869.3</v>
      </c>
      <c r="AB39" s="365">
        <v>88586.3</v>
      </c>
      <c r="AC39" s="225">
        <f>Artengliederung!AE39</f>
        <v>98800</v>
      </c>
      <c r="AD39" s="223">
        <f>AC39*'KiGa - PS'!L40</f>
        <v>83862.428171481777</v>
      </c>
      <c r="AE39" s="226">
        <f t="shared" si="35"/>
        <v>6.4081948099005429E-2</v>
      </c>
      <c r="AF39" s="223">
        <f t="shared" si="36"/>
        <v>10482.803521435222</v>
      </c>
      <c r="AG39" s="224">
        <f t="shared" si="37"/>
        <v>505.19535043061313</v>
      </c>
      <c r="AH39" s="225">
        <f t="shared" si="25"/>
        <v>176283</v>
      </c>
      <c r="AI39" s="223">
        <f>AH39*'KiGa - PS'!L40</f>
        <v>149630.77353596481</v>
      </c>
      <c r="AJ39" s="226">
        <f t="shared" si="38"/>
        <v>0.11433763215320826</v>
      </c>
      <c r="AK39" s="223">
        <f t="shared" si="39"/>
        <v>18703.846691995601</v>
      </c>
      <c r="AL39" s="224">
        <f t="shared" si="40"/>
        <v>901.3902020238844</v>
      </c>
      <c r="AM39" s="365">
        <v>9921.5</v>
      </c>
      <c r="AN39" s="223">
        <f>AM39*'KiGa - PS'!L40</f>
        <v>8421.4684322202083</v>
      </c>
      <c r="AO39" s="226">
        <f t="shared" si="41"/>
        <v>6.4351118225129808E-3</v>
      </c>
      <c r="AP39" s="223">
        <f t="shared" si="42"/>
        <v>1052.683554027526</v>
      </c>
      <c r="AQ39" s="224">
        <f t="shared" si="43"/>
        <v>50.731737543495228</v>
      </c>
      <c r="AR39" s="223">
        <f>Artengliederung!X39*'KiGa - PS'!L40</f>
        <v>46047.942594158776</v>
      </c>
      <c r="AS39" s="226">
        <f t="shared" si="44"/>
        <v>3.518669721023325E-2</v>
      </c>
      <c r="AT39" s="223">
        <f t="shared" si="45"/>
        <v>5755.992824269847</v>
      </c>
      <c r="AU39" s="223">
        <f t="shared" si="46"/>
        <v>277.39724454312517</v>
      </c>
      <c r="AV39" s="227">
        <f t="shared" si="47"/>
        <v>7.7148049763524421E-2</v>
      </c>
    </row>
    <row r="40" spans="1:48" x14ac:dyDescent="0.25">
      <c r="A40" s="365" t="s">
        <v>120</v>
      </c>
      <c r="B40" s="365" t="s">
        <v>34</v>
      </c>
      <c r="C40" s="328">
        <v>2</v>
      </c>
      <c r="D40" s="328">
        <f>Kennzahlen!H40</f>
        <v>39</v>
      </c>
      <c r="E40" s="223">
        <f>I40</f>
        <v>590143.9</v>
      </c>
      <c r="F40" s="223">
        <f t="shared" si="48"/>
        <v>295071.95</v>
      </c>
      <c r="G40" s="224">
        <f t="shared" si="26"/>
        <v>15131.894871794872</v>
      </c>
      <c r="H40" s="223">
        <f>I40-'KiGa - PS'!H41</f>
        <v>249659.5</v>
      </c>
      <c r="I40" s="223">
        <f t="shared" si="27"/>
        <v>590143.9</v>
      </c>
      <c r="J40" s="365">
        <v>632979.9</v>
      </c>
      <c r="K40" s="365">
        <v>2475.4499999999998</v>
      </c>
      <c r="L40" s="365">
        <v>0</v>
      </c>
      <c r="M40" s="365">
        <v>40360.550000000003</v>
      </c>
      <c r="N40" s="365"/>
      <c r="O40" s="365"/>
      <c r="P40" s="365">
        <v>391750.40000000002</v>
      </c>
      <c r="Q40" s="27">
        <f t="shared" si="28"/>
        <v>351389.85000000003</v>
      </c>
      <c r="R40" s="223">
        <f>Q40</f>
        <v>351389.85000000003</v>
      </c>
      <c r="S40" s="226">
        <f t="shared" si="29"/>
        <v>0.59543079238809382</v>
      </c>
      <c r="T40" s="223">
        <f t="shared" si="30"/>
        <v>175694.92500000002</v>
      </c>
      <c r="U40" s="224">
        <f t="shared" si="31"/>
        <v>9009.9961538461539</v>
      </c>
      <c r="V40" s="365">
        <v>23508.400000000001</v>
      </c>
      <c r="W40" s="223">
        <f>V40*'KiGa - PS'!L41</f>
        <v>23508.400000000001</v>
      </c>
      <c r="X40" s="226">
        <f t="shared" si="32"/>
        <v>3.9835030066395674E-2</v>
      </c>
      <c r="Y40" s="223">
        <f t="shared" si="33"/>
        <v>11754.2</v>
      </c>
      <c r="Z40" s="224">
        <f t="shared" si="34"/>
        <v>602.77948717948721</v>
      </c>
      <c r="AA40" s="365">
        <v>103812.85</v>
      </c>
      <c r="AB40" s="365">
        <v>18975.2</v>
      </c>
      <c r="AC40" s="225">
        <f>Artengliederung!AE40</f>
        <v>21353</v>
      </c>
      <c r="AD40" s="223">
        <f>AC40*'KiGa - PS'!L41</f>
        <v>21353</v>
      </c>
      <c r="AE40" s="226">
        <f t="shared" si="35"/>
        <v>3.6182700524397524E-2</v>
      </c>
      <c r="AF40" s="223">
        <f t="shared" si="36"/>
        <v>10676.5</v>
      </c>
      <c r="AG40" s="224">
        <f t="shared" si="37"/>
        <v>547.51282051282055</v>
      </c>
      <c r="AH40" s="225">
        <f t="shared" ref="AH40:AH55" si="49">AA40-AB40</f>
        <v>84837.650000000009</v>
      </c>
      <c r="AI40" s="223">
        <f>AH40*'KiGa - PS'!L41</f>
        <v>84837.650000000009</v>
      </c>
      <c r="AJ40" s="226">
        <f t="shared" si="38"/>
        <v>0.14375756489222374</v>
      </c>
      <c r="AK40" s="223">
        <f t="shared" si="39"/>
        <v>42418.825000000004</v>
      </c>
      <c r="AL40" s="224">
        <f t="shared" si="40"/>
        <v>2175.3243589743593</v>
      </c>
      <c r="AM40" s="365">
        <v>2604.5500000000002</v>
      </c>
      <c r="AN40" s="223">
        <f>AM40*'KiGa - PS'!L41</f>
        <v>2604.5500000000002</v>
      </c>
      <c r="AO40" s="226">
        <f t="shared" si="41"/>
        <v>4.4134151009609691E-3</v>
      </c>
      <c r="AP40" s="223">
        <f t="shared" si="42"/>
        <v>1302.2750000000001</v>
      </c>
      <c r="AQ40" s="224">
        <f t="shared" si="43"/>
        <v>66.783333333333331</v>
      </c>
      <c r="AR40" s="223">
        <f>Artengliederung!X40*'KiGa - PS'!L41</f>
        <v>24234.15</v>
      </c>
      <c r="AS40" s="226">
        <f t="shared" si="44"/>
        <v>4.1064814869729231E-2</v>
      </c>
      <c r="AT40" s="223">
        <f t="shared" si="45"/>
        <v>12117.075000000001</v>
      </c>
      <c r="AU40" s="223">
        <f t="shared" si="46"/>
        <v>621.38846153846157</v>
      </c>
      <c r="AV40" s="227">
        <f t="shared" si="47"/>
        <v>0.13931568215819903</v>
      </c>
    </row>
    <row r="41" spans="1:48" x14ac:dyDescent="0.25">
      <c r="A41" s="365" t="s">
        <v>121</v>
      </c>
      <c r="B41" s="365" t="s">
        <v>34</v>
      </c>
      <c r="C41" s="328">
        <v>2</v>
      </c>
      <c r="D41" s="328">
        <f>Kennzahlen!H41</f>
        <v>51</v>
      </c>
      <c r="E41" s="223">
        <f>I41</f>
        <v>461288</v>
      </c>
      <c r="F41" s="223">
        <f t="shared" si="48"/>
        <v>230644</v>
      </c>
      <c r="G41" s="224">
        <f t="shared" ref="G41:G56" si="50">E41/D41</f>
        <v>9044.8627450980384</v>
      </c>
      <c r="H41" s="223">
        <f>I41-'KiGa - PS'!H42</f>
        <v>118372.60000000003</v>
      </c>
      <c r="I41" s="223">
        <f t="shared" ref="I41:I56" si="51">J41-K41-L41-M41</f>
        <v>461288</v>
      </c>
      <c r="J41" s="365">
        <v>475914.1</v>
      </c>
      <c r="K41" s="365">
        <v>0</v>
      </c>
      <c r="L41" s="365">
        <v>0</v>
      </c>
      <c r="M41" s="365">
        <v>14626.1</v>
      </c>
      <c r="N41" s="365"/>
      <c r="O41" s="365"/>
      <c r="P41" s="365">
        <v>342915.4</v>
      </c>
      <c r="Q41" s="27">
        <f t="shared" ref="Q41:Q56" si="52">P41-M41</f>
        <v>328289.30000000005</v>
      </c>
      <c r="R41" s="223">
        <f>Q41</f>
        <v>328289.30000000005</v>
      </c>
      <c r="S41" s="226">
        <f t="shared" ref="S41:S56" si="53">R41/$E41</f>
        <v>0.71167968817745109</v>
      </c>
      <c r="T41" s="223">
        <f t="shared" ref="T41:T56" si="54">R41/C41</f>
        <v>164144.65000000002</v>
      </c>
      <c r="U41" s="224">
        <f t="shared" ref="U41:U56" si="55">R41/D41</f>
        <v>6437.045098039217</v>
      </c>
      <c r="V41" s="365">
        <v>19274.400000000001</v>
      </c>
      <c r="W41" s="223">
        <f>V41*'KiGa - PS'!L42</f>
        <v>19274.400000000001</v>
      </c>
      <c r="X41" s="226">
        <f t="shared" ref="X41:X56" si="56">W41/$E41</f>
        <v>4.178387471601256E-2</v>
      </c>
      <c r="Y41" s="223">
        <f t="shared" ref="Y41:Y56" si="57">W41/C41</f>
        <v>9637.2000000000007</v>
      </c>
      <c r="Z41" s="224">
        <f t="shared" ref="Z41:Z56" si="58">W41/D41</f>
        <v>377.92941176470589</v>
      </c>
      <c r="AA41" s="365">
        <v>31269.5</v>
      </c>
      <c r="AB41" s="365">
        <v>18600</v>
      </c>
      <c r="AC41" s="225">
        <f>Artengliederung!AE41</f>
        <v>47000</v>
      </c>
      <c r="AD41" s="223">
        <f>AC41*'KiGa - PS'!L42</f>
        <v>47000</v>
      </c>
      <c r="AE41" s="226">
        <f t="shared" ref="AE41:AE56" si="59">AD41/$E41</f>
        <v>0.10188862489377569</v>
      </c>
      <c r="AF41" s="223">
        <f t="shared" ref="AF41:AF56" si="60">AD41/C41</f>
        <v>23500</v>
      </c>
      <c r="AG41" s="224">
        <f t="shared" ref="AG41:AG56" si="61">AD41/D41</f>
        <v>921.56862745098044</v>
      </c>
      <c r="AH41" s="225">
        <f t="shared" si="49"/>
        <v>12669.5</v>
      </c>
      <c r="AI41" s="223">
        <f>AH41*'KiGa - PS'!L42</f>
        <v>12669.5</v>
      </c>
      <c r="AJ41" s="226">
        <f t="shared" ref="AJ41:AJ56" si="62">AI41/$E41</f>
        <v>2.7465487938121088E-2</v>
      </c>
      <c r="AK41" s="223">
        <f t="shared" ref="AK41:AK56" si="63">AI41/C41</f>
        <v>6334.75</v>
      </c>
      <c r="AL41" s="224">
        <f t="shared" ref="AL41:AL56" si="64">AI41/D41</f>
        <v>248.42156862745097</v>
      </c>
      <c r="AM41" s="365">
        <v>990</v>
      </c>
      <c r="AN41" s="223">
        <f>AM41*'KiGa - PS'!L42</f>
        <v>990</v>
      </c>
      <c r="AO41" s="226">
        <f t="shared" ref="AO41:AO56" si="65">AN41/$E41</f>
        <v>2.1461646520178285E-3</v>
      </c>
      <c r="AP41" s="223">
        <f t="shared" ref="AP41:AP56" si="66">AN41/C41</f>
        <v>495</v>
      </c>
      <c r="AQ41" s="224">
        <f t="shared" ref="AQ41:AQ56" si="67">AN41/$D41</f>
        <v>19.411764705882351</v>
      </c>
      <c r="AR41" s="223">
        <f>Artengliederung!X41*'KiGa - PS'!L42</f>
        <v>27329.15</v>
      </c>
      <c r="AS41" s="226">
        <f t="shared" ref="AS41:AS56" si="68">AR41/E41</f>
        <v>5.9245308787568722E-2</v>
      </c>
      <c r="AT41" s="223">
        <f t="shared" ref="AT41:AT56" si="69">AR41/C41</f>
        <v>13664.575000000001</v>
      </c>
      <c r="AU41" s="223">
        <f t="shared" ref="AU41:AU56" si="70">AR41/D41</f>
        <v>535.86568627450981</v>
      </c>
      <c r="AV41" s="227">
        <f t="shared" ref="AV41:AV56" si="71">1-S41-X41-AJ41-AE41-AO41-AS41</f>
        <v>5.5790850835053023E-2</v>
      </c>
    </row>
    <row r="42" spans="1:48" x14ac:dyDescent="0.25">
      <c r="A42" s="365" t="s">
        <v>122</v>
      </c>
      <c r="B42" s="365" t="s">
        <v>34</v>
      </c>
      <c r="C42" s="328">
        <v>9</v>
      </c>
      <c r="D42" s="328">
        <f>Kennzahlen!H42</f>
        <v>180</v>
      </c>
      <c r="E42" s="223">
        <f>'KiGa - PS'!F43+'KiGa - PS'!L43*Funktional!H42</f>
        <v>2546020.0970489569</v>
      </c>
      <c r="F42" s="223">
        <f t="shared" ref="F42:F57" si="72">E42/C42</f>
        <v>282891.12189432856</v>
      </c>
      <c r="G42" s="224">
        <f t="shared" si="50"/>
        <v>14144.556094716427</v>
      </c>
      <c r="H42" s="223">
        <f>I42-'KiGa - PS'!H43</f>
        <v>1370067.15</v>
      </c>
      <c r="I42" s="223">
        <f t="shared" si="51"/>
        <v>3025153.3</v>
      </c>
      <c r="J42" s="365">
        <v>3115009</v>
      </c>
      <c r="K42" s="365">
        <v>134109.70000000001</v>
      </c>
      <c r="L42" s="365">
        <v>0</v>
      </c>
      <c r="M42" s="365">
        <v>-44254</v>
      </c>
      <c r="N42" s="365"/>
      <c r="O42" s="365"/>
      <c r="P42" s="365">
        <v>1709893.25</v>
      </c>
      <c r="Q42" s="27">
        <f t="shared" si="52"/>
        <v>1754147.25</v>
      </c>
      <c r="R42" s="223">
        <f>(Q42-'KiGa - PS'!H43)*'KiGa - PS'!L43+'KiGa - PS'!F43</f>
        <v>1476319.9444084906</v>
      </c>
      <c r="S42" s="226">
        <f t="shared" si="53"/>
        <v>0.57985400277070265</v>
      </c>
      <c r="T42" s="223">
        <f t="shared" si="54"/>
        <v>164035.54937872116</v>
      </c>
      <c r="U42" s="224">
        <f t="shared" si="55"/>
        <v>8201.7774689360594</v>
      </c>
      <c r="V42" s="365">
        <v>121032.85</v>
      </c>
      <c r="W42" s="223">
        <f>V42*'KiGa - PS'!L43</f>
        <v>101863.29020189222</v>
      </c>
      <c r="X42" s="226">
        <f t="shared" si="56"/>
        <v>4.0008831949111479E-2</v>
      </c>
      <c r="Y42" s="223">
        <f t="shared" si="57"/>
        <v>11318.143355765802</v>
      </c>
      <c r="Z42" s="224">
        <f t="shared" si="58"/>
        <v>565.90716778829005</v>
      </c>
      <c r="AA42" s="365">
        <v>516925.5</v>
      </c>
      <c r="AB42" s="365">
        <v>155222.20000000001</v>
      </c>
      <c r="AC42" s="225">
        <f>Artengliederung!AE42</f>
        <v>437897.25</v>
      </c>
      <c r="AD42" s="223">
        <f>AC42*'KiGa - PS'!L43</f>
        <v>368541.71950309811</v>
      </c>
      <c r="AE42" s="226">
        <f t="shared" si="59"/>
        <v>0.14475208578685916</v>
      </c>
      <c r="AF42" s="223">
        <f t="shared" si="60"/>
        <v>40949.079944788682</v>
      </c>
      <c r="AG42" s="224">
        <f t="shared" si="61"/>
        <v>2047.4539972394339</v>
      </c>
      <c r="AH42" s="225">
        <f t="shared" si="49"/>
        <v>361703.3</v>
      </c>
      <c r="AI42" s="223">
        <f>AH42*'KiGa - PS'!L43</f>
        <v>304415.6046468548</v>
      </c>
      <c r="AJ42" s="226">
        <f t="shared" si="62"/>
        <v>0.11956527955128755</v>
      </c>
      <c r="AK42" s="223">
        <f t="shared" si="63"/>
        <v>33823.956071872759</v>
      </c>
      <c r="AL42" s="224">
        <f t="shared" si="64"/>
        <v>1691.1978035936377</v>
      </c>
      <c r="AM42" s="365">
        <v>9935.7999999999993</v>
      </c>
      <c r="AN42" s="223">
        <f>AM42*'KiGa - PS'!L43</f>
        <v>8362.1370461652405</v>
      </c>
      <c r="AO42" s="226">
        <f t="shared" si="65"/>
        <v>3.2843955379054678E-3</v>
      </c>
      <c r="AP42" s="223">
        <f t="shared" si="66"/>
        <v>929.12633846280448</v>
      </c>
      <c r="AQ42" s="224">
        <f t="shared" si="67"/>
        <v>46.456316923140221</v>
      </c>
      <c r="AR42" s="223">
        <f>Artengliederung!X42*'KiGa - PS'!L43</f>
        <v>131832.76250726436</v>
      </c>
      <c r="AS42" s="226">
        <f t="shared" si="68"/>
        <v>5.1779937896039858E-2</v>
      </c>
      <c r="AT42" s="223">
        <f t="shared" si="69"/>
        <v>14648.084723029373</v>
      </c>
      <c r="AU42" s="223">
        <f t="shared" si="70"/>
        <v>732.40423615146869</v>
      </c>
      <c r="AV42" s="227">
        <f t="shared" si="71"/>
        <v>6.0755466508093846E-2</v>
      </c>
    </row>
    <row r="43" spans="1:48" x14ac:dyDescent="0.25">
      <c r="A43" s="365" t="s">
        <v>123</v>
      </c>
      <c r="B43" s="365" t="s">
        <v>34</v>
      </c>
      <c r="C43" s="328">
        <v>9</v>
      </c>
      <c r="D43" s="328">
        <f>Kennzahlen!H43</f>
        <v>148</v>
      </c>
      <c r="E43" s="223">
        <f>'KiGa - PS'!F44+'KiGa - PS'!L44*Funktional!H43</f>
        <v>1316131.5843503876</v>
      </c>
      <c r="F43" s="223">
        <f t="shared" si="72"/>
        <v>146236.84270559862</v>
      </c>
      <c r="G43" s="224">
        <f t="shared" si="50"/>
        <v>8892.7809753404563</v>
      </c>
      <c r="H43" s="223">
        <f>I43-'KiGa - PS'!H44</f>
        <v>415381.80000000005</v>
      </c>
      <c r="I43" s="223">
        <f t="shared" si="51"/>
        <v>1563041.05</v>
      </c>
      <c r="J43" s="365">
        <v>1694703.85</v>
      </c>
      <c r="K43" s="365">
        <v>72974.3</v>
      </c>
      <c r="L43" s="365">
        <v>0</v>
      </c>
      <c r="M43" s="365">
        <v>58688.5</v>
      </c>
      <c r="N43" s="365"/>
      <c r="O43" s="365"/>
      <c r="P43" s="365">
        <v>1148668.6000000001</v>
      </c>
      <c r="Q43" s="27">
        <f t="shared" si="52"/>
        <v>1089980.1000000001</v>
      </c>
      <c r="R43" s="223">
        <f>(Q43-'KiGa - PS'!H44)*'KiGa - PS'!L44+'KiGa - PS'!F44</f>
        <v>917798.82295694924</v>
      </c>
      <c r="S43" s="226">
        <f t="shared" si="53"/>
        <v>0.69734579267767804</v>
      </c>
      <c r="T43" s="223">
        <f t="shared" si="54"/>
        <v>101977.64699521658</v>
      </c>
      <c r="U43" s="224">
        <f t="shared" si="55"/>
        <v>6201.3433983577652</v>
      </c>
      <c r="V43" s="365">
        <v>66015.8</v>
      </c>
      <c r="W43" s="223">
        <f>V43*'KiGa - PS'!L44</f>
        <v>55587.458465123695</v>
      </c>
      <c r="X43" s="226">
        <f t="shared" si="56"/>
        <v>4.2235487033433966E-2</v>
      </c>
      <c r="Y43" s="223">
        <f t="shared" si="57"/>
        <v>6176.3842739026331</v>
      </c>
      <c r="Z43" s="224">
        <f t="shared" si="58"/>
        <v>375.59093557516007</v>
      </c>
      <c r="AA43" s="365">
        <v>198778.35</v>
      </c>
      <c r="AB43" s="365">
        <v>49029</v>
      </c>
      <c r="AC43" s="225">
        <f>Artengliederung!AE43</f>
        <v>74119</v>
      </c>
      <c r="AD43" s="223">
        <f>AC43*'KiGa - PS'!L44</f>
        <v>62410.617367001578</v>
      </c>
      <c r="AE43" s="226">
        <f t="shared" si="59"/>
        <v>4.74197398718351E-2</v>
      </c>
      <c r="AF43" s="223">
        <f t="shared" si="60"/>
        <v>6934.5130407779534</v>
      </c>
      <c r="AG43" s="224">
        <f t="shared" si="61"/>
        <v>421.69336058784847</v>
      </c>
      <c r="AH43" s="225">
        <f t="shared" si="49"/>
        <v>149749.35</v>
      </c>
      <c r="AI43" s="223">
        <f>AH43*'KiGa - PS'!L44</f>
        <v>126093.840766972</v>
      </c>
      <c r="AJ43" s="226">
        <f t="shared" si="62"/>
        <v>9.580640892316937E-2</v>
      </c>
      <c r="AK43" s="223">
        <f t="shared" si="63"/>
        <v>14010.426751885778</v>
      </c>
      <c r="AL43" s="224">
        <f t="shared" si="64"/>
        <v>851.98541058764863</v>
      </c>
      <c r="AM43" s="365">
        <v>6914.5</v>
      </c>
      <c r="AN43" s="223">
        <f>AM43*'KiGa - PS'!L44</f>
        <v>5822.2347007397893</v>
      </c>
      <c r="AO43" s="226">
        <f t="shared" si="65"/>
        <v>4.423748179870261E-3</v>
      </c>
      <c r="AP43" s="223">
        <f t="shared" si="66"/>
        <v>646.91496674886548</v>
      </c>
      <c r="AQ43" s="224">
        <f t="shared" si="67"/>
        <v>39.339423653647223</v>
      </c>
      <c r="AR43" s="223">
        <f>Artengliederung!X43*'KiGa - PS'!L44</f>
        <v>71078.838193279065</v>
      </c>
      <c r="AS43" s="226">
        <f t="shared" si="68"/>
        <v>5.4005875277555897E-2</v>
      </c>
      <c r="AT43" s="223">
        <f t="shared" si="69"/>
        <v>7897.6486881421188</v>
      </c>
      <c r="AU43" s="223">
        <f t="shared" si="70"/>
        <v>480.26242022485854</v>
      </c>
      <c r="AV43" s="227">
        <f t="shared" si="71"/>
        <v>5.8762948036457381E-2</v>
      </c>
    </row>
    <row r="44" spans="1:48" x14ac:dyDescent="0.25">
      <c r="A44" s="365" t="s">
        <v>124</v>
      </c>
      <c r="B44" s="365" t="s">
        <v>34</v>
      </c>
      <c r="C44" s="328">
        <v>4.5</v>
      </c>
      <c r="D44" s="328">
        <f>Kennzahlen!H44</f>
        <v>99</v>
      </c>
      <c r="E44" s="223">
        <f>'KiGa - PS'!F45+'KiGa - PS'!L45*Funktional!H44</f>
        <v>876884.13939621847</v>
      </c>
      <c r="F44" s="223">
        <f t="shared" si="72"/>
        <v>194863.14208804854</v>
      </c>
      <c r="G44" s="224">
        <f t="shared" si="50"/>
        <v>8857.4155494567531</v>
      </c>
      <c r="H44" s="223">
        <f>I44-'KiGa - PS'!H45</f>
        <v>359063.39999999979</v>
      </c>
      <c r="I44" s="223">
        <f t="shared" si="51"/>
        <v>1054490.5499999998</v>
      </c>
      <c r="J44" s="365">
        <v>1125867.6499999999</v>
      </c>
      <c r="K44" s="365">
        <v>31902</v>
      </c>
      <c r="L44" s="365">
        <v>-2182.9</v>
      </c>
      <c r="M44" s="365">
        <v>41658</v>
      </c>
      <c r="N44" s="365"/>
      <c r="O44" s="365"/>
      <c r="P44" s="365">
        <v>703725.3</v>
      </c>
      <c r="Q44" s="27">
        <f t="shared" si="52"/>
        <v>662067.30000000005</v>
      </c>
      <c r="R44" s="223">
        <f>(Q44-'KiGa - PS'!H45)*'KiGa - PS'!L45+'KiGa - PS'!F45</f>
        <v>550556.20420958544</v>
      </c>
      <c r="S44" s="226">
        <f t="shared" si="53"/>
        <v>0.62785512871594729</v>
      </c>
      <c r="T44" s="223">
        <f t="shared" si="54"/>
        <v>122345.82315768565</v>
      </c>
      <c r="U44" s="224">
        <f t="shared" si="55"/>
        <v>5561.1737798948025</v>
      </c>
      <c r="V44" s="365">
        <v>40894.75</v>
      </c>
      <c r="W44" s="223">
        <f>V44*'KiGa - PS'!L45</f>
        <v>34006.902821057534</v>
      </c>
      <c r="X44" s="226">
        <f t="shared" si="56"/>
        <v>3.878152345699068E-2</v>
      </c>
      <c r="Y44" s="223">
        <f t="shared" si="57"/>
        <v>7557.0895157905634</v>
      </c>
      <c r="Z44" s="224">
        <f t="shared" si="58"/>
        <v>343.50406889957105</v>
      </c>
      <c r="AA44" s="365">
        <v>175257.45</v>
      </c>
      <c r="AB44" s="365">
        <v>40317</v>
      </c>
      <c r="AC44" s="225">
        <f>Artengliederung!AE44</f>
        <v>69688</v>
      </c>
      <c r="AD44" s="223">
        <f>AC44*'KiGa - PS'!L45</f>
        <v>57950.544844848235</v>
      </c>
      <c r="AE44" s="226">
        <f t="shared" si="59"/>
        <v>6.6086889066952759E-2</v>
      </c>
      <c r="AF44" s="223">
        <f t="shared" si="60"/>
        <v>12877.89885441072</v>
      </c>
      <c r="AG44" s="224">
        <f t="shared" si="61"/>
        <v>585.3590388368508</v>
      </c>
      <c r="AH44" s="225">
        <f t="shared" si="49"/>
        <v>134940.45000000001</v>
      </c>
      <c r="AI44" s="223">
        <f>AH44*'KiGa - PS'!L45</f>
        <v>112212.61334962981</v>
      </c>
      <c r="AJ44" s="226">
        <f t="shared" si="62"/>
        <v>0.12796743413205555</v>
      </c>
      <c r="AK44" s="223">
        <f t="shared" si="63"/>
        <v>24936.136299917736</v>
      </c>
      <c r="AL44" s="224">
        <f t="shared" si="64"/>
        <v>1133.4607409053517</v>
      </c>
      <c r="AM44" s="365">
        <v>4370.3999999999996</v>
      </c>
      <c r="AN44" s="223">
        <f>AM44*'KiGa - PS'!L45</f>
        <v>3634.2994660475938</v>
      </c>
      <c r="AO44" s="226">
        <f t="shared" si="65"/>
        <v>4.1445606127053485E-3</v>
      </c>
      <c r="AP44" s="223">
        <f t="shared" si="66"/>
        <v>807.62210356613195</v>
      </c>
      <c r="AQ44" s="224">
        <f t="shared" si="67"/>
        <v>36.710095616642363</v>
      </c>
      <c r="AR44" s="223">
        <f>Artengliederung!X44*'KiGa - PS'!L45</f>
        <v>30793.461619646285</v>
      </c>
      <c r="AS44" s="226">
        <f t="shared" si="68"/>
        <v>3.5116910246374429E-2</v>
      </c>
      <c r="AT44" s="223">
        <f t="shared" si="69"/>
        <v>6842.9914710325074</v>
      </c>
      <c r="AU44" s="223">
        <f t="shared" si="70"/>
        <v>311.04506686511399</v>
      </c>
      <c r="AV44" s="227">
        <f t="shared" si="71"/>
        <v>0.10004755376897392</v>
      </c>
    </row>
    <row r="45" spans="1:48" x14ac:dyDescent="0.25">
      <c r="A45" s="365" t="s">
        <v>125</v>
      </c>
      <c r="B45" s="365" t="s">
        <v>34</v>
      </c>
      <c r="C45" s="328">
        <v>8</v>
      </c>
      <c r="D45" s="328">
        <f>Kennzahlen!H45</f>
        <v>178</v>
      </c>
      <c r="E45" s="223">
        <f>'KiGa - PS'!F46+'KiGa - PS'!L46*Funktional!H45</f>
        <v>1895187.3204156929</v>
      </c>
      <c r="F45" s="223">
        <f t="shared" si="72"/>
        <v>236898.41505196161</v>
      </c>
      <c r="G45" s="224">
        <f t="shared" si="50"/>
        <v>10647.119777616252</v>
      </c>
      <c r="H45" s="223">
        <f>I45-'KiGa - PS'!H46</f>
        <v>695179.5</v>
      </c>
      <c r="I45" s="223">
        <f t="shared" si="51"/>
        <v>2233239</v>
      </c>
      <c r="J45" s="365">
        <v>2414075</v>
      </c>
      <c r="K45" s="365">
        <v>104540.15</v>
      </c>
      <c r="L45" s="365">
        <v>0</v>
      </c>
      <c r="M45" s="365">
        <v>76295.850000000006</v>
      </c>
      <c r="N45" s="365"/>
      <c r="O45" s="365"/>
      <c r="P45" s="365">
        <v>1553401.5</v>
      </c>
      <c r="Q45" s="27">
        <f t="shared" si="52"/>
        <v>1477105.65</v>
      </c>
      <c r="R45" s="223">
        <f>(Q45-'KiGa - PS'!H46)*'KiGa - PS'!L46+'KiGa - PS'!F46</f>
        <v>1253512.0060120658</v>
      </c>
      <c r="S45" s="226">
        <f t="shared" si="53"/>
        <v>0.66141852708106919</v>
      </c>
      <c r="T45" s="223">
        <f t="shared" si="54"/>
        <v>156689.00075150823</v>
      </c>
      <c r="U45" s="224">
        <f t="shared" si="55"/>
        <v>7042.2022809666614</v>
      </c>
      <c r="V45" s="365">
        <v>148312.95000000001</v>
      </c>
      <c r="W45" s="223">
        <f>V45*'KiGa - PS'!L46</f>
        <v>125862.40088653594</v>
      </c>
      <c r="X45" s="226">
        <f t="shared" si="56"/>
        <v>6.6411588728300011E-2</v>
      </c>
      <c r="Y45" s="223">
        <f t="shared" si="57"/>
        <v>15732.800110816992</v>
      </c>
      <c r="Z45" s="224">
        <f t="shared" si="58"/>
        <v>707.09213981199969</v>
      </c>
      <c r="AA45" s="365">
        <v>293714.5</v>
      </c>
      <c r="AB45" s="365">
        <v>67719</v>
      </c>
      <c r="AC45" s="225">
        <f>Artengliederung!AE45</f>
        <v>165300</v>
      </c>
      <c r="AD45" s="223">
        <f>AC45*'KiGa - PS'!L46</f>
        <v>140278.07326699651</v>
      </c>
      <c r="AE45" s="226">
        <f t="shared" si="59"/>
        <v>7.4018051807262897E-2</v>
      </c>
      <c r="AF45" s="223">
        <f t="shared" si="60"/>
        <v>17534.759158374563</v>
      </c>
      <c r="AG45" s="224">
        <f t="shared" si="61"/>
        <v>788.07906329773323</v>
      </c>
      <c r="AH45" s="225">
        <f t="shared" si="49"/>
        <v>225995.5</v>
      </c>
      <c r="AI45" s="223">
        <f>AH45*'KiGa - PS'!L46</f>
        <v>191785.92442233217</v>
      </c>
      <c r="AJ45" s="226">
        <f t="shared" si="62"/>
        <v>0.10119628933580328</v>
      </c>
      <c r="AK45" s="223">
        <f t="shared" si="63"/>
        <v>23973.240552791522</v>
      </c>
      <c r="AL45" s="224">
        <f t="shared" si="64"/>
        <v>1077.4490136086076</v>
      </c>
      <c r="AM45" s="365">
        <v>11405.85</v>
      </c>
      <c r="AN45" s="223">
        <f>AM45*'KiGa - PS'!L46</f>
        <v>9679.314349500135</v>
      </c>
      <c r="AO45" s="226">
        <f t="shared" si="65"/>
        <v>5.1073127417172997E-3</v>
      </c>
      <c r="AP45" s="223">
        <f t="shared" si="66"/>
        <v>1209.9142936875169</v>
      </c>
      <c r="AQ45" s="224">
        <f t="shared" si="67"/>
        <v>54.378170502809745</v>
      </c>
      <c r="AR45" s="223">
        <f>Artengliederung!X45*'KiGa - PS'!L46</f>
        <v>90788.172688923936</v>
      </c>
      <c r="AS45" s="226">
        <f t="shared" si="68"/>
        <v>4.7904590596886398E-2</v>
      </c>
      <c r="AT45" s="223">
        <f t="shared" si="69"/>
        <v>11348.521586115492</v>
      </c>
      <c r="AU45" s="223">
        <f t="shared" si="70"/>
        <v>510.04591398271873</v>
      </c>
      <c r="AV45" s="227">
        <f t="shared" si="71"/>
        <v>4.3943639708960952E-2</v>
      </c>
    </row>
    <row r="46" spans="1:48" x14ac:dyDescent="0.25">
      <c r="A46" s="365" t="s">
        <v>126</v>
      </c>
      <c r="B46" s="365" t="s">
        <v>34</v>
      </c>
      <c r="C46" s="328">
        <v>3</v>
      </c>
      <c r="D46" s="328">
        <f>Kennzahlen!H46</f>
        <v>71</v>
      </c>
      <c r="E46" s="223">
        <f>'KiGa - PS'!F47+'KiGa - PS'!L47*Funktional!H46</f>
        <v>566059.98820103146</v>
      </c>
      <c r="F46" s="223">
        <f t="shared" si="72"/>
        <v>188686.66273367716</v>
      </c>
      <c r="G46" s="224">
        <f t="shared" si="50"/>
        <v>7972.6758901553731</v>
      </c>
      <c r="H46" s="223">
        <f>I46-'KiGa - PS'!H47</f>
        <v>178919.49</v>
      </c>
      <c r="I46" s="223">
        <f t="shared" si="51"/>
        <v>711191.44</v>
      </c>
      <c r="J46" s="365">
        <v>757084.59</v>
      </c>
      <c r="K46" s="365">
        <v>2639.9</v>
      </c>
      <c r="L46" s="365">
        <v>0</v>
      </c>
      <c r="M46" s="365">
        <v>43253.25</v>
      </c>
      <c r="N46" s="365"/>
      <c r="O46" s="365"/>
      <c r="P46" s="365">
        <v>537959.18999999994</v>
      </c>
      <c r="Q46" s="27">
        <f t="shared" si="52"/>
        <v>494705.93999999994</v>
      </c>
      <c r="R46" s="223">
        <f>(Q46-'KiGa - PS'!H47)*'KiGa - PS'!L47+'KiGa - PS'!F47</f>
        <v>393752.26248417748</v>
      </c>
      <c r="S46" s="226">
        <f t="shared" si="53"/>
        <v>0.69560165122347362</v>
      </c>
      <c r="T46" s="223">
        <f t="shared" si="54"/>
        <v>131250.75416139248</v>
      </c>
      <c r="U46" s="224">
        <f t="shared" si="55"/>
        <v>5545.8065138616548</v>
      </c>
      <c r="V46" s="365">
        <v>28360.05</v>
      </c>
      <c r="W46" s="223">
        <f>V46*'KiGa - PS'!L47</f>
        <v>22572.669840318467</v>
      </c>
      <c r="X46" s="226">
        <f t="shared" si="56"/>
        <v>3.9876815727703359E-2</v>
      </c>
      <c r="Y46" s="223">
        <f t="shared" si="57"/>
        <v>7524.2232801061555</v>
      </c>
      <c r="Z46" s="224">
        <f t="shared" si="58"/>
        <v>317.92492732842913</v>
      </c>
      <c r="AA46" s="365">
        <v>55759.55</v>
      </c>
      <c r="AB46" s="365">
        <v>11400</v>
      </c>
      <c r="AC46" s="225">
        <f>Artengliederung!AE46</f>
        <v>46500</v>
      </c>
      <c r="AD46" s="223">
        <f>AC46*'KiGa - PS'!L47</f>
        <v>37010.835579443927</v>
      </c>
      <c r="AE46" s="226">
        <f t="shared" si="59"/>
        <v>6.5383239145847982E-2</v>
      </c>
      <c r="AF46" s="223">
        <f t="shared" si="60"/>
        <v>12336.945193147976</v>
      </c>
      <c r="AG46" s="224">
        <f t="shared" si="61"/>
        <v>521.2793743583652</v>
      </c>
      <c r="AH46" s="225">
        <f t="shared" si="49"/>
        <v>44359.55</v>
      </c>
      <c r="AI46" s="223">
        <f>AH46*'KiGa - PS'!L47</f>
        <v>35307.183041464988</v>
      </c>
      <c r="AJ46" s="226">
        <f t="shared" si="62"/>
        <v>6.2373571312950557E-2</v>
      </c>
      <c r="AK46" s="223">
        <f t="shared" si="63"/>
        <v>11769.061013821663</v>
      </c>
      <c r="AL46" s="224">
        <f t="shared" si="64"/>
        <v>497.28426818964772</v>
      </c>
      <c r="AM46" s="365">
        <v>3620.7</v>
      </c>
      <c r="AN46" s="223">
        <f>AM46*'KiGa - PS'!L47</f>
        <v>2881.8308039245726</v>
      </c>
      <c r="AO46" s="226">
        <f t="shared" si="65"/>
        <v>5.0910342790402531E-3</v>
      </c>
      <c r="AP46" s="223">
        <f t="shared" si="66"/>
        <v>960.61026797485749</v>
      </c>
      <c r="AQ46" s="224">
        <f t="shared" si="67"/>
        <v>40.589166252458767</v>
      </c>
      <c r="AR46" s="223">
        <f>Artengliederung!X46*'KiGa - PS'!L47</f>
        <v>30687.514422397235</v>
      </c>
      <c r="AS46" s="226">
        <f t="shared" si="68"/>
        <v>5.4212477585500747E-2</v>
      </c>
      <c r="AT46" s="223">
        <f t="shared" si="69"/>
        <v>10229.171474132412</v>
      </c>
      <c r="AU46" s="223">
        <f t="shared" si="70"/>
        <v>432.21851299151035</v>
      </c>
      <c r="AV46" s="227">
        <f t="shared" si="71"/>
        <v>7.7461210725483481E-2</v>
      </c>
    </row>
    <row r="47" spans="1:48" x14ac:dyDescent="0.25">
      <c r="A47" s="365" t="s">
        <v>127</v>
      </c>
      <c r="B47" s="365" t="s">
        <v>34</v>
      </c>
      <c r="C47" s="328">
        <v>2</v>
      </c>
      <c r="D47" s="328">
        <f>Kennzahlen!H47</f>
        <v>39</v>
      </c>
      <c r="E47" s="223">
        <f>'KiGa - PS'!F48+'KiGa - PS'!L48*Funktional!H47</f>
        <v>484203.09990351542</v>
      </c>
      <c r="F47" s="223">
        <f t="shared" si="72"/>
        <v>242101.54995175771</v>
      </c>
      <c r="G47" s="224">
        <f t="shared" si="50"/>
        <v>12415.464100090139</v>
      </c>
      <c r="H47" s="223">
        <f>I47-'KiGa - PS'!H48</f>
        <v>203745.09999999998</v>
      </c>
      <c r="I47" s="223">
        <f t="shared" si="51"/>
        <v>641405.75</v>
      </c>
      <c r="J47" s="365">
        <v>704329.5</v>
      </c>
      <c r="K47" s="365">
        <v>38191.5</v>
      </c>
      <c r="L47" s="365">
        <v>0</v>
      </c>
      <c r="M47" s="365">
        <v>24732.25</v>
      </c>
      <c r="N47" s="365"/>
      <c r="O47" s="365"/>
      <c r="P47" s="365">
        <v>437660.65</v>
      </c>
      <c r="Q47" s="27">
        <f t="shared" si="52"/>
        <v>412928.4</v>
      </c>
      <c r="R47" s="223">
        <f>(Q47-'KiGa - PS'!H48)*'KiGa - PS'!L48+'KiGa - PS'!F48</f>
        <v>311723.44700402016</v>
      </c>
      <c r="S47" s="226">
        <f t="shared" si="53"/>
        <v>0.64378655788477113</v>
      </c>
      <c r="T47" s="223">
        <f t="shared" si="54"/>
        <v>155861.72350201008</v>
      </c>
      <c r="U47" s="224">
        <f t="shared" si="55"/>
        <v>7992.9088975389786</v>
      </c>
      <c r="V47" s="365">
        <v>17280.099999999999</v>
      </c>
      <c r="W47" s="223">
        <f>V47*'KiGa - PS'!L48</f>
        <v>13044.906421002208</v>
      </c>
      <c r="X47" s="226">
        <f t="shared" si="56"/>
        <v>2.6940980806611104E-2</v>
      </c>
      <c r="Y47" s="223">
        <f t="shared" si="57"/>
        <v>6522.453210501104</v>
      </c>
      <c r="Z47" s="224">
        <f t="shared" si="58"/>
        <v>334.48478002569766</v>
      </c>
      <c r="AA47" s="365">
        <v>131496.4</v>
      </c>
      <c r="AB47" s="365">
        <v>18960</v>
      </c>
      <c r="AC47" s="225">
        <f>Artengliederung!AE47</f>
        <v>16739</v>
      </c>
      <c r="AD47" s="223">
        <f>AC47*'KiGa - PS'!L48</f>
        <v>12636.425054320054</v>
      </c>
      <c r="AE47" s="226">
        <f t="shared" si="59"/>
        <v>2.6097365045449003E-2</v>
      </c>
      <c r="AF47" s="223">
        <f t="shared" si="60"/>
        <v>6318.2125271600271</v>
      </c>
      <c r="AG47" s="224">
        <f t="shared" si="61"/>
        <v>324.01089882871935</v>
      </c>
      <c r="AH47" s="225">
        <f t="shared" si="49"/>
        <v>112536.4</v>
      </c>
      <c r="AI47" s="223">
        <f>AH47*'KiGa - PS'!L48</f>
        <v>84954.763395841044</v>
      </c>
      <c r="AJ47" s="226">
        <f t="shared" si="62"/>
        <v>0.17545274578533165</v>
      </c>
      <c r="AK47" s="223">
        <f t="shared" si="63"/>
        <v>42477.381697920522</v>
      </c>
      <c r="AL47" s="224">
        <f t="shared" si="64"/>
        <v>2178.3272665600266</v>
      </c>
      <c r="AM47" s="365">
        <v>1464.9</v>
      </c>
      <c r="AN47" s="223">
        <f>AM47*'KiGa - PS'!L48</f>
        <v>1105.8664831873737</v>
      </c>
      <c r="AO47" s="226">
        <f t="shared" si="65"/>
        <v>2.2838897219115981E-3</v>
      </c>
      <c r="AP47" s="223">
        <f t="shared" si="66"/>
        <v>552.93324159368683</v>
      </c>
      <c r="AQ47" s="224">
        <f t="shared" si="67"/>
        <v>28.355550850958299</v>
      </c>
      <c r="AR47" s="223">
        <f>Artengliederung!X47*'KiGa - PS'!L48</f>
        <v>10875.712587897724</v>
      </c>
      <c r="AS47" s="226">
        <f t="shared" si="68"/>
        <v>2.2461055268057702E-2</v>
      </c>
      <c r="AT47" s="223">
        <f t="shared" si="69"/>
        <v>5437.856293948862</v>
      </c>
      <c r="AU47" s="223">
        <f t="shared" si="70"/>
        <v>278.86442533071084</v>
      </c>
      <c r="AV47" s="227">
        <f t="shared" si="71"/>
        <v>0.1029774054878678</v>
      </c>
    </row>
    <row r="48" spans="1:48" x14ac:dyDescent="0.25">
      <c r="A48" s="365" t="s">
        <v>128</v>
      </c>
      <c r="B48" s="365" t="s">
        <v>34</v>
      </c>
      <c r="C48" s="328">
        <v>80.5</v>
      </c>
      <c r="D48" s="328">
        <f>Kennzahlen!H48</f>
        <v>1599</v>
      </c>
      <c r="E48" s="223">
        <f>'KiGa - PS'!F49+'KiGa - PS'!L49*Funktional!H48</f>
        <v>16960169.746721085</v>
      </c>
      <c r="F48" s="223">
        <f t="shared" si="72"/>
        <v>210685.3384685849</v>
      </c>
      <c r="G48" s="224">
        <f t="shared" si="50"/>
        <v>10606.735301263969</v>
      </c>
      <c r="H48" s="223">
        <f>I48-'KiGa - PS'!H49</f>
        <v>7223300.8000000007</v>
      </c>
      <c r="I48" s="223">
        <f t="shared" si="51"/>
        <v>20322663.050000001</v>
      </c>
      <c r="J48" s="365">
        <v>22642236.350000001</v>
      </c>
      <c r="K48" s="365">
        <v>2103315.7999999998</v>
      </c>
      <c r="L48" s="365">
        <v>209818.65</v>
      </c>
      <c r="M48" s="365">
        <v>6438.85</v>
      </c>
      <c r="N48" s="365"/>
      <c r="O48" s="365"/>
      <c r="P48" s="365">
        <v>13323451.35</v>
      </c>
      <c r="Q48" s="27">
        <f t="shared" si="52"/>
        <v>13317012.5</v>
      </c>
      <c r="R48" s="223">
        <f>(Q48-'KiGa - PS'!H49)*'KiGa - PS'!L49+'KiGa - PS'!F49</f>
        <v>11113641.551972026</v>
      </c>
      <c r="S48" s="226">
        <f t="shared" si="53"/>
        <v>0.65527891040834829</v>
      </c>
      <c r="T48" s="223">
        <f t="shared" si="54"/>
        <v>138057.6590307084</v>
      </c>
      <c r="U48" s="224">
        <f t="shared" si="55"/>
        <v>6950.3699512020175</v>
      </c>
      <c r="V48" s="365">
        <v>1160458.2</v>
      </c>
      <c r="W48" s="223">
        <f>V48*'KiGa - PS'!L49</f>
        <v>968454.18376281182</v>
      </c>
      <c r="X48" s="226">
        <f t="shared" si="56"/>
        <v>5.7101679890323227E-2</v>
      </c>
      <c r="Y48" s="223">
        <f t="shared" si="57"/>
        <v>12030.486754817539</v>
      </c>
      <c r="Z48" s="224">
        <f t="shared" si="58"/>
        <v>605.6624038541662</v>
      </c>
      <c r="AA48" s="365">
        <v>1985955.85</v>
      </c>
      <c r="AB48" s="365">
        <v>402196.5</v>
      </c>
      <c r="AC48" s="225">
        <f>Artengliederung!AE48</f>
        <v>1346100</v>
      </c>
      <c r="AD48" s="223">
        <f>AC48*'KiGa - PS'!L49</f>
        <v>1123380.5549938129</v>
      </c>
      <c r="AE48" s="226">
        <f t="shared" si="59"/>
        <v>6.623639808858614E-2</v>
      </c>
      <c r="AF48" s="223">
        <f t="shared" si="60"/>
        <v>13955.037950233702</v>
      </c>
      <c r="AG48" s="224">
        <f t="shared" si="61"/>
        <v>702.55194183477977</v>
      </c>
      <c r="AH48" s="225">
        <f t="shared" si="49"/>
        <v>1583759.35</v>
      </c>
      <c r="AI48" s="223">
        <f>AH48*'KiGa - PS'!L49</f>
        <v>1321717.8943463638</v>
      </c>
      <c r="AJ48" s="226">
        <f t="shared" si="62"/>
        <v>7.7930699638303555E-2</v>
      </c>
      <c r="AK48" s="223">
        <f t="shared" si="63"/>
        <v>16418.855830389613</v>
      </c>
      <c r="AL48" s="224">
        <f t="shared" si="64"/>
        <v>826.59030290579358</v>
      </c>
      <c r="AM48" s="365">
        <v>-67901.600000000006</v>
      </c>
      <c r="AN48" s="223">
        <f>AM48*'KiGa - PS'!L49</f>
        <v>-56666.917088602546</v>
      </c>
      <c r="AO48" s="226">
        <f t="shared" si="65"/>
        <v>-3.3411762933303175E-3</v>
      </c>
      <c r="AP48" s="223">
        <f t="shared" si="66"/>
        <v>-703.93685824350985</v>
      </c>
      <c r="AQ48" s="224">
        <f t="shared" si="67"/>
        <v>-35.438972538212973</v>
      </c>
      <c r="AR48" s="223">
        <f>Artengliederung!X48*'KiGa - PS'!L49</f>
        <v>1135263.2607372995</v>
      </c>
      <c r="AS48" s="226">
        <f t="shared" si="68"/>
        <v>6.6937022311158195E-2</v>
      </c>
      <c r="AT48" s="223">
        <f t="shared" si="69"/>
        <v>14102.649201705583</v>
      </c>
      <c r="AU48" s="223">
        <f t="shared" si="70"/>
        <v>709.98327750925546</v>
      </c>
      <c r="AV48" s="227">
        <f t="shared" si="71"/>
        <v>7.9856465956610889E-2</v>
      </c>
    </row>
    <row r="49" spans="1:48" x14ac:dyDescent="0.25">
      <c r="A49" s="365" t="s">
        <v>129</v>
      </c>
      <c r="B49" s="365" t="s">
        <v>34</v>
      </c>
      <c r="C49" s="328">
        <v>2</v>
      </c>
      <c r="D49" s="328">
        <f>Kennzahlen!H49</f>
        <v>37</v>
      </c>
      <c r="E49" s="223">
        <f>I49</f>
        <v>473956.55</v>
      </c>
      <c r="F49" s="223">
        <f t="shared" si="72"/>
        <v>236978.27499999999</v>
      </c>
      <c r="G49" s="224">
        <f t="shared" si="50"/>
        <v>12809.636486486486</v>
      </c>
      <c r="H49" s="223">
        <f>I49-'KiGa - PS'!H50</f>
        <v>194752.65000000002</v>
      </c>
      <c r="I49" s="223">
        <f>J49-K49-L49-M49</f>
        <v>473956.55</v>
      </c>
      <c r="J49" s="365">
        <v>503114.1</v>
      </c>
      <c r="K49" s="365">
        <v>1105</v>
      </c>
      <c r="L49" s="365">
        <v>0</v>
      </c>
      <c r="M49" s="365">
        <v>28052.55</v>
      </c>
      <c r="N49" s="365"/>
      <c r="O49" s="365"/>
      <c r="P49" s="365">
        <v>299005.5</v>
      </c>
      <c r="Q49" s="27">
        <f t="shared" si="52"/>
        <v>270952.95</v>
      </c>
      <c r="R49" s="223">
        <f>Q49</f>
        <v>270952.95</v>
      </c>
      <c r="S49" s="226">
        <f t="shared" si="53"/>
        <v>0.57168310048674298</v>
      </c>
      <c r="T49" s="223">
        <f t="shared" si="54"/>
        <v>135476.47500000001</v>
      </c>
      <c r="U49" s="224">
        <f t="shared" si="55"/>
        <v>7323.0527027027028</v>
      </c>
      <c r="V49" s="365">
        <v>19038.55</v>
      </c>
      <c r="W49" s="223">
        <f>V49*'KiGa - PS'!L50</f>
        <v>19038.55</v>
      </c>
      <c r="X49" s="226">
        <f t="shared" si="56"/>
        <v>4.0169399494531723E-2</v>
      </c>
      <c r="Y49" s="223">
        <f t="shared" si="57"/>
        <v>9519.2749999999996</v>
      </c>
      <c r="Z49" s="224">
        <f t="shared" si="58"/>
        <v>514.55540540540539</v>
      </c>
      <c r="AA49" s="365">
        <v>36862.400000000001</v>
      </c>
      <c r="AB49" s="365">
        <v>13080</v>
      </c>
      <c r="AC49" s="225">
        <f>Artengliederung!AE49</f>
        <v>70400</v>
      </c>
      <c r="AD49" s="223">
        <f>AC49*'KiGa - PS'!L50</f>
        <v>70400</v>
      </c>
      <c r="AE49" s="226">
        <f t="shared" si="59"/>
        <v>0.14853682262646228</v>
      </c>
      <c r="AF49" s="223">
        <f t="shared" si="60"/>
        <v>35200</v>
      </c>
      <c r="AG49" s="224">
        <f t="shared" si="61"/>
        <v>1902.7027027027027</v>
      </c>
      <c r="AH49" s="225">
        <f t="shared" si="49"/>
        <v>23782.400000000001</v>
      </c>
      <c r="AI49" s="223">
        <f>AH49*'KiGa - PS'!L50</f>
        <v>23782.400000000001</v>
      </c>
      <c r="AJ49" s="226">
        <f t="shared" si="62"/>
        <v>5.017843935272126E-2</v>
      </c>
      <c r="AK49" s="223">
        <f t="shared" si="63"/>
        <v>11891.2</v>
      </c>
      <c r="AL49" s="224">
        <f t="shared" si="64"/>
        <v>642.76756756756765</v>
      </c>
      <c r="AM49" s="365">
        <v>1360.4</v>
      </c>
      <c r="AN49" s="223">
        <f>AM49*'KiGa - PS'!L50</f>
        <v>1360.4</v>
      </c>
      <c r="AO49" s="226">
        <f t="shared" si="65"/>
        <v>2.8703053054124901E-3</v>
      </c>
      <c r="AP49" s="223">
        <f t="shared" si="66"/>
        <v>680.2</v>
      </c>
      <c r="AQ49" s="224">
        <f t="shared" si="67"/>
        <v>36.767567567567568</v>
      </c>
      <c r="AR49" s="223">
        <f>Artengliederung!X49*'KiGa - PS'!L50</f>
        <v>57608.5</v>
      </c>
      <c r="AS49" s="226">
        <f t="shared" si="68"/>
        <v>0.12154806173688285</v>
      </c>
      <c r="AT49" s="223">
        <f t="shared" si="69"/>
        <v>28804.25</v>
      </c>
      <c r="AU49" s="223">
        <f t="shared" si="70"/>
        <v>1556.9864864864865</v>
      </c>
      <c r="AV49" s="227">
        <f t="shared" si="71"/>
        <v>6.5013870997246398E-2</v>
      </c>
    </row>
    <row r="50" spans="1:48" x14ac:dyDescent="0.25">
      <c r="A50" s="365" t="s">
        <v>130</v>
      </c>
      <c r="B50" s="365" t="s">
        <v>34</v>
      </c>
      <c r="C50" s="328">
        <v>12</v>
      </c>
      <c r="D50" s="328">
        <f>Kennzahlen!H50</f>
        <v>254</v>
      </c>
      <c r="E50" s="223">
        <f>'KiGa - PS'!F51+'KiGa - PS'!L51*Funktional!H50</f>
        <v>2733301.4999201028</v>
      </c>
      <c r="F50" s="223">
        <f t="shared" si="72"/>
        <v>227775.12499334189</v>
      </c>
      <c r="G50" s="224">
        <f t="shared" si="50"/>
        <v>10761.029527244498</v>
      </c>
      <c r="H50" s="223">
        <f>I50-'KiGa - PS'!H51</f>
        <v>1183785.25</v>
      </c>
      <c r="I50" s="223">
        <f t="shared" si="51"/>
        <v>3285553.5</v>
      </c>
      <c r="J50" s="365">
        <v>3476452.1</v>
      </c>
      <c r="K50" s="365">
        <v>150602.65</v>
      </c>
      <c r="L50" s="365">
        <v>0</v>
      </c>
      <c r="M50" s="365">
        <v>40295.949999999997</v>
      </c>
      <c r="N50" s="365"/>
      <c r="O50" s="365"/>
      <c r="P50" s="365">
        <v>2279401.15</v>
      </c>
      <c r="Q50" s="27">
        <f t="shared" si="52"/>
        <v>2239105.1999999997</v>
      </c>
      <c r="R50" s="223">
        <f>(Q50-'KiGa - PS'!H51)*'KiGa - PS'!L51+'KiGa - PS'!F51</f>
        <v>1862745.3796259598</v>
      </c>
      <c r="S50" s="226">
        <f t="shared" si="53"/>
        <v>0.68150014906164202</v>
      </c>
      <c r="T50" s="223">
        <f t="shared" si="54"/>
        <v>155228.78163549665</v>
      </c>
      <c r="U50" s="224">
        <f t="shared" si="55"/>
        <v>7333.6432268738572</v>
      </c>
      <c r="V50" s="365">
        <v>199283.85</v>
      </c>
      <c r="W50" s="223">
        <f>V50*'KiGa - PS'!L51</f>
        <v>165787.23984097439</v>
      </c>
      <c r="X50" s="226">
        <f t="shared" si="56"/>
        <v>6.0654574640163376E-2</v>
      </c>
      <c r="Y50" s="223">
        <f t="shared" si="57"/>
        <v>13815.6033200812</v>
      </c>
      <c r="Z50" s="224">
        <f t="shared" si="58"/>
        <v>652.70566866525348</v>
      </c>
      <c r="AA50" s="365">
        <v>413690.65</v>
      </c>
      <c r="AB50" s="365">
        <v>25458</v>
      </c>
      <c r="AC50" s="225">
        <f>Artengliederung!AE50</f>
        <v>204645</v>
      </c>
      <c r="AD50" s="223">
        <f>AC50*'KiGa - PS'!L51</f>
        <v>170247.26136742241</v>
      </c>
      <c r="AE50" s="226">
        <f t="shared" si="59"/>
        <v>6.2286308836547642E-2</v>
      </c>
      <c r="AF50" s="223">
        <f t="shared" si="60"/>
        <v>14187.271780618534</v>
      </c>
      <c r="AG50" s="224">
        <f t="shared" si="61"/>
        <v>670.26480853315911</v>
      </c>
      <c r="AH50" s="225">
        <f t="shared" si="49"/>
        <v>388232.65</v>
      </c>
      <c r="AI50" s="223">
        <f>AH50*'KiGa - PS'!L51</f>
        <v>322976.59574344364</v>
      </c>
      <c r="AJ50" s="226">
        <f t="shared" si="62"/>
        <v>0.11816354535088229</v>
      </c>
      <c r="AK50" s="223">
        <f t="shared" si="63"/>
        <v>26914.716311953638</v>
      </c>
      <c r="AL50" s="224">
        <f t="shared" si="64"/>
        <v>1271.5614005647387</v>
      </c>
      <c r="AM50" s="365">
        <v>8444.7999999999993</v>
      </c>
      <c r="AN50" s="223">
        <f>AM50*'KiGa - PS'!L51</f>
        <v>7025.3564601901271</v>
      </c>
      <c r="AO50" s="226">
        <f t="shared" si="65"/>
        <v>2.5702822979446231E-3</v>
      </c>
      <c r="AP50" s="223">
        <f t="shared" si="66"/>
        <v>585.44637168251063</v>
      </c>
      <c r="AQ50" s="224">
        <f t="shared" si="67"/>
        <v>27.658883701535935</v>
      </c>
      <c r="AR50" s="223">
        <f>Artengliederung!X50*'KiGa - PS'!L51</f>
        <v>121921.48080409912</v>
      </c>
      <c r="AS50" s="226">
        <f t="shared" si="68"/>
        <v>4.4605939303682014E-2</v>
      </c>
      <c r="AT50" s="223">
        <f t="shared" si="69"/>
        <v>10160.123400341594</v>
      </c>
      <c r="AU50" s="223">
        <f t="shared" si="70"/>
        <v>480.00582993739812</v>
      </c>
      <c r="AV50" s="227">
        <f t="shared" si="71"/>
        <v>3.0219200509138004E-2</v>
      </c>
    </row>
    <row r="51" spans="1:48" x14ac:dyDescent="0.25">
      <c r="A51" s="365" t="s">
        <v>131</v>
      </c>
      <c r="B51" s="365" t="s">
        <v>34</v>
      </c>
      <c r="C51" s="328">
        <v>3</v>
      </c>
      <c r="D51" s="328">
        <f>Kennzahlen!H51</f>
        <v>70</v>
      </c>
      <c r="E51" s="223">
        <f>'KiGa - PS'!F52+'KiGa - PS'!L52*Funktional!H51</f>
        <v>678382.89542749687</v>
      </c>
      <c r="F51" s="223">
        <f t="shared" si="72"/>
        <v>226127.63180916561</v>
      </c>
      <c r="G51" s="224">
        <f t="shared" si="50"/>
        <v>9691.1842203928118</v>
      </c>
      <c r="H51" s="223">
        <f>I51-'KiGa - PS'!H52</f>
        <v>314507.35000000009</v>
      </c>
      <c r="I51" s="223">
        <f t="shared" si="51"/>
        <v>850712.55</v>
      </c>
      <c r="J51" s="365">
        <v>878251</v>
      </c>
      <c r="K51" s="365">
        <v>0</v>
      </c>
      <c r="L51" s="365">
        <v>0</v>
      </c>
      <c r="M51" s="365">
        <v>27538.45</v>
      </c>
      <c r="N51" s="365"/>
      <c r="O51" s="365"/>
      <c r="P51" s="365">
        <v>539017.65</v>
      </c>
      <c r="Q51" s="27">
        <f t="shared" si="52"/>
        <v>511479.2</v>
      </c>
      <c r="R51" s="223">
        <f>(Q51-'KiGa - PS'!H52)*'KiGa - PS'!L52+'KiGa - PS'!F52</f>
        <v>407868.36945915484</v>
      </c>
      <c r="S51" s="226">
        <f t="shared" si="53"/>
        <v>0.60123622250547493</v>
      </c>
      <c r="T51" s="223">
        <f t="shared" si="54"/>
        <v>135956.12315305162</v>
      </c>
      <c r="U51" s="224">
        <f t="shared" si="55"/>
        <v>5826.6909922736404</v>
      </c>
      <c r="V51" s="365">
        <v>31833.55</v>
      </c>
      <c r="W51" s="223">
        <f>V51*'KiGa - PS'!L52</f>
        <v>25384.997342211529</v>
      </c>
      <c r="X51" s="226">
        <f t="shared" si="56"/>
        <v>3.7419866440197687E-2</v>
      </c>
      <c r="Y51" s="223">
        <f t="shared" si="57"/>
        <v>8461.6657807371757</v>
      </c>
      <c r="Z51" s="224">
        <f t="shared" si="58"/>
        <v>362.64281917445044</v>
      </c>
      <c r="AA51" s="365">
        <v>84809.75</v>
      </c>
      <c r="AB51" s="365">
        <v>17855</v>
      </c>
      <c r="AC51" s="225">
        <f>Artengliederung!AE51</f>
        <v>99883.7</v>
      </c>
      <c r="AD51" s="223">
        <f>AC51*'KiGa - PS'!L52</f>
        <v>79650.163397744007</v>
      </c>
      <c r="AE51" s="226">
        <f t="shared" si="59"/>
        <v>0.1174118096647334</v>
      </c>
      <c r="AF51" s="223">
        <f t="shared" si="60"/>
        <v>26550.054465914669</v>
      </c>
      <c r="AG51" s="224">
        <f t="shared" si="61"/>
        <v>1137.8594771106286</v>
      </c>
      <c r="AH51" s="225">
        <f t="shared" si="49"/>
        <v>66954.75</v>
      </c>
      <c r="AI51" s="223">
        <f>AH51*'KiGa - PS'!L52</f>
        <v>53391.662280783552</v>
      </c>
      <c r="AJ51" s="226">
        <f t="shared" si="62"/>
        <v>7.8704316751880513E-2</v>
      </c>
      <c r="AK51" s="223">
        <f t="shared" si="63"/>
        <v>17797.220760261185</v>
      </c>
      <c r="AL51" s="224">
        <f t="shared" si="64"/>
        <v>762.73803258262217</v>
      </c>
      <c r="AM51" s="365">
        <v>4917.95</v>
      </c>
      <c r="AN51" s="223">
        <f>AM51*'KiGa - PS'!L52</f>
        <v>3921.7161667212481</v>
      </c>
      <c r="AO51" s="226">
        <f t="shared" si="65"/>
        <v>5.780977370088169E-3</v>
      </c>
      <c r="AP51" s="223">
        <f t="shared" si="66"/>
        <v>1307.2387222404161</v>
      </c>
      <c r="AQ51" s="224">
        <f t="shared" si="67"/>
        <v>56.024516667446399</v>
      </c>
      <c r="AR51" s="223">
        <f>Artengliederung!X51*'KiGa - PS'!L52</f>
        <v>36303.355940598864</v>
      </c>
      <c r="AS51" s="226">
        <f t="shared" si="68"/>
        <v>5.3514550831535279E-2</v>
      </c>
      <c r="AT51" s="223">
        <f t="shared" si="69"/>
        <v>12101.118646866287</v>
      </c>
      <c r="AU51" s="223">
        <f t="shared" si="70"/>
        <v>518.61937057998375</v>
      </c>
      <c r="AV51" s="227">
        <f t="shared" si="71"/>
        <v>0.10593225643609003</v>
      </c>
    </row>
    <row r="52" spans="1:48" x14ac:dyDescent="0.25">
      <c r="A52" s="365" t="s">
        <v>132</v>
      </c>
      <c r="B52" s="365" t="s">
        <v>34</v>
      </c>
      <c r="C52" s="328">
        <v>1</v>
      </c>
      <c r="D52" s="328">
        <f>Kennzahlen!H52</f>
        <v>21</v>
      </c>
      <c r="E52" s="223">
        <f>I52</f>
        <v>201383.55000000002</v>
      </c>
      <c r="F52" s="223">
        <f t="shared" si="72"/>
        <v>201383.55000000002</v>
      </c>
      <c r="G52" s="224">
        <f t="shared" si="50"/>
        <v>9589.692857142858</v>
      </c>
      <c r="H52" s="223">
        <f>I52-'KiGa - PS'!H53</f>
        <v>-2325.0499999999884</v>
      </c>
      <c r="I52" s="223">
        <f t="shared" si="51"/>
        <v>201383.55000000002</v>
      </c>
      <c r="J52" s="365">
        <v>285746.40000000002</v>
      </c>
      <c r="K52" s="365">
        <v>27261.25</v>
      </c>
      <c r="L52" s="365">
        <v>0</v>
      </c>
      <c r="M52" s="365">
        <v>57101.599999999999</v>
      </c>
      <c r="N52" s="365"/>
      <c r="O52" s="365"/>
      <c r="P52" s="365">
        <v>203708.6</v>
      </c>
      <c r="Q52" s="27">
        <f t="shared" si="52"/>
        <v>146607</v>
      </c>
      <c r="R52" s="223">
        <f>Q52</f>
        <v>146607</v>
      </c>
      <c r="S52" s="226">
        <f t="shared" si="53"/>
        <v>0.72799888570839066</v>
      </c>
      <c r="T52" s="223">
        <f t="shared" si="54"/>
        <v>146607</v>
      </c>
      <c r="U52" s="224">
        <f t="shared" si="55"/>
        <v>6981.2857142857147</v>
      </c>
      <c r="V52" s="365">
        <v>14922.25</v>
      </c>
      <c r="W52" s="223">
        <f>V52*'KiGa - PS'!L53</f>
        <v>14922.25</v>
      </c>
      <c r="X52" s="226">
        <f t="shared" si="56"/>
        <v>7.4098654036042169E-2</v>
      </c>
      <c r="Y52" s="223">
        <f t="shared" si="57"/>
        <v>14922.25</v>
      </c>
      <c r="Z52" s="224">
        <f t="shared" si="58"/>
        <v>710.58333333333337</v>
      </c>
      <c r="AA52" s="365">
        <v>25877.9</v>
      </c>
      <c r="AB52" s="365">
        <v>20250</v>
      </c>
      <c r="AC52" s="225">
        <f>Artengliederung!AE52</f>
        <v>8481.65</v>
      </c>
      <c r="AD52" s="223">
        <f>AC52*'KiGa - PS'!L53</f>
        <v>8481.65</v>
      </c>
      <c r="AE52" s="226">
        <f t="shared" si="59"/>
        <v>4.211689584377671E-2</v>
      </c>
      <c r="AF52" s="223">
        <f t="shared" si="60"/>
        <v>8481.65</v>
      </c>
      <c r="AG52" s="224">
        <f t="shared" si="61"/>
        <v>403.88809523809522</v>
      </c>
      <c r="AH52" s="225">
        <f t="shared" si="49"/>
        <v>5627.9000000000015</v>
      </c>
      <c r="AI52" s="223">
        <f>AH52*'KiGa - PS'!L53</f>
        <v>5627.9000000000015</v>
      </c>
      <c r="AJ52" s="226">
        <f t="shared" si="62"/>
        <v>2.7946175345503647E-2</v>
      </c>
      <c r="AK52" s="223">
        <f t="shared" si="63"/>
        <v>5627.9000000000015</v>
      </c>
      <c r="AL52" s="224">
        <f t="shared" si="64"/>
        <v>267.99523809523816</v>
      </c>
      <c r="AM52" s="365">
        <v>3059.55</v>
      </c>
      <c r="AN52" s="223">
        <f>AM52*'KiGa - PS'!L53</f>
        <v>3059.55</v>
      </c>
      <c r="AO52" s="226">
        <f t="shared" si="65"/>
        <v>1.5192651038279938E-2</v>
      </c>
      <c r="AP52" s="223">
        <f t="shared" si="66"/>
        <v>3059.55</v>
      </c>
      <c r="AQ52" s="224">
        <f t="shared" si="67"/>
        <v>145.69285714285715</v>
      </c>
      <c r="AR52" s="223">
        <f>Artengliederung!X52*'KiGa - PS'!L53</f>
        <v>0</v>
      </c>
      <c r="AS52" s="226">
        <f t="shared" si="68"/>
        <v>0</v>
      </c>
      <c r="AT52" s="223">
        <f t="shared" si="69"/>
        <v>0</v>
      </c>
      <c r="AU52" s="223">
        <f t="shared" si="70"/>
        <v>0</v>
      </c>
      <c r="AV52" s="227">
        <f t="shared" si="71"/>
        <v>0.1126467380280069</v>
      </c>
    </row>
    <row r="53" spans="1:48" x14ac:dyDescent="0.25">
      <c r="A53" s="365" t="s">
        <v>133</v>
      </c>
      <c r="B53" s="365" t="s">
        <v>34</v>
      </c>
      <c r="C53" s="328">
        <v>4.5</v>
      </c>
      <c r="D53" s="328">
        <f>Kennzahlen!H53</f>
        <v>78</v>
      </c>
      <c r="E53" s="223">
        <f>'KiGa - PS'!F54+'KiGa - PS'!L54*Funktional!H53</f>
        <v>824552.12599625613</v>
      </c>
      <c r="F53" s="223">
        <f t="shared" si="72"/>
        <v>183233.80577694581</v>
      </c>
      <c r="G53" s="224">
        <f t="shared" si="50"/>
        <v>10571.181102516104</v>
      </c>
      <c r="H53" s="223">
        <f>I53-'KiGa - PS'!H54</f>
        <v>402151.44999999995</v>
      </c>
      <c r="I53" s="223">
        <f t="shared" si="51"/>
        <v>950677.54999999993</v>
      </c>
      <c r="J53" s="365">
        <v>963541.1</v>
      </c>
      <c r="K53" s="365">
        <v>7596</v>
      </c>
      <c r="L53" s="365">
        <v>0</v>
      </c>
      <c r="M53" s="365">
        <v>5267.55</v>
      </c>
      <c r="N53" s="365"/>
      <c r="O53" s="365"/>
      <c r="P53" s="365">
        <v>658029.80000000005</v>
      </c>
      <c r="Q53" s="27">
        <f t="shared" si="52"/>
        <v>652762.25</v>
      </c>
      <c r="R53" s="223">
        <f>(Q53-'KiGa - PS'!H54)*'KiGa - PS'!L54+'KiGa - PS'!F54</f>
        <v>566160.9459564914</v>
      </c>
      <c r="S53" s="226">
        <f t="shared" si="53"/>
        <v>0.68662844725848426</v>
      </c>
      <c r="T53" s="223">
        <f t="shared" si="54"/>
        <v>125813.54354588698</v>
      </c>
      <c r="U53" s="224">
        <f t="shared" si="55"/>
        <v>7258.4736661088637</v>
      </c>
      <c r="V53" s="365">
        <v>46130</v>
      </c>
      <c r="W53" s="223">
        <f>V53*'KiGa - PS'!L54</f>
        <v>40009.979800414243</v>
      </c>
      <c r="X53" s="226">
        <f t="shared" si="56"/>
        <v>4.8523287417484517E-2</v>
      </c>
      <c r="Y53" s="223">
        <f t="shared" si="57"/>
        <v>8891.106622314277</v>
      </c>
      <c r="Z53" s="224">
        <f t="shared" si="58"/>
        <v>512.94845897966979</v>
      </c>
      <c r="AA53" s="365">
        <v>208745.8</v>
      </c>
      <c r="AB53" s="365">
        <v>34677</v>
      </c>
      <c r="AC53" s="225">
        <f>Artengliederung!AE53</f>
        <v>16980</v>
      </c>
      <c r="AD53" s="223">
        <f>AC53*'KiGa - PS'!L54</f>
        <v>14727.280663581916</v>
      </c>
      <c r="AE53" s="226">
        <f t="shared" si="59"/>
        <v>1.7860945596117214E-2</v>
      </c>
      <c r="AF53" s="223">
        <f t="shared" si="60"/>
        <v>3272.7290363515367</v>
      </c>
      <c r="AG53" s="224">
        <f t="shared" si="61"/>
        <v>188.81129055874251</v>
      </c>
      <c r="AH53" s="225">
        <f t="shared" si="49"/>
        <v>174068.8</v>
      </c>
      <c r="AI53" s="223">
        <f>AH53*'KiGa - PS'!L54</f>
        <v>150975.26927991211</v>
      </c>
      <c r="AJ53" s="226">
        <f t="shared" si="62"/>
        <v>0.18309972713671424</v>
      </c>
      <c r="AK53" s="223">
        <f t="shared" si="63"/>
        <v>33550.059839980473</v>
      </c>
      <c r="AL53" s="224">
        <f t="shared" si="64"/>
        <v>1935.5803753834887</v>
      </c>
      <c r="AM53" s="365">
        <v>3625.8</v>
      </c>
      <c r="AN53" s="223">
        <f>AM53*'KiGa - PS'!L54</f>
        <v>3144.7688003542589</v>
      </c>
      <c r="AO53" s="226">
        <f t="shared" si="65"/>
        <v>3.8139114571496937E-3</v>
      </c>
      <c r="AP53" s="223">
        <f t="shared" si="66"/>
        <v>698.83751118983537</v>
      </c>
      <c r="AQ53" s="224">
        <f t="shared" si="67"/>
        <v>40.3175487224905</v>
      </c>
      <c r="AR53" s="223">
        <f>Artengliederung!X53*'KiGa - PS'!L54</f>
        <v>2557.325502742714</v>
      </c>
      <c r="AS53" s="226">
        <f t="shared" si="68"/>
        <v>3.1014722079005658E-3</v>
      </c>
      <c r="AT53" s="223">
        <f t="shared" si="69"/>
        <v>568.29455616504754</v>
      </c>
      <c r="AU53" s="223">
        <f t="shared" si="70"/>
        <v>32.786224394137356</v>
      </c>
      <c r="AV53" s="227">
        <f t="shared" si="71"/>
        <v>5.6972208926149501E-2</v>
      </c>
    </row>
    <row r="54" spans="1:48" x14ac:dyDescent="0.25">
      <c r="A54" s="365" t="s">
        <v>134</v>
      </c>
      <c r="B54" s="365" t="s">
        <v>34</v>
      </c>
      <c r="C54" s="328">
        <v>3</v>
      </c>
      <c r="D54" s="328">
        <f>Kennzahlen!H54</f>
        <v>66</v>
      </c>
      <c r="E54" s="223">
        <f>'KiGa - PS'!F55+'KiGa - PS'!L55*Funktional!H54</f>
        <v>755711.3779625569</v>
      </c>
      <c r="F54" s="223">
        <f t="shared" si="72"/>
        <v>251903.79265418564</v>
      </c>
      <c r="G54" s="224">
        <f t="shared" si="50"/>
        <v>11450.172393372075</v>
      </c>
      <c r="H54" s="223">
        <f>I54-'KiGa - PS'!H55</f>
        <v>268729.90000000002</v>
      </c>
      <c r="I54" s="223">
        <f t="shared" si="51"/>
        <v>861894.9</v>
      </c>
      <c r="J54" s="365">
        <v>905202.9</v>
      </c>
      <c r="K54" s="365">
        <v>32005.55</v>
      </c>
      <c r="L54" s="365">
        <v>0</v>
      </c>
      <c r="M54" s="365">
        <v>11302.45</v>
      </c>
      <c r="N54" s="365"/>
      <c r="O54" s="365"/>
      <c r="P54" s="365">
        <v>593165</v>
      </c>
      <c r="Q54" s="27">
        <f t="shared" si="52"/>
        <v>581862.55000000005</v>
      </c>
      <c r="R54" s="223">
        <f>(Q54-'KiGa - PS'!H55)*'KiGa - PS'!L55+'KiGa - PS'!F55</f>
        <v>510178.38653565204</v>
      </c>
      <c r="S54" s="226">
        <f t="shared" si="53"/>
        <v>0.67509687085977654</v>
      </c>
      <c r="T54" s="223">
        <f t="shared" si="54"/>
        <v>170059.46217855069</v>
      </c>
      <c r="U54" s="224">
        <f t="shared" si="55"/>
        <v>7729.9755535704853</v>
      </c>
      <c r="V54" s="365">
        <v>38106.85</v>
      </c>
      <c r="W54" s="223">
        <f>V54*'KiGa - PS'!L55</f>
        <v>33412.171395041856</v>
      </c>
      <c r="X54" s="226">
        <f t="shared" si="56"/>
        <v>4.4212873286522521E-2</v>
      </c>
      <c r="Y54" s="223">
        <f t="shared" si="57"/>
        <v>11137.390465013952</v>
      </c>
      <c r="Z54" s="224">
        <f t="shared" si="58"/>
        <v>506.24502113699782</v>
      </c>
      <c r="AA54" s="365">
        <v>125739</v>
      </c>
      <c r="AB54" s="365">
        <v>9700</v>
      </c>
      <c r="AC54" s="225">
        <f>Artengliederung!AE54</f>
        <v>41670</v>
      </c>
      <c r="AD54" s="223">
        <f>AC54*'KiGa - PS'!L55</f>
        <v>36536.349292355415</v>
      </c>
      <c r="AE54" s="226">
        <f t="shared" si="59"/>
        <v>4.8346962025184272E-2</v>
      </c>
      <c r="AF54" s="223">
        <f t="shared" si="60"/>
        <v>12178.783097451806</v>
      </c>
      <c r="AG54" s="224">
        <f t="shared" si="61"/>
        <v>553.5810498841729</v>
      </c>
      <c r="AH54" s="225">
        <f t="shared" si="49"/>
        <v>116039</v>
      </c>
      <c r="AI54" s="223">
        <f>AH54*'KiGa - PS'!L55</f>
        <v>101743.25499245572</v>
      </c>
      <c r="AJ54" s="226">
        <f t="shared" si="62"/>
        <v>0.13463242444061332</v>
      </c>
      <c r="AK54" s="223">
        <f t="shared" si="63"/>
        <v>33914.418330818575</v>
      </c>
      <c r="AL54" s="224">
        <f t="shared" si="64"/>
        <v>1541.5644695826625</v>
      </c>
      <c r="AM54" s="365">
        <v>7058.85</v>
      </c>
      <c r="AN54" s="223">
        <f>AM54*'KiGa - PS'!L55</f>
        <v>6189.2154836175441</v>
      </c>
      <c r="AO54" s="226">
        <f t="shared" si="65"/>
        <v>8.1899196758212639E-3</v>
      </c>
      <c r="AP54" s="223">
        <f t="shared" si="66"/>
        <v>2063.0718278725149</v>
      </c>
      <c r="AQ54" s="224">
        <f t="shared" si="67"/>
        <v>93.775992176023394</v>
      </c>
      <c r="AR54" s="223">
        <f>Artengliederung!X54*'KiGa - PS'!L55</f>
        <v>30251.562364704598</v>
      </c>
      <c r="AS54" s="226">
        <f t="shared" si="68"/>
        <v>4.0030576813947963E-2</v>
      </c>
      <c r="AT54" s="223">
        <f t="shared" si="69"/>
        <v>10083.8541215682</v>
      </c>
      <c r="AU54" s="223">
        <f t="shared" si="70"/>
        <v>458.35700552582722</v>
      </c>
      <c r="AV54" s="227">
        <f t="shared" si="71"/>
        <v>4.9490372898134127E-2</v>
      </c>
    </row>
    <row r="55" spans="1:48" x14ac:dyDescent="0.25">
      <c r="A55" s="365" t="s">
        <v>135</v>
      </c>
      <c r="B55" s="365" t="s">
        <v>34</v>
      </c>
      <c r="C55" s="328">
        <v>6</v>
      </c>
      <c r="D55" s="328">
        <f>Kennzahlen!H55</f>
        <v>133</v>
      </c>
      <c r="E55" s="223">
        <f>'KiGa - PS'!F56+'KiGa - PS'!L56*Funktional!H55</f>
        <v>1505325.1618237006</v>
      </c>
      <c r="F55" s="223">
        <f t="shared" si="72"/>
        <v>250887.52697061677</v>
      </c>
      <c r="G55" s="224">
        <f t="shared" si="50"/>
        <v>11318.23429942632</v>
      </c>
      <c r="H55" s="223">
        <f>I55-'KiGa - PS'!H56</f>
        <v>846058.10999999975</v>
      </c>
      <c r="I55" s="223">
        <f t="shared" si="51"/>
        <v>1698623.0099999998</v>
      </c>
      <c r="J55" s="365">
        <v>1728836.16</v>
      </c>
      <c r="K55" s="365">
        <v>14902.35</v>
      </c>
      <c r="L55" s="365">
        <v>0</v>
      </c>
      <c r="M55" s="365">
        <v>15310.8</v>
      </c>
      <c r="N55" s="365"/>
      <c r="O55" s="365"/>
      <c r="P55" s="365">
        <v>853611.35</v>
      </c>
      <c r="Q55" s="27">
        <f t="shared" si="52"/>
        <v>838300.54999999993</v>
      </c>
      <c r="R55" s="223">
        <f>(Q55-'KiGa - PS'!H56)*'KiGa - PS'!L56+'KiGa - PS'!F56</f>
        <v>742904.63726006367</v>
      </c>
      <c r="S55" s="226">
        <f t="shared" si="53"/>
        <v>0.49351771703598912</v>
      </c>
      <c r="T55" s="223">
        <f t="shared" si="54"/>
        <v>123817.43954334395</v>
      </c>
      <c r="U55" s="224">
        <f t="shared" si="55"/>
        <v>5585.7491523313056</v>
      </c>
      <c r="V55" s="365">
        <v>47725.1</v>
      </c>
      <c r="W55" s="223">
        <f>V55*'KiGa - PS'!L56</f>
        <v>42294.136755248779</v>
      </c>
      <c r="X55" s="226">
        <f t="shared" si="56"/>
        <v>2.8096346110370901E-2</v>
      </c>
      <c r="Y55" s="223">
        <f t="shared" si="57"/>
        <v>7049.0227925414629</v>
      </c>
      <c r="Z55" s="224">
        <f t="shared" si="58"/>
        <v>318.00102823495325</v>
      </c>
      <c r="AA55" s="365">
        <v>184039.61</v>
      </c>
      <c r="AB55" s="365">
        <v>57557.85</v>
      </c>
      <c r="AC55" s="225">
        <f>Artengliederung!AE55</f>
        <v>242984.8</v>
      </c>
      <c r="AD55" s="223">
        <f>AC55*'KiGa - PS'!L56</f>
        <v>215333.90942390426</v>
      </c>
      <c r="AE55" s="226">
        <f t="shared" si="59"/>
        <v>0.14304810341642554</v>
      </c>
      <c r="AF55" s="223">
        <f t="shared" si="60"/>
        <v>35888.984903984041</v>
      </c>
      <c r="AG55" s="224">
        <f t="shared" si="61"/>
        <v>1619.0519505556711</v>
      </c>
      <c r="AH55" s="225">
        <f t="shared" si="49"/>
        <v>126481.75999999998</v>
      </c>
      <c r="AI55" s="223">
        <f>AH55*'KiGa - PS'!L56</f>
        <v>112088.54155328231</v>
      </c>
      <c r="AJ55" s="226">
        <f t="shared" si="62"/>
        <v>7.4461348548433948E-2</v>
      </c>
      <c r="AK55" s="223">
        <f t="shared" si="63"/>
        <v>18681.42359221372</v>
      </c>
      <c r="AL55" s="224">
        <f t="shared" si="64"/>
        <v>842.77098912242343</v>
      </c>
      <c r="AM55" s="365">
        <v>3930.25</v>
      </c>
      <c r="AN55" s="223">
        <f>AM55*'KiGa - PS'!L56</f>
        <v>3483.0001609701499</v>
      </c>
      <c r="AO55" s="226">
        <f t="shared" si="65"/>
        <v>2.313785917688705E-3</v>
      </c>
      <c r="AP55" s="223">
        <f t="shared" si="66"/>
        <v>580.50002682835827</v>
      </c>
      <c r="AQ55" s="224">
        <f t="shared" si="67"/>
        <v>26.187971135113909</v>
      </c>
      <c r="AR55" s="223">
        <f>Artengliederung!X55*'KiGa - PS'!L56</f>
        <v>159439.16771466605</v>
      </c>
      <c r="AS55" s="226">
        <f t="shared" si="68"/>
        <v>0.10591676254285524</v>
      </c>
      <c r="AT55" s="223">
        <f t="shared" si="69"/>
        <v>26573.194619111007</v>
      </c>
      <c r="AU55" s="223">
        <f t="shared" si="70"/>
        <v>1198.7907346967372</v>
      </c>
      <c r="AV55" s="227">
        <f t="shared" si="71"/>
        <v>0.15264593642823648</v>
      </c>
    </row>
    <row r="56" spans="1:48" x14ac:dyDescent="0.25">
      <c r="A56" s="365" t="s">
        <v>136</v>
      </c>
      <c r="B56" s="365" t="s">
        <v>34</v>
      </c>
      <c r="C56" s="328">
        <v>5.5</v>
      </c>
      <c r="D56" s="328">
        <f>Kennzahlen!H56</f>
        <v>119</v>
      </c>
      <c r="E56" s="223">
        <f>'KiGa - PS'!F57+'KiGa - PS'!L57*Funktional!H56</f>
        <v>1162589.5478509387</v>
      </c>
      <c r="F56" s="223">
        <f t="shared" si="72"/>
        <v>211379.91779107976</v>
      </c>
      <c r="G56" s="224">
        <f t="shared" si="50"/>
        <v>9769.6600659742744</v>
      </c>
      <c r="H56" s="223">
        <f>I56-'KiGa - PS'!H57</f>
        <v>383698.80000000005</v>
      </c>
      <c r="I56" s="223">
        <f t="shared" si="51"/>
        <v>1347377.7</v>
      </c>
      <c r="J56" s="365">
        <v>1429117.2</v>
      </c>
      <c r="K56" s="365">
        <v>58957.9</v>
      </c>
      <c r="L56" s="365">
        <v>0</v>
      </c>
      <c r="M56" s="365">
        <v>22781.599999999999</v>
      </c>
      <c r="N56" s="365"/>
      <c r="O56" s="365"/>
      <c r="P56" s="365">
        <v>1007758.4</v>
      </c>
      <c r="Q56" s="27">
        <f t="shared" si="52"/>
        <v>984976.8</v>
      </c>
      <c r="R56" s="223">
        <f>(Q56-'KiGa - PS'!H57)*'KiGa - PS'!L57+'KiGa - PS'!F57</f>
        <v>849890.6672981634</v>
      </c>
      <c r="S56" s="226">
        <f t="shared" si="53"/>
        <v>0.73103243433522769</v>
      </c>
      <c r="T56" s="223">
        <f t="shared" si="54"/>
        <v>154525.57587239335</v>
      </c>
      <c r="U56" s="224">
        <f t="shared" si="55"/>
        <v>7141.9383806568358</v>
      </c>
      <c r="V56" s="365">
        <v>80906.649999999994</v>
      </c>
      <c r="W56" s="223">
        <f>V56*'KiGa - PS'!L57</f>
        <v>69810.585140034716</v>
      </c>
      <c r="X56" s="226">
        <f t="shared" si="56"/>
        <v>6.0047490766694446E-2</v>
      </c>
      <c r="Y56" s="223">
        <f t="shared" si="57"/>
        <v>12692.833661824494</v>
      </c>
      <c r="Z56" s="224">
        <f t="shared" si="58"/>
        <v>586.6435726053337</v>
      </c>
      <c r="AA56" s="365">
        <v>165083.70000000001</v>
      </c>
      <c r="AB56" s="365">
        <v>384.7</v>
      </c>
      <c r="AC56" s="225">
        <f>Artengliederung!AE56</f>
        <v>0</v>
      </c>
      <c r="AD56" s="223">
        <f>AC56*'KiGa - PS'!L57</f>
        <v>0</v>
      </c>
      <c r="AE56" s="226">
        <f t="shared" si="59"/>
        <v>0</v>
      </c>
      <c r="AF56" s="223">
        <f t="shared" si="60"/>
        <v>0</v>
      </c>
      <c r="AG56" s="224">
        <f t="shared" si="61"/>
        <v>0</v>
      </c>
      <c r="AH56" s="225">
        <f t="shared" ref="AH56:AH64" si="73">AA56-AB56</f>
        <v>164699</v>
      </c>
      <c r="AI56" s="223">
        <f>AH56*'KiGa - PS'!L57</f>
        <v>142111.10658986101</v>
      </c>
      <c r="AJ56" s="226">
        <f t="shared" si="62"/>
        <v>0.12223669725274509</v>
      </c>
      <c r="AK56" s="223">
        <f t="shared" si="63"/>
        <v>25838.383016338365</v>
      </c>
      <c r="AL56" s="224">
        <f t="shared" si="64"/>
        <v>1194.2109797467313</v>
      </c>
      <c r="AM56" s="365">
        <v>5653.7</v>
      </c>
      <c r="AN56" s="223">
        <f>AM56*'KiGa - PS'!L57</f>
        <v>4878.3147640671596</v>
      </c>
      <c r="AO56" s="226">
        <f t="shared" si="65"/>
        <v>4.196076571550798E-3</v>
      </c>
      <c r="AP56" s="223">
        <f t="shared" si="66"/>
        <v>886.96632073948354</v>
      </c>
      <c r="AQ56" s="224">
        <f t="shared" si="67"/>
        <v>40.994241714850084</v>
      </c>
      <c r="AR56" s="223">
        <f>Artengliederung!X56*'KiGa - PS'!L57</f>
        <v>9336.6355929397232</v>
      </c>
      <c r="AS56" s="226">
        <f t="shared" si="68"/>
        <v>8.0308958653538647E-3</v>
      </c>
      <c r="AT56" s="223">
        <f t="shared" si="69"/>
        <v>1697.5701078072225</v>
      </c>
      <c r="AU56" s="223">
        <f t="shared" si="70"/>
        <v>78.459122629745579</v>
      </c>
      <c r="AV56" s="227">
        <f t="shared" si="71"/>
        <v>7.4456405208428111E-2</v>
      </c>
    </row>
    <row r="57" spans="1:48" x14ac:dyDescent="0.25">
      <c r="A57" s="365" t="s">
        <v>137</v>
      </c>
      <c r="B57" s="365" t="s">
        <v>34</v>
      </c>
      <c r="C57" s="328">
        <v>3</v>
      </c>
      <c r="D57" s="328">
        <f>Kennzahlen!H57</f>
        <v>59</v>
      </c>
      <c r="E57" s="223">
        <f>'KiGa - PS'!F58+'KiGa - PS'!L58*Funktional!H57</f>
        <v>627558.97510670172</v>
      </c>
      <c r="F57" s="223">
        <f t="shared" si="72"/>
        <v>209186.32503556725</v>
      </c>
      <c r="G57" s="224">
        <f t="shared" ref="G57:G64" si="74">E57/D57</f>
        <v>10636.592798418673</v>
      </c>
      <c r="H57" s="223">
        <f>I57-'KiGa - PS'!H58</f>
        <v>165217.00000000012</v>
      </c>
      <c r="I57" s="223">
        <f t="shared" ref="I57:I71" si="75">J57-K57-L57-M57</f>
        <v>720855.3</v>
      </c>
      <c r="J57" s="365">
        <v>739092.65</v>
      </c>
      <c r="K57" s="365">
        <v>4428</v>
      </c>
      <c r="L57" s="365">
        <v>0</v>
      </c>
      <c r="M57" s="365">
        <v>13809.35</v>
      </c>
      <c r="N57" s="365"/>
      <c r="O57" s="365"/>
      <c r="P57" s="365">
        <v>562233.35</v>
      </c>
      <c r="Q57" s="27">
        <f t="shared" ref="Q57:Q72" si="76">P57-M57</f>
        <v>548424</v>
      </c>
      <c r="R57" s="223">
        <f>(Q57-'KiGa - PS'!H58)*'KiGa - PS'!L58+'KiGa - PS'!F58</f>
        <v>477444.50705143978</v>
      </c>
      <c r="S57" s="226">
        <f t="shared" ref="S57:S64" si="77">R57/$E57</f>
        <v>0.76079623746957248</v>
      </c>
      <c r="T57" s="223">
        <f t="shared" ref="T57:T64" si="78">R57/C57</f>
        <v>159148.1690171466</v>
      </c>
      <c r="U57" s="224">
        <f t="shared" ref="U57:U64" si="79">R57/D57</f>
        <v>8092.2797805328773</v>
      </c>
      <c r="V57" s="365">
        <v>31431.55</v>
      </c>
      <c r="W57" s="223">
        <f>V57*'KiGa - PS'!L58</f>
        <v>27363.537875097885</v>
      </c>
      <c r="X57" s="226">
        <f t="shared" ref="X57:X64" si="80">W57/$E57</f>
        <v>4.3603133666354398E-2</v>
      </c>
      <c r="Y57" s="223">
        <f t="shared" ref="Y57:Y64" si="81">W57/C57</f>
        <v>9121.1792916992945</v>
      </c>
      <c r="Z57" s="224">
        <f t="shared" ref="Z57:Z64" si="82">W57/D57</f>
        <v>463.78877754403197</v>
      </c>
      <c r="AA57" s="365">
        <v>69166.600000000006</v>
      </c>
      <c r="AB57" s="365">
        <v>29657.5</v>
      </c>
      <c r="AC57" s="225">
        <f>Artengliederung!AE57</f>
        <v>37898</v>
      </c>
      <c r="AD57" s="223">
        <f>AC57*'KiGa - PS'!L58</f>
        <v>32993.070923656633</v>
      </c>
      <c r="AE57" s="226">
        <f t="shared" ref="AE57:AE64" si="83">AD57/$E57</f>
        <v>5.2573657986561238E-2</v>
      </c>
      <c r="AF57" s="223">
        <f t="shared" ref="AF57:AF64" si="84">AD57/C57</f>
        <v>10997.690307885545</v>
      </c>
      <c r="AG57" s="224">
        <f t="shared" ref="AG57:AG64" si="85">AD57/D57</f>
        <v>559.20459192638361</v>
      </c>
      <c r="AH57" s="225">
        <f t="shared" si="73"/>
        <v>39509.100000000006</v>
      </c>
      <c r="AI57" s="223">
        <f>AH57*'KiGa - PS'!L58</f>
        <v>34395.655138261718</v>
      </c>
      <c r="AJ57" s="226">
        <f t="shared" ref="AJ57:AJ64" si="86">AI57/$E57</f>
        <v>5.4808641900808669E-2</v>
      </c>
      <c r="AK57" s="223">
        <f t="shared" ref="AK57:AK64" si="87">AI57/C57</f>
        <v>11465.218379420572</v>
      </c>
      <c r="AL57" s="224">
        <f t="shared" ref="AL57:AL64" si="88">AI57/D57</f>
        <v>582.97720573324943</v>
      </c>
      <c r="AM57" s="365">
        <v>5895.85</v>
      </c>
      <c r="AN57" s="223">
        <f>AM57*'KiGa - PS'!L58</f>
        <v>5132.782658853791</v>
      </c>
      <c r="AO57" s="226">
        <f t="shared" ref="AO57:AO64" si="89">AN57/$E57</f>
        <v>8.1789646271588756E-3</v>
      </c>
      <c r="AP57" s="223">
        <f t="shared" ref="AP57:AP64" si="90">AN57/C57</f>
        <v>1710.9275529512636</v>
      </c>
      <c r="AQ57" s="224">
        <f t="shared" ref="AQ57:AQ64" si="91">AN57/$D57</f>
        <v>86.996316251759168</v>
      </c>
      <c r="AR57" s="223">
        <f>Artengliederung!X57*'KiGa - PS'!L58</f>
        <v>16378.39836424163</v>
      </c>
      <c r="AS57" s="226">
        <f t="shared" ref="AS57:AS64" si="92">AR57/E57</f>
        <v>2.6098580394706118E-2</v>
      </c>
      <c r="AT57" s="223">
        <f t="shared" ref="AT57:AT64" si="93">AR57/C57</f>
        <v>5459.4661214138769</v>
      </c>
      <c r="AU57" s="223">
        <f t="shared" ref="AU57:AU64" si="94">AR57/D57</f>
        <v>277.59997227528186</v>
      </c>
      <c r="AV57" s="227">
        <f t="shared" ref="AV57:AV64" si="95">1-S57-X57-AJ57-AE57-AO57-AS57</f>
        <v>5.3940783954838208E-2</v>
      </c>
    </row>
    <row r="58" spans="1:48" x14ac:dyDescent="0.25">
      <c r="A58" s="365" t="s">
        <v>138</v>
      </c>
      <c r="B58" s="365" t="s">
        <v>34</v>
      </c>
      <c r="C58" s="328">
        <v>5.5</v>
      </c>
      <c r="D58" s="328">
        <f>Kennzahlen!H58</f>
        <v>120</v>
      </c>
      <c r="E58" s="223">
        <f>'KiGa - PS'!F59+'KiGa - PS'!L59*Funktional!H58</f>
        <v>1676237.2097026203</v>
      </c>
      <c r="F58" s="223">
        <f t="shared" ref="F58:F64" si="96">E58/C58</f>
        <v>304770.40176411276</v>
      </c>
      <c r="G58" s="224">
        <f t="shared" si="74"/>
        <v>13968.643414188502</v>
      </c>
      <c r="H58" s="223">
        <f>I58-'KiGa - PS'!H59</f>
        <v>945113.35000000009</v>
      </c>
      <c r="I58" s="223">
        <f t="shared" si="75"/>
        <v>1900950</v>
      </c>
      <c r="J58" s="365">
        <v>1956680.3</v>
      </c>
      <c r="K58" s="365">
        <v>22929.3</v>
      </c>
      <c r="L58" s="365">
        <v>0</v>
      </c>
      <c r="M58" s="365">
        <v>32801</v>
      </c>
      <c r="N58" s="365"/>
      <c r="O58" s="365"/>
      <c r="P58" s="365">
        <v>958091.8</v>
      </c>
      <c r="Q58" s="27">
        <f t="shared" si="76"/>
        <v>925290.8</v>
      </c>
      <c r="R58" s="223">
        <f>(Q58-'KiGa - PS'!H59)*'KiGa - PS'!L59+'KiGa - PS'!F59</f>
        <v>815911.44888371881</v>
      </c>
      <c r="S58" s="226">
        <f t="shared" si="77"/>
        <v>0.48675178200373498</v>
      </c>
      <c r="T58" s="223">
        <f t="shared" si="78"/>
        <v>148347.53616067616</v>
      </c>
      <c r="U58" s="224">
        <f t="shared" si="79"/>
        <v>6799.2620740309903</v>
      </c>
      <c r="V58" s="365">
        <v>62686.400000000001</v>
      </c>
      <c r="W58" s="223">
        <f>V58*'KiGa - PS'!L59</f>
        <v>55276.191494937972</v>
      </c>
      <c r="X58" s="226">
        <f t="shared" si="80"/>
        <v>3.2976353928299007E-2</v>
      </c>
      <c r="Y58" s="223">
        <f t="shared" si="81"/>
        <v>10050.216635443268</v>
      </c>
      <c r="Z58" s="224">
        <f t="shared" si="82"/>
        <v>460.63492912448311</v>
      </c>
      <c r="AA58" s="365">
        <v>226855.4</v>
      </c>
      <c r="AB58" s="365">
        <v>44114.75</v>
      </c>
      <c r="AC58" s="225">
        <f>Artengliederung!AE58</f>
        <v>172037.2</v>
      </c>
      <c r="AD58" s="223">
        <f>AC58*'KiGa - PS'!L59</f>
        <v>151700.54766987645</v>
      </c>
      <c r="AE58" s="226">
        <f t="shared" si="83"/>
        <v>9.050064441463479E-2</v>
      </c>
      <c r="AF58" s="223">
        <f t="shared" si="84"/>
        <v>27581.917758159354</v>
      </c>
      <c r="AG58" s="224">
        <f t="shared" si="85"/>
        <v>1264.1712305823037</v>
      </c>
      <c r="AH58" s="225">
        <f t="shared" si="73"/>
        <v>182740.65</v>
      </c>
      <c r="AI58" s="223">
        <f>AH58*'KiGa - PS'!L59</f>
        <v>161138.73445132334</v>
      </c>
      <c r="AJ58" s="226">
        <f t="shared" si="86"/>
        <v>9.6131223861753323E-2</v>
      </c>
      <c r="AK58" s="223">
        <f t="shared" si="87"/>
        <v>29297.951718422424</v>
      </c>
      <c r="AL58" s="224">
        <f t="shared" si="88"/>
        <v>1342.8227870943613</v>
      </c>
      <c r="AM58" s="365">
        <v>1857.45</v>
      </c>
      <c r="AN58" s="223">
        <f>AM58*'KiGa - PS'!L59</f>
        <v>1637.8793788169767</v>
      </c>
      <c r="AO58" s="226">
        <f t="shared" si="89"/>
        <v>9.7711670480549184E-4</v>
      </c>
      <c r="AP58" s="223">
        <f t="shared" si="90"/>
        <v>297.79625069399577</v>
      </c>
      <c r="AQ58" s="224">
        <f t="shared" si="91"/>
        <v>13.648994823474805</v>
      </c>
      <c r="AR58" s="223">
        <f>Artengliederung!X58*'KiGa - PS'!L59</f>
        <v>178086.37046258114</v>
      </c>
      <c r="AS58" s="226">
        <f t="shared" si="92"/>
        <v>0.10624174754727898</v>
      </c>
      <c r="AT58" s="223">
        <f t="shared" si="93"/>
        <v>32379.340084105661</v>
      </c>
      <c r="AU58" s="223">
        <f t="shared" si="94"/>
        <v>1484.0530871881761</v>
      </c>
      <c r="AV58" s="227">
        <f t="shared" si="95"/>
        <v>0.18642113153949336</v>
      </c>
    </row>
    <row r="59" spans="1:48" x14ac:dyDescent="0.25">
      <c r="A59" s="365" t="s">
        <v>139</v>
      </c>
      <c r="B59" s="365" t="s">
        <v>34</v>
      </c>
      <c r="C59" s="328">
        <v>3</v>
      </c>
      <c r="D59" s="328">
        <f>Kennzahlen!H59</f>
        <v>54</v>
      </c>
      <c r="E59" s="223">
        <f>'KiGa - PS'!F60+'KiGa - PS'!L60*Funktional!H59</f>
        <v>629273.29256691504</v>
      </c>
      <c r="F59" s="223">
        <f t="shared" si="96"/>
        <v>209757.76418897169</v>
      </c>
      <c r="G59" s="224">
        <f t="shared" si="74"/>
        <v>11653.209121609538</v>
      </c>
      <c r="H59" s="223">
        <f>I59-'KiGa - PS'!H60</f>
        <v>289195.50000000006</v>
      </c>
      <c r="I59" s="223">
        <f t="shared" si="75"/>
        <v>748841.8</v>
      </c>
      <c r="J59" s="365">
        <v>759737.8</v>
      </c>
      <c r="K59" s="365">
        <v>0</v>
      </c>
      <c r="L59" s="365">
        <v>0</v>
      </c>
      <c r="M59" s="365">
        <v>10896</v>
      </c>
      <c r="N59" s="365"/>
      <c r="O59" s="365"/>
      <c r="P59" s="365">
        <v>521088.75</v>
      </c>
      <c r="Q59" s="27">
        <f t="shared" si="76"/>
        <v>510192.75</v>
      </c>
      <c r="R59" s="223">
        <f>(Q59-'KiGa - PS'!H60)*'KiGa - PS'!L60+'KiGa - PS'!F60</f>
        <v>428729.63506613672</v>
      </c>
      <c r="S59" s="226">
        <f t="shared" si="77"/>
        <v>0.68130912296829582</v>
      </c>
      <c r="T59" s="223">
        <f t="shared" si="78"/>
        <v>142909.8783553789</v>
      </c>
      <c r="U59" s="224">
        <f t="shared" si="79"/>
        <v>7939.4376864099395</v>
      </c>
      <c r="V59" s="365">
        <v>26768.2</v>
      </c>
      <c r="W59" s="223">
        <f>V59*'KiGa - PS'!L60</f>
        <v>22494.088003754194</v>
      </c>
      <c r="X59" s="226">
        <f t="shared" si="80"/>
        <v>3.5746134897918364E-2</v>
      </c>
      <c r="Y59" s="223">
        <f t="shared" si="81"/>
        <v>7498.0293345847313</v>
      </c>
      <c r="Z59" s="224">
        <f t="shared" si="82"/>
        <v>416.55718525470729</v>
      </c>
      <c r="AA59" s="365">
        <v>72528.75</v>
      </c>
      <c r="AB59" s="365">
        <v>20297.5</v>
      </c>
      <c r="AC59" s="225">
        <f>Artengliederung!AE59</f>
        <v>73338</v>
      </c>
      <c r="AD59" s="223">
        <f>AC59*'KiGa - PS'!L60</f>
        <v>61628.029752442264</v>
      </c>
      <c r="AE59" s="226">
        <f t="shared" si="83"/>
        <v>9.7935238123726537E-2</v>
      </c>
      <c r="AF59" s="223">
        <f t="shared" si="84"/>
        <v>20542.676584147423</v>
      </c>
      <c r="AG59" s="224">
        <f t="shared" si="85"/>
        <v>1141.2598102304123</v>
      </c>
      <c r="AH59" s="225">
        <f t="shared" si="73"/>
        <v>52231.25</v>
      </c>
      <c r="AI59" s="223">
        <f>AH59*'KiGa - PS'!L60</f>
        <v>43891.420941493496</v>
      </c>
      <c r="AJ59" s="226">
        <f t="shared" si="86"/>
        <v>6.9749378306606283E-2</v>
      </c>
      <c r="AK59" s="223">
        <f t="shared" si="87"/>
        <v>14630.473647164499</v>
      </c>
      <c r="AL59" s="224">
        <f t="shared" si="88"/>
        <v>812.80409150913886</v>
      </c>
      <c r="AM59" s="365">
        <v>1179.4000000000001</v>
      </c>
      <c r="AN59" s="223">
        <f>AM59*'KiGa - PS'!L60</f>
        <v>991.08372589967564</v>
      </c>
      <c r="AO59" s="226">
        <f t="shared" si="89"/>
        <v>1.5749655000562204E-3</v>
      </c>
      <c r="AP59" s="223">
        <f t="shared" si="90"/>
        <v>330.36124196655857</v>
      </c>
      <c r="AQ59" s="224">
        <f t="shared" si="91"/>
        <v>18.353402331475476</v>
      </c>
      <c r="AR59" s="223">
        <f>Artengliederung!X59*'KiGa - PS'!L60</f>
        <v>37469.334530920845</v>
      </c>
      <c r="AS59" s="226">
        <f t="shared" si="92"/>
        <v>5.9543818200319489E-2</v>
      </c>
      <c r="AT59" s="223">
        <f t="shared" si="93"/>
        <v>12489.778176973616</v>
      </c>
      <c r="AU59" s="223">
        <f t="shared" si="94"/>
        <v>693.87656538742306</v>
      </c>
      <c r="AV59" s="227">
        <f t="shared" si="95"/>
        <v>5.4141342003077332E-2</v>
      </c>
    </row>
    <row r="60" spans="1:48" x14ac:dyDescent="0.25">
      <c r="A60" s="365" t="s">
        <v>140</v>
      </c>
      <c r="B60" s="365" t="s">
        <v>34</v>
      </c>
      <c r="C60" s="328">
        <v>6</v>
      </c>
      <c r="D60" s="328">
        <f>Kennzahlen!H60</f>
        <v>126</v>
      </c>
      <c r="E60" s="223">
        <f>'KiGa - PS'!F61+'KiGa - PS'!L61*Funktional!H60</f>
        <v>1245912.6853076709</v>
      </c>
      <c r="F60" s="223">
        <f t="shared" si="96"/>
        <v>207652.11421794514</v>
      </c>
      <c r="G60" s="224">
        <f t="shared" si="74"/>
        <v>9888.1959151402443</v>
      </c>
      <c r="H60" s="223">
        <f>I60-'KiGa - PS'!H61</f>
        <v>460885.50000000012</v>
      </c>
      <c r="I60" s="223">
        <f t="shared" si="75"/>
        <v>1445950.55</v>
      </c>
      <c r="J60" s="365">
        <v>1551408.75</v>
      </c>
      <c r="K60" s="365">
        <v>44806.5</v>
      </c>
      <c r="L60" s="365">
        <v>0</v>
      </c>
      <c r="M60" s="365">
        <v>60651.7</v>
      </c>
      <c r="N60" s="365"/>
      <c r="O60" s="365"/>
      <c r="P60" s="365">
        <v>1008379.75</v>
      </c>
      <c r="Q60" s="27">
        <f t="shared" si="76"/>
        <v>947728.05</v>
      </c>
      <c r="R60" s="223">
        <f>(Q60-'KiGa - PS'!H61)*'KiGa - PS'!L61+'KiGa - PS'!F61</f>
        <v>816616.03138288693</v>
      </c>
      <c r="S60" s="226">
        <f t="shared" si="77"/>
        <v>0.65543600367246313</v>
      </c>
      <c r="T60" s="223">
        <f t="shared" si="78"/>
        <v>136102.67189714781</v>
      </c>
      <c r="U60" s="224">
        <f t="shared" si="79"/>
        <v>6481.0796141498959</v>
      </c>
      <c r="V60" s="365">
        <v>51346.95</v>
      </c>
      <c r="W60" s="223">
        <f>V60*'KiGa - PS'!L61</f>
        <v>44243.433052989749</v>
      </c>
      <c r="X60" s="226">
        <f t="shared" si="80"/>
        <v>3.5510861695788973E-2</v>
      </c>
      <c r="Y60" s="223">
        <f t="shared" si="81"/>
        <v>7373.9055088316245</v>
      </c>
      <c r="Z60" s="224">
        <f t="shared" si="82"/>
        <v>351.13835756341069</v>
      </c>
      <c r="AA60" s="365">
        <v>158908.70000000001</v>
      </c>
      <c r="AB60" s="365">
        <v>29927.8</v>
      </c>
      <c r="AC60" s="225">
        <f>Artengliederung!AE60</f>
        <v>117933</v>
      </c>
      <c r="AD60" s="223">
        <f>AC60*'KiGa - PS'!L61</f>
        <v>101617.73562476915</v>
      </c>
      <c r="AE60" s="226">
        <f t="shared" si="83"/>
        <v>8.1560880487925397E-2</v>
      </c>
      <c r="AF60" s="223">
        <f t="shared" si="84"/>
        <v>16936.289270794859</v>
      </c>
      <c r="AG60" s="224">
        <f t="shared" si="85"/>
        <v>806.48996527594568</v>
      </c>
      <c r="AH60" s="225">
        <f t="shared" si="73"/>
        <v>128980.90000000001</v>
      </c>
      <c r="AI60" s="223">
        <f>AH60*'KiGa - PS'!L61</f>
        <v>111137.23043460937</v>
      </c>
      <c r="AJ60" s="226">
        <f t="shared" si="86"/>
        <v>8.9201459897781429E-2</v>
      </c>
      <c r="AK60" s="223">
        <f t="shared" si="87"/>
        <v>18522.871739101563</v>
      </c>
      <c r="AL60" s="224">
        <f t="shared" si="88"/>
        <v>882.04151138578868</v>
      </c>
      <c r="AM60" s="365">
        <v>7738.55</v>
      </c>
      <c r="AN60" s="223">
        <f>AM60*'KiGa - PS'!L61</f>
        <v>6667.9718825015671</v>
      </c>
      <c r="AO60" s="226">
        <f t="shared" si="89"/>
        <v>5.3518773515456664E-3</v>
      </c>
      <c r="AP60" s="223">
        <f t="shared" si="90"/>
        <v>1111.3286470835944</v>
      </c>
      <c r="AQ60" s="224">
        <f t="shared" si="91"/>
        <v>52.920411765885454</v>
      </c>
      <c r="AR60" s="223">
        <f>Artengliederung!X60*'KiGa - PS'!L61</f>
        <v>61942.3314061848</v>
      </c>
      <c r="AS60" s="226">
        <f t="shared" si="92"/>
        <v>4.9716430482356397E-2</v>
      </c>
      <c r="AT60" s="223">
        <f t="shared" si="93"/>
        <v>10323.7219010308</v>
      </c>
      <c r="AU60" s="223">
        <f t="shared" si="94"/>
        <v>491.60580481099049</v>
      </c>
      <c r="AV60" s="227">
        <f t="shared" si="95"/>
        <v>8.3222486412138988E-2</v>
      </c>
    </row>
    <row r="61" spans="1:48" x14ac:dyDescent="0.25">
      <c r="A61" s="365" t="s">
        <v>141</v>
      </c>
      <c r="B61" s="365" t="s">
        <v>34</v>
      </c>
      <c r="C61" s="328">
        <v>2</v>
      </c>
      <c r="D61" s="328">
        <f>Kennzahlen!H61</f>
        <v>47</v>
      </c>
      <c r="E61" s="223">
        <f>'KiGa - PS'!F62+'KiGa - PS'!L62*Funktional!H61</f>
        <v>425546.4247773661</v>
      </c>
      <c r="F61" s="223">
        <f t="shared" si="96"/>
        <v>212773.21238868305</v>
      </c>
      <c r="G61" s="224">
        <f t="shared" si="74"/>
        <v>9054.1792505822577</v>
      </c>
      <c r="H61" s="223">
        <f>I61-'KiGa - PS'!H62</f>
        <v>143942.44999999995</v>
      </c>
      <c r="I61" s="223">
        <f t="shared" si="75"/>
        <v>542376.94999999995</v>
      </c>
      <c r="J61" s="365">
        <v>590524.44999999995</v>
      </c>
      <c r="K61" s="365">
        <v>28299.4</v>
      </c>
      <c r="L61" s="365">
        <v>0</v>
      </c>
      <c r="M61" s="365">
        <v>19848.099999999999</v>
      </c>
      <c r="N61" s="365"/>
      <c r="O61" s="365"/>
      <c r="P61" s="365">
        <v>400282.95</v>
      </c>
      <c r="Q61" s="27">
        <f t="shared" si="76"/>
        <v>380434.85000000003</v>
      </c>
      <c r="R61" s="223">
        <f>(Q61-'KiGa - PS'!H62)*'KiGa - PS'!L62+'KiGa - PS'!F62</f>
        <v>298487.40857850539</v>
      </c>
      <c r="S61" s="226">
        <f t="shared" si="77"/>
        <v>0.70142149293033207</v>
      </c>
      <c r="T61" s="223">
        <f t="shared" si="78"/>
        <v>149243.7042892527</v>
      </c>
      <c r="U61" s="224">
        <f t="shared" si="79"/>
        <v>6350.7959272022426</v>
      </c>
      <c r="V61" s="365">
        <v>26348.7</v>
      </c>
      <c r="W61" s="223">
        <f>V61*'KiGa - PS'!L62</f>
        <v>20673.067103112306</v>
      </c>
      <c r="X61" s="226">
        <f t="shared" si="80"/>
        <v>4.8580051198709687E-2</v>
      </c>
      <c r="Y61" s="223">
        <f t="shared" si="81"/>
        <v>10336.533551556153</v>
      </c>
      <c r="Z61" s="224">
        <f t="shared" si="82"/>
        <v>439.85249155558097</v>
      </c>
      <c r="AA61" s="365">
        <v>66000.100000000006</v>
      </c>
      <c r="AB61" s="365">
        <v>25369</v>
      </c>
      <c r="AC61" s="225">
        <f>Artengliederung!AE61</f>
        <v>30530</v>
      </c>
      <c r="AD61" s="223">
        <f>AC61*'KiGa - PS'!L62</f>
        <v>23953.695577315717</v>
      </c>
      <c r="AE61" s="226">
        <f t="shared" si="83"/>
        <v>5.6289265242558707E-2</v>
      </c>
      <c r="AF61" s="223">
        <f t="shared" si="84"/>
        <v>11976.847788657858</v>
      </c>
      <c r="AG61" s="224">
        <f t="shared" si="85"/>
        <v>509.65309738969609</v>
      </c>
      <c r="AH61" s="225">
        <f t="shared" si="73"/>
        <v>40631.100000000006</v>
      </c>
      <c r="AI61" s="223">
        <f>AH61*'KiGa - PS'!L62</f>
        <v>31878.971515606707</v>
      </c>
      <c r="AJ61" s="226">
        <f t="shared" si="86"/>
        <v>7.4913028660233458E-2</v>
      </c>
      <c r="AK61" s="223">
        <f t="shared" si="87"/>
        <v>15939.485757803353</v>
      </c>
      <c r="AL61" s="224">
        <f t="shared" si="88"/>
        <v>678.2759896937597</v>
      </c>
      <c r="AM61" s="365">
        <v>1898.95</v>
      </c>
      <c r="AN61" s="223">
        <f>AM61*'KiGa - PS'!L62</f>
        <v>1489.9073113836778</v>
      </c>
      <c r="AO61" s="226">
        <f t="shared" si="89"/>
        <v>3.5011627983084462E-3</v>
      </c>
      <c r="AP61" s="223">
        <f t="shared" si="90"/>
        <v>744.95365569183889</v>
      </c>
      <c r="AQ61" s="224">
        <f t="shared" si="91"/>
        <v>31.700155561354848</v>
      </c>
      <c r="AR61" s="223">
        <f>Artengliederung!X61*'KiGa - PS'!L62</f>
        <v>19147.813771887224</v>
      </c>
      <c r="AS61" s="226">
        <f t="shared" si="92"/>
        <v>4.4995828085983382E-2</v>
      </c>
      <c r="AT61" s="223">
        <f t="shared" si="93"/>
        <v>9573.906885943612</v>
      </c>
      <c r="AU61" s="223">
        <f t="shared" si="94"/>
        <v>407.40029301887711</v>
      </c>
      <c r="AV61" s="227">
        <f t="shared" si="95"/>
        <v>7.0299171083874262E-2</v>
      </c>
    </row>
    <row r="62" spans="1:48" x14ac:dyDescent="0.25">
      <c r="A62" s="365" t="s">
        <v>142</v>
      </c>
      <c r="B62" s="365" t="s">
        <v>34</v>
      </c>
      <c r="C62" s="328">
        <v>2</v>
      </c>
      <c r="D62" s="328">
        <f>Kennzahlen!H62</f>
        <v>50</v>
      </c>
      <c r="E62" s="223">
        <f>'KiGa - PS'!F63+'KiGa - PS'!L63*Funktional!H62</f>
        <v>557427.49087671633</v>
      </c>
      <c r="F62" s="223">
        <f t="shared" si="96"/>
        <v>278713.74543835816</v>
      </c>
      <c r="G62" s="224">
        <f t="shared" si="74"/>
        <v>11148.549817534327</v>
      </c>
      <c r="H62" s="223">
        <f>I62-'KiGa - PS'!H63</f>
        <v>178113.10000000009</v>
      </c>
      <c r="I62" s="223">
        <f t="shared" si="75"/>
        <v>652558.50000000012</v>
      </c>
      <c r="J62" s="365">
        <v>668724.80000000005</v>
      </c>
      <c r="K62" s="365">
        <v>6070.6</v>
      </c>
      <c r="L62" s="365">
        <v>0</v>
      </c>
      <c r="M62" s="365">
        <v>10095.700000000001</v>
      </c>
      <c r="N62" s="365"/>
      <c r="O62" s="365"/>
      <c r="P62" s="365">
        <v>487581.4</v>
      </c>
      <c r="Q62" s="27">
        <f t="shared" si="76"/>
        <v>477485.7</v>
      </c>
      <c r="R62" s="223">
        <f>(Q62-'KiGa - PS'!H63)*'KiGa - PS'!L63+'KiGa - PS'!F63</f>
        <v>407877.08026255498</v>
      </c>
      <c r="S62" s="226">
        <f t="shared" si="77"/>
        <v>0.73171324869724319</v>
      </c>
      <c r="T62" s="223">
        <f t="shared" si="78"/>
        <v>203938.54013127749</v>
      </c>
      <c r="U62" s="224">
        <f t="shared" si="79"/>
        <v>8157.5416052511</v>
      </c>
      <c r="V62" s="365">
        <v>34869.949999999997</v>
      </c>
      <c r="W62" s="223">
        <f>V62*'KiGa - PS'!L63</f>
        <v>29786.553597105161</v>
      </c>
      <c r="X62" s="226">
        <f t="shared" si="80"/>
        <v>5.3435745607481919E-2</v>
      </c>
      <c r="Y62" s="223">
        <f t="shared" si="81"/>
        <v>14893.276798552581</v>
      </c>
      <c r="Z62" s="224">
        <f t="shared" si="82"/>
        <v>595.7310719421032</v>
      </c>
      <c r="AA62" s="365">
        <v>97556.6</v>
      </c>
      <c r="AB62" s="365">
        <v>34643</v>
      </c>
      <c r="AC62" s="225">
        <f>Artengliederung!AE62</f>
        <v>17630</v>
      </c>
      <c r="AD62" s="223">
        <f>AC62*'KiGa - PS'!L63</f>
        <v>15059.87074592777</v>
      </c>
      <c r="AE62" s="226">
        <f t="shared" si="83"/>
        <v>2.7016734898097253E-2</v>
      </c>
      <c r="AF62" s="223">
        <f t="shared" si="84"/>
        <v>7529.9353729638851</v>
      </c>
      <c r="AG62" s="224">
        <f t="shared" si="85"/>
        <v>301.19741491855541</v>
      </c>
      <c r="AH62" s="225">
        <f t="shared" si="73"/>
        <v>62913.600000000006</v>
      </c>
      <c r="AI62" s="223">
        <f>AH62*'KiGa - PS'!L63</f>
        <v>53741.955993250223</v>
      </c>
      <c r="AJ62" s="226">
        <f t="shared" si="86"/>
        <v>9.6410666629888342E-2</v>
      </c>
      <c r="AK62" s="223">
        <f t="shared" si="87"/>
        <v>26870.977996625112</v>
      </c>
      <c r="AL62" s="224">
        <f t="shared" si="88"/>
        <v>1074.8391198650045</v>
      </c>
      <c r="AM62" s="365">
        <v>2270.1</v>
      </c>
      <c r="AN62" s="223">
        <f>AM62*'KiGa - PS'!L63</f>
        <v>1939.1612354129682</v>
      </c>
      <c r="AO62" s="226">
        <f t="shared" si="89"/>
        <v>3.4787685701741671E-3</v>
      </c>
      <c r="AP62" s="223">
        <f t="shared" si="90"/>
        <v>969.58061770648408</v>
      </c>
      <c r="AQ62" s="224">
        <f t="shared" si="91"/>
        <v>38.783224708259361</v>
      </c>
      <c r="AR62" s="223">
        <f>Artengliederung!X62*'KiGa - PS'!L63</f>
        <v>17543.510802296743</v>
      </c>
      <c r="AS62" s="226">
        <f t="shared" si="92"/>
        <v>3.1472274133276933E-2</v>
      </c>
      <c r="AT62" s="223">
        <f t="shared" si="93"/>
        <v>8771.7554011483717</v>
      </c>
      <c r="AU62" s="223">
        <f t="shared" si="94"/>
        <v>350.87021604593485</v>
      </c>
      <c r="AV62" s="227">
        <f t="shared" si="95"/>
        <v>5.6472561463838188E-2</v>
      </c>
    </row>
    <row r="63" spans="1:48" x14ac:dyDescent="0.25">
      <c r="A63" s="365" t="s">
        <v>143</v>
      </c>
      <c r="B63" s="365" t="s">
        <v>34</v>
      </c>
      <c r="C63" s="328">
        <v>1</v>
      </c>
      <c r="D63" s="328">
        <f>Kennzahlen!H63</f>
        <v>17</v>
      </c>
      <c r="E63" s="223">
        <f>'KiGa - PS'!F64+'KiGa - PS'!L64*Funktional!H63</f>
        <v>416393.80439583823</v>
      </c>
      <c r="F63" s="223">
        <f t="shared" si="96"/>
        <v>416393.80439583823</v>
      </c>
      <c r="G63" s="224">
        <f t="shared" si="74"/>
        <v>24493.753199755189</v>
      </c>
      <c r="H63" s="223">
        <f>I63-'KiGa - PS'!H64</f>
        <v>143997.39999999991</v>
      </c>
      <c r="I63" s="223">
        <f t="shared" si="75"/>
        <v>534937.04999999993</v>
      </c>
      <c r="J63" s="365">
        <v>571332.65</v>
      </c>
      <c r="K63" s="365">
        <v>3180.3</v>
      </c>
      <c r="L63" s="365">
        <v>0</v>
      </c>
      <c r="M63" s="365">
        <v>33215.300000000003</v>
      </c>
      <c r="N63" s="365"/>
      <c r="O63" s="365"/>
      <c r="P63" s="365">
        <v>440007.55</v>
      </c>
      <c r="Q63" s="27">
        <f t="shared" si="76"/>
        <v>406792.25</v>
      </c>
      <c r="R63" s="223">
        <f>(Q63-'KiGa - PS'!H64)*'KiGa - PS'!L64+'KiGa - PS'!F64</f>
        <v>316646.17841714824</v>
      </c>
      <c r="S63" s="226">
        <f t="shared" si="77"/>
        <v>0.76044882290355487</v>
      </c>
      <c r="T63" s="223">
        <f t="shared" si="78"/>
        <v>316646.17841714824</v>
      </c>
      <c r="U63" s="224">
        <f t="shared" si="79"/>
        <v>18626.245789244014</v>
      </c>
      <c r="V63" s="365">
        <v>37918.25</v>
      </c>
      <c r="W63" s="223">
        <f>V63*'KiGa - PS'!L64</f>
        <v>29515.481071151262</v>
      </c>
      <c r="X63" s="226">
        <f t="shared" si="80"/>
        <v>7.0883574057919535E-2</v>
      </c>
      <c r="Y63" s="223">
        <f t="shared" si="81"/>
        <v>29515.481071151262</v>
      </c>
      <c r="Z63" s="224">
        <f t="shared" si="82"/>
        <v>1736.2047688912508</v>
      </c>
      <c r="AA63" s="365">
        <v>20823.599999999999</v>
      </c>
      <c r="AB63" s="365">
        <v>5040</v>
      </c>
      <c r="AC63" s="225">
        <f>Artengliederung!AE63</f>
        <v>5075.45</v>
      </c>
      <c r="AD63" s="223">
        <f>AC63*'KiGa - PS'!L64</f>
        <v>3950.7189388374904</v>
      </c>
      <c r="AE63" s="226">
        <f t="shared" si="83"/>
        <v>9.487938814482939E-3</v>
      </c>
      <c r="AF63" s="223">
        <f t="shared" si="84"/>
        <v>3950.7189388374904</v>
      </c>
      <c r="AG63" s="224">
        <f t="shared" si="85"/>
        <v>232.39523169632298</v>
      </c>
      <c r="AH63" s="225">
        <f t="shared" si="73"/>
        <v>15783.599999999999</v>
      </c>
      <c r="AI63" s="223">
        <f>AH63*'KiGa - PS'!L64</f>
        <v>12285.918971329716</v>
      </c>
      <c r="AJ63" s="226">
        <f t="shared" si="86"/>
        <v>2.9505527799953288E-2</v>
      </c>
      <c r="AK63" s="223">
        <f t="shared" si="87"/>
        <v>12285.918971329716</v>
      </c>
      <c r="AL63" s="224">
        <f t="shared" si="88"/>
        <v>722.70111596057154</v>
      </c>
      <c r="AM63" s="365">
        <v>1656.2</v>
      </c>
      <c r="AN63" s="223">
        <f>AM63*'KiGa - PS'!L64</f>
        <v>1289.1823791984261</v>
      </c>
      <c r="AO63" s="226">
        <f t="shared" si="89"/>
        <v>3.0960652286096098E-3</v>
      </c>
      <c r="AP63" s="223">
        <f t="shared" si="90"/>
        <v>1289.1823791984261</v>
      </c>
      <c r="AQ63" s="224">
        <f t="shared" si="91"/>
        <v>75.834257599907417</v>
      </c>
      <c r="AR63" s="223">
        <f>Artengliederung!X63*'KiGa - PS'!L64</f>
        <v>2499.5130647530891</v>
      </c>
      <c r="AS63" s="226">
        <f t="shared" si="92"/>
        <v>6.0027623811063392E-3</v>
      </c>
      <c r="AT63" s="223">
        <f t="shared" si="93"/>
        <v>2499.5130647530891</v>
      </c>
      <c r="AU63" s="223">
        <f t="shared" si="94"/>
        <v>147.03018027959348</v>
      </c>
      <c r="AV63" s="227">
        <f t="shared" si="95"/>
        <v>0.12057530881437345</v>
      </c>
    </row>
    <row r="64" spans="1:48" x14ac:dyDescent="0.25">
      <c r="A64" s="365" t="s">
        <v>144</v>
      </c>
      <c r="B64" s="365" t="s">
        <v>34</v>
      </c>
      <c r="C64" s="328">
        <v>2</v>
      </c>
      <c r="D64" s="328">
        <f>Kennzahlen!H64</f>
        <v>43</v>
      </c>
      <c r="E64" s="223">
        <f>'KiGa - PS'!F65+'KiGa - PS'!L65*Funktional!H64</f>
        <v>412405.38158640917</v>
      </c>
      <c r="F64" s="223">
        <f t="shared" si="96"/>
        <v>206202.69079320459</v>
      </c>
      <c r="G64" s="224">
        <f t="shared" si="74"/>
        <v>9590.8228275909114</v>
      </c>
      <c r="H64" s="223">
        <f>I64-'KiGa - PS'!H65</f>
        <v>213545.39999999997</v>
      </c>
      <c r="I64" s="223">
        <f t="shared" si="75"/>
        <v>572812.1</v>
      </c>
      <c r="J64" s="365">
        <v>623049.6</v>
      </c>
      <c r="K64" s="365">
        <v>1034.5</v>
      </c>
      <c r="L64" s="365">
        <v>0</v>
      </c>
      <c r="M64" s="365">
        <v>49203</v>
      </c>
      <c r="N64" s="365"/>
      <c r="O64" s="365"/>
      <c r="P64" s="365">
        <v>433380.25</v>
      </c>
      <c r="Q64" s="27">
        <f t="shared" si="76"/>
        <v>384177.25</v>
      </c>
      <c r="R64" s="223">
        <f>(Q64-'KiGa - PS'!H65)*'KiGa - PS'!L65+'KiGa - PS'!F65</f>
        <v>276594.65535568702</v>
      </c>
      <c r="S64" s="226">
        <f t="shared" si="77"/>
        <v>0.67068633850437176</v>
      </c>
      <c r="T64" s="223">
        <f t="shared" si="78"/>
        <v>138297.32767784351</v>
      </c>
      <c r="U64" s="224">
        <f t="shared" si="79"/>
        <v>6432.4338454810932</v>
      </c>
      <c r="V64" s="365">
        <v>35009.25</v>
      </c>
      <c r="W64" s="223">
        <f>V64*'KiGa - PS'!L65</f>
        <v>25205.478559730138</v>
      </c>
      <c r="X64" s="226">
        <f t="shared" si="80"/>
        <v>6.1118209618826143E-2</v>
      </c>
      <c r="Y64" s="223">
        <f t="shared" si="81"/>
        <v>12602.739279865069</v>
      </c>
      <c r="Z64" s="224">
        <f t="shared" si="82"/>
        <v>586.1739199937241</v>
      </c>
      <c r="AA64" s="365">
        <v>51666.1</v>
      </c>
      <c r="AB64" s="365">
        <v>0</v>
      </c>
      <c r="AC64" s="225">
        <f>Artengliederung!AE64</f>
        <v>24672.05</v>
      </c>
      <c r="AD64" s="223">
        <f>AC64*'KiGa - PS'!L65</f>
        <v>17763.043404231452</v>
      </c>
      <c r="AE64" s="226">
        <f t="shared" si="83"/>
        <v>4.307180312706383E-2</v>
      </c>
      <c r="AF64" s="223">
        <f t="shared" si="84"/>
        <v>8881.5217021157259</v>
      </c>
      <c r="AG64" s="224">
        <f t="shared" si="85"/>
        <v>413.09403265654538</v>
      </c>
      <c r="AH64" s="225">
        <f t="shared" si="73"/>
        <v>51666.1</v>
      </c>
      <c r="AI64" s="223">
        <f>AH64*'KiGa - PS'!L65</f>
        <v>37197.848449049132</v>
      </c>
      <c r="AJ64" s="226">
        <f t="shared" si="86"/>
        <v>9.0197291572576777E-2</v>
      </c>
      <c r="AK64" s="223">
        <f t="shared" si="87"/>
        <v>18598.924224524566</v>
      </c>
      <c r="AL64" s="224">
        <f t="shared" si="88"/>
        <v>865.06624300114265</v>
      </c>
      <c r="AM64" s="365">
        <v>3512.25</v>
      </c>
      <c r="AN64" s="223">
        <f>AM64*'KiGa - PS'!L65</f>
        <v>2528.7014737937025</v>
      </c>
      <c r="AO64" s="226">
        <f t="shared" si="89"/>
        <v>6.1315918431192364E-3</v>
      </c>
      <c r="AP64" s="223">
        <f t="shared" si="90"/>
        <v>1264.3507368968512</v>
      </c>
      <c r="AQ64" s="224">
        <f t="shared" si="91"/>
        <v>58.807011018458198</v>
      </c>
      <c r="AR64" s="223">
        <f>Artengliederung!X64*'KiGa - PS'!L65</f>
        <v>18701.23142914442</v>
      </c>
      <c r="AS64" s="226">
        <f t="shared" si="92"/>
        <v>4.5346720154829129E-2</v>
      </c>
      <c r="AT64" s="223">
        <f t="shared" si="93"/>
        <v>9350.61571457221</v>
      </c>
      <c r="AU64" s="223">
        <f t="shared" si="94"/>
        <v>434.91235881731211</v>
      </c>
      <c r="AV64" s="227">
        <f t="shared" si="95"/>
        <v>8.3448045179213143E-2</v>
      </c>
    </row>
    <row r="65" spans="1:48" x14ac:dyDescent="0.25">
      <c r="A65" s="365" t="s">
        <v>145</v>
      </c>
      <c r="B65" s="365" t="s">
        <v>34</v>
      </c>
      <c r="C65" s="328">
        <v>3</v>
      </c>
      <c r="D65" s="328">
        <f>Kennzahlen!H65</f>
        <v>70</v>
      </c>
      <c r="E65" s="223">
        <f>'KiGa - PS'!F66+'KiGa - PS'!L66*Funktional!H65</f>
        <v>985969.52253849991</v>
      </c>
      <c r="F65" s="223">
        <f t="shared" ref="F65:F72" si="97">E65/C65</f>
        <v>328656.50751283328</v>
      </c>
      <c r="G65" s="224">
        <f t="shared" ref="G65:G71" si="98">E65/D65</f>
        <v>14085.278893407141</v>
      </c>
      <c r="H65" s="223">
        <f>I65-'KiGa - PS'!H66</f>
        <v>564273.5</v>
      </c>
      <c r="I65" s="223">
        <f t="shared" si="75"/>
        <v>1143848.45</v>
      </c>
      <c r="J65" s="365">
        <v>1178577.45</v>
      </c>
      <c r="K65" s="365">
        <v>20426</v>
      </c>
      <c r="L65" s="365">
        <v>0</v>
      </c>
      <c r="M65" s="365">
        <v>14303</v>
      </c>
      <c r="N65" s="365"/>
      <c r="O65" s="365"/>
      <c r="P65" s="365">
        <v>632990.44999999995</v>
      </c>
      <c r="Q65" s="27">
        <f t="shared" si="76"/>
        <v>618687.44999999995</v>
      </c>
      <c r="R65" s="223">
        <f>(Q65-'KiGa - PS'!H66)*'KiGa - PS'!L66+'KiGa - PS'!F66</f>
        <v>533293.52299866476</v>
      </c>
      <c r="S65" s="226">
        <f t="shared" ref="S65:S71" si="99">R65/$E65</f>
        <v>0.54088236077078222</v>
      </c>
      <c r="T65" s="223">
        <f t="shared" ref="T65:T71" si="100">R65/C65</f>
        <v>177764.50766622159</v>
      </c>
      <c r="U65" s="224">
        <f t="shared" ref="U65:U71" si="101">R65/D65</f>
        <v>7618.4788999809252</v>
      </c>
      <c r="V65" s="365">
        <v>48243.75</v>
      </c>
      <c r="W65" s="223">
        <f>V65*'KiGa - PS'!L66</f>
        <v>41584.938243319521</v>
      </c>
      <c r="X65" s="226">
        <f t="shared" ref="X65:X71" si="102">W65/$E65</f>
        <v>4.2176697446239489E-2</v>
      </c>
      <c r="Y65" s="223">
        <f t="shared" ref="Y65:Y71" si="103">W65/C65</f>
        <v>13861.646081106506</v>
      </c>
      <c r="Z65" s="224">
        <f t="shared" ref="Z65:Z71" si="104">W65/D65</f>
        <v>594.07054633313601</v>
      </c>
      <c r="AA65" s="365">
        <v>147421.35</v>
      </c>
      <c r="AB65" s="365">
        <v>39992</v>
      </c>
      <c r="AC65" s="225">
        <f>Artengliederung!AE65</f>
        <v>136213</v>
      </c>
      <c r="AD65" s="223">
        <f>AC65*'KiGa - PS'!L66</f>
        <v>117412.29056483549</v>
      </c>
      <c r="AE65" s="226">
        <f t="shared" ref="AE65:AE71" si="105">AD65/$E65</f>
        <v>0.11908308307800743</v>
      </c>
      <c r="AF65" s="223">
        <f t="shared" ref="AF65:AF71" si="106">AD65/C65</f>
        <v>39137.4301882785</v>
      </c>
      <c r="AG65" s="224">
        <f t="shared" ref="AG65:AG71" si="107">AD65/D65</f>
        <v>1677.3184366405071</v>
      </c>
      <c r="AH65" s="225">
        <f t="shared" ref="AH65:AH70" si="108">AA65-AB65</f>
        <v>107429.35</v>
      </c>
      <c r="AI65" s="223">
        <f>AH65*'KiGa - PS'!L66</f>
        <v>92601.48486114695</v>
      </c>
      <c r="AJ65" s="226">
        <f t="shared" ref="AJ65:AJ71" si="109">AI65/$E65</f>
        <v>9.3919216308768885E-2</v>
      </c>
      <c r="AK65" s="223">
        <f t="shared" ref="AK65:AK71" si="110">AI65/C65</f>
        <v>30867.161620382318</v>
      </c>
      <c r="AL65" s="224">
        <f t="shared" ref="AL65:AL71" si="111">AI65/D65</f>
        <v>1322.8783551592421</v>
      </c>
      <c r="AM65" s="365">
        <v>5705.3</v>
      </c>
      <c r="AN65" s="223">
        <f>AM65*'KiGa - PS'!L66</f>
        <v>4917.8297325479652</v>
      </c>
      <c r="AO65" s="226">
        <f t="shared" ref="AO65:AO71" si="112">AN65/$E65</f>
        <v>4.9878111038223647E-3</v>
      </c>
      <c r="AP65" s="223">
        <f t="shared" ref="AP65:AP71" si="113">AN65/C65</f>
        <v>1639.2765775159885</v>
      </c>
      <c r="AQ65" s="224">
        <f t="shared" ref="AQ65:AQ71" si="114">AN65/$D65</f>
        <v>70.254710464970927</v>
      </c>
      <c r="AR65" s="223">
        <f>Artengliederung!X65*'KiGa - PS'!L66</f>
        <v>81370.502296553706</v>
      </c>
      <c r="AS65" s="226">
        <f t="shared" ref="AS65:AS71" si="115">AR65/E65</f>
        <v>8.2528415368312125E-2</v>
      </c>
      <c r="AT65" s="223">
        <f t="shared" ref="AT65:AT71" si="116">AR65/C65</f>
        <v>27123.500765517903</v>
      </c>
      <c r="AU65" s="223">
        <f t="shared" ref="AU65:AU71" si="117">AR65/D65</f>
        <v>1162.4357470936243</v>
      </c>
      <c r="AV65" s="227">
        <f t="shared" ref="AV65:AV71" si="118">1-S65-X65-AJ65-AE65-AO65-AS65</f>
        <v>0.11642241592406752</v>
      </c>
    </row>
    <row r="66" spans="1:48" x14ac:dyDescent="0.25">
      <c r="A66" s="365" t="s">
        <v>146</v>
      </c>
      <c r="B66" s="365" t="s">
        <v>34</v>
      </c>
      <c r="C66" s="328">
        <v>3</v>
      </c>
      <c r="D66" s="328">
        <f>Kennzahlen!H66</f>
        <v>63</v>
      </c>
      <c r="E66" s="223">
        <f>'KiGa - PS'!F67+'KiGa - PS'!L67*Funktional!H66</f>
        <v>655193.45469049411</v>
      </c>
      <c r="F66" s="223">
        <f t="shared" si="97"/>
        <v>218397.8182301647</v>
      </c>
      <c r="G66" s="224">
        <f t="shared" si="98"/>
        <v>10399.896106198319</v>
      </c>
      <c r="H66" s="223">
        <f>I66-'KiGa - PS'!H67</f>
        <v>362956.25</v>
      </c>
      <c r="I66" s="223">
        <f t="shared" si="75"/>
        <v>872259.2</v>
      </c>
      <c r="J66" s="365">
        <v>925585.65</v>
      </c>
      <c r="K66" s="365">
        <v>14222.8</v>
      </c>
      <c r="L66" s="365">
        <v>0</v>
      </c>
      <c r="M66" s="365">
        <v>39103.65</v>
      </c>
      <c r="N66" s="365"/>
      <c r="O66" s="365"/>
      <c r="P66" s="365">
        <v>619674.55000000005</v>
      </c>
      <c r="Q66" s="27">
        <f t="shared" si="76"/>
        <v>580570.9</v>
      </c>
      <c r="R66" s="223">
        <f>(Q66-'KiGa - PS'!H67)*'KiGa - PS'!L67+'KiGa - PS'!F67</f>
        <v>436093.14027730457</v>
      </c>
      <c r="S66" s="226">
        <f t="shared" si="99"/>
        <v>0.66559447008412187</v>
      </c>
      <c r="T66" s="223">
        <f t="shared" si="100"/>
        <v>145364.38009243485</v>
      </c>
      <c r="U66" s="224">
        <f t="shared" si="101"/>
        <v>6922.1133377349934</v>
      </c>
      <c r="V66" s="365">
        <v>30703.55</v>
      </c>
      <c r="W66" s="223">
        <f>V66*'KiGa - PS'!L67</f>
        <v>23062.829255068125</v>
      </c>
      <c r="X66" s="226">
        <f t="shared" si="102"/>
        <v>3.5200029991085215E-2</v>
      </c>
      <c r="Y66" s="223">
        <f t="shared" si="103"/>
        <v>7687.6097516893751</v>
      </c>
      <c r="Z66" s="224">
        <f t="shared" si="104"/>
        <v>366.07665484235122</v>
      </c>
      <c r="AA66" s="365">
        <v>143285.75</v>
      </c>
      <c r="AB66" s="365">
        <v>18528.5</v>
      </c>
      <c r="AC66" s="225">
        <f>Artengliederung!AE66</f>
        <v>47245</v>
      </c>
      <c r="AD66" s="223">
        <f>AC66*'KiGa - PS'!L67</f>
        <v>35487.862744070102</v>
      </c>
      <c r="AE66" s="226">
        <f t="shared" si="105"/>
        <v>5.4163945762910837E-2</v>
      </c>
      <c r="AF66" s="223">
        <f t="shared" si="106"/>
        <v>11829.287581356701</v>
      </c>
      <c r="AG66" s="224">
        <f t="shared" si="107"/>
        <v>563.29940863603338</v>
      </c>
      <c r="AH66" s="225">
        <f t="shared" si="108"/>
        <v>124757.25</v>
      </c>
      <c r="AI66" s="223">
        <f>AH66*'KiGa - PS'!L67</f>
        <v>93710.830020692985</v>
      </c>
      <c r="AJ66" s="226">
        <f t="shared" si="109"/>
        <v>0.14302772616213164</v>
      </c>
      <c r="AK66" s="223">
        <f t="shared" si="110"/>
        <v>31236.943340230995</v>
      </c>
      <c r="AL66" s="224">
        <f t="shared" si="111"/>
        <v>1487.473492391952</v>
      </c>
      <c r="AM66" s="365">
        <v>3699.7</v>
      </c>
      <c r="AN66" s="223">
        <f>AM66*'KiGa - PS'!L67</f>
        <v>2779.012504904988</v>
      </c>
      <c r="AO66" s="226">
        <f t="shared" si="112"/>
        <v>4.2415144489161014E-3</v>
      </c>
      <c r="AP66" s="223">
        <f t="shared" si="113"/>
        <v>926.33750163499599</v>
      </c>
      <c r="AQ66" s="224">
        <f t="shared" si="114"/>
        <v>44.111309601666477</v>
      </c>
      <c r="AR66" s="223">
        <f>Artengliederung!X66*'KiGa - PS'!L67</f>
        <v>35275.664178609215</v>
      </c>
      <c r="AS66" s="226">
        <f t="shared" si="115"/>
        <v>5.384007414309875E-2</v>
      </c>
      <c r="AT66" s="223">
        <f t="shared" si="116"/>
        <v>11758.554726203072</v>
      </c>
      <c r="AU66" s="223">
        <f t="shared" si="117"/>
        <v>559.93117743824155</v>
      </c>
      <c r="AV66" s="227">
        <f t="shared" si="118"/>
        <v>4.3932239407735572E-2</v>
      </c>
    </row>
    <row r="67" spans="1:48" x14ac:dyDescent="0.25">
      <c r="A67" s="365" t="s">
        <v>147</v>
      </c>
      <c r="B67" s="365" t="s">
        <v>34</v>
      </c>
      <c r="C67" s="328">
        <v>4</v>
      </c>
      <c r="D67" s="328">
        <f>Kennzahlen!H67</f>
        <v>79</v>
      </c>
      <c r="E67" s="223">
        <f>'KiGa - PS'!F68+'KiGa - PS'!L68*Funktional!H67</f>
        <v>867759.22690108232</v>
      </c>
      <c r="F67" s="223">
        <f t="shared" si="97"/>
        <v>216939.80672527058</v>
      </c>
      <c r="G67" s="224">
        <f t="shared" si="98"/>
        <v>10984.294011406106</v>
      </c>
      <c r="H67" s="223">
        <f>I67-'KiGa - PS'!H68</f>
        <v>338962.11999999988</v>
      </c>
      <c r="I67" s="223">
        <f t="shared" si="75"/>
        <v>1087059.5999999999</v>
      </c>
      <c r="J67" s="365">
        <v>1135675.75</v>
      </c>
      <c r="K67" s="365">
        <v>24415.1</v>
      </c>
      <c r="L67" s="365">
        <v>0</v>
      </c>
      <c r="M67" s="365">
        <v>24201.05</v>
      </c>
      <c r="N67" s="365"/>
      <c r="O67" s="365"/>
      <c r="P67" s="365">
        <v>773834.63</v>
      </c>
      <c r="Q67" s="27">
        <f t="shared" si="76"/>
        <v>749633.58</v>
      </c>
      <c r="R67" s="223">
        <f>(Q67-'KiGa - PS'!H68)*'KiGa - PS'!L68+'KiGa - PS'!F68</f>
        <v>598404.59146848135</v>
      </c>
      <c r="S67" s="226">
        <f t="shared" si="99"/>
        <v>0.68959749769009915</v>
      </c>
      <c r="T67" s="223">
        <f t="shared" si="100"/>
        <v>149601.14786712034</v>
      </c>
      <c r="U67" s="224">
        <f t="shared" si="101"/>
        <v>7574.7416641579921</v>
      </c>
      <c r="V67" s="365">
        <v>60448.7</v>
      </c>
      <c r="W67" s="223">
        <f>V67*'KiGa - PS'!L68</f>
        <v>48253.947786464945</v>
      </c>
      <c r="X67" s="226">
        <f t="shared" si="102"/>
        <v>5.5607530626655625E-2</v>
      </c>
      <c r="Y67" s="223">
        <f t="shared" si="103"/>
        <v>12063.486946616236</v>
      </c>
      <c r="Z67" s="224">
        <f t="shared" si="104"/>
        <v>610.80946565145496</v>
      </c>
      <c r="AA67" s="365">
        <v>158457.15</v>
      </c>
      <c r="AB67" s="365">
        <v>29790.35</v>
      </c>
      <c r="AC67" s="225">
        <f>Artengliederung!AE67</f>
        <v>89161</v>
      </c>
      <c r="AD67" s="223">
        <f>AC67*'KiGa - PS'!L68</f>
        <v>71173.908431264877</v>
      </c>
      <c r="AE67" s="226">
        <f t="shared" si="105"/>
        <v>8.2020341846941999E-2</v>
      </c>
      <c r="AF67" s="223">
        <f t="shared" si="106"/>
        <v>17793.477107816219</v>
      </c>
      <c r="AG67" s="224">
        <f t="shared" si="107"/>
        <v>900.93554976284656</v>
      </c>
      <c r="AH67" s="225">
        <f t="shared" si="108"/>
        <v>128666.79999999999</v>
      </c>
      <c r="AI67" s="223">
        <f>AH67*'KiGa - PS'!L68</f>
        <v>102709.91847718027</v>
      </c>
      <c r="AJ67" s="226">
        <f t="shared" si="109"/>
        <v>0.11836223147286498</v>
      </c>
      <c r="AK67" s="223">
        <f t="shared" si="110"/>
        <v>25677.479619295067</v>
      </c>
      <c r="AL67" s="224">
        <f t="shared" si="111"/>
        <v>1300.1255503440541</v>
      </c>
      <c r="AM67" s="365">
        <v>3214.4</v>
      </c>
      <c r="AN67" s="223">
        <f>AM67*'KiGa - PS'!L68</f>
        <v>2565.9359054009915</v>
      </c>
      <c r="AO67" s="226">
        <f t="shared" si="112"/>
        <v>2.956967584849994E-3</v>
      </c>
      <c r="AP67" s="223">
        <f t="shared" si="113"/>
        <v>641.48397635024787</v>
      </c>
      <c r="AQ67" s="224">
        <f t="shared" si="114"/>
        <v>32.480201334189765</v>
      </c>
      <c r="AR67" s="223">
        <f>Artengliederung!X67*'KiGa - PS'!L68</f>
        <v>9376.2749671647089</v>
      </c>
      <c r="AS67" s="226">
        <f t="shared" si="115"/>
        <v>1.0805157325320528E-2</v>
      </c>
      <c r="AT67" s="223">
        <f t="shared" si="116"/>
        <v>2344.0687417911772</v>
      </c>
      <c r="AU67" s="223">
        <f t="shared" si="117"/>
        <v>118.6870249008191</v>
      </c>
      <c r="AV67" s="227">
        <f t="shared" si="118"/>
        <v>4.0650273453267716E-2</v>
      </c>
    </row>
    <row r="68" spans="1:48" x14ac:dyDescent="0.25">
      <c r="A68" s="365" t="s">
        <v>148</v>
      </c>
      <c r="B68" s="365" t="s">
        <v>34</v>
      </c>
      <c r="C68" s="328">
        <v>4</v>
      </c>
      <c r="D68" s="328">
        <f>Kennzahlen!H68</f>
        <v>83</v>
      </c>
      <c r="E68" s="223">
        <f>'KiGa - PS'!F69+'KiGa - PS'!L69*Funktional!H68</f>
        <v>1058583.006061537</v>
      </c>
      <c r="F68" s="223">
        <f t="shared" si="97"/>
        <v>264645.75151538424</v>
      </c>
      <c r="G68" s="224">
        <f t="shared" si="98"/>
        <v>12754.012121223337</v>
      </c>
      <c r="H68" s="223">
        <f>I68-'KiGa - PS'!H69</f>
        <v>575132.85000000009</v>
      </c>
      <c r="I68" s="223">
        <f t="shared" si="75"/>
        <v>1193627.8</v>
      </c>
      <c r="J68" s="365">
        <v>1256277.7</v>
      </c>
      <c r="K68" s="365">
        <v>55700.65</v>
      </c>
      <c r="L68" s="365">
        <v>0</v>
      </c>
      <c r="M68" s="365">
        <v>6949.25</v>
      </c>
      <c r="N68" s="365"/>
      <c r="O68" s="365"/>
      <c r="P68" s="365">
        <v>726018.95</v>
      </c>
      <c r="Q68" s="27">
        <f t="shared" si="76"/>
        <v>719069.7</v>
      </c>
      <c r="R68" s="223">
        <f>(Q68-'KiGa - PS'!H69)*'KiGa - PS'!L69+'KiGa - PS'!F69</f>
        <v>637715.5128204684</v>
      </c>
      <c r="S68" s="226">
        <f t="shared" si="99"/>
        <v>0.60242372035906</v>
      </c>
      <c r="T68" s="223">
        <f t="shared" si="100"/>
        <v>159428.8782051171</v>
      </c>
      <c r="U68" s="224">
        <f t="shared" si="101"/>
        <v>7683.3194315719084</v>
      </c>
      <c r="V68" s="365">
        <v>45305.7</v>
      </c>
      <c r="W68" s="223">
        <f>V68*'KiGa - PS'!L69</f>
        <v>40179.898706885157</v>
      </c>
      <c r="X68" s="226">
        <f t="shared" si="102"/>
        <v>3.795630430189377E-2</v>
      </c>
      <c r="Y68" s="223">
        <f t="shared" si="103"/>
        <v>10044.974676721289</v>
      </c>
      <c r="Z68" s="224">
        <f t="shared" si="104"/>
        <v>484.09516514319466</v>
      </c>
      <c r="AA68" s="365">
        <v>230090.55</v>
      </c>
      <c r="AB68" s="365">
        <v>147458.95000000001</v>
      </c>
      <c r="AC68" s="225">
        <f>Artengliederung!AE68</f>
        <v>123000</v>
      </c>
      <c r="AD68" s="223">
        <f>AC68*'KiGa - PS'!L69</f>
        <v>109084.01240786201</v>
      </c>
      <c r="AE68" s="226">
        <f t="shared" si="105"/>
        <v>0.10304719779482348</v>
      </c>
      <c r="AF68" s="223">
        <f t="shared" si="106"/>
        <v>27271.003101965503</v>
      </c>
      <c r="AG68" s="224">
        <f t="shared" si="107"/>
        <v>1314.2652097332773</v>
      </c>
      <c r="AH68" s="225">
        <f t="shared" si="108"/>
        <v>82631.599999999977</v>
      </c>
      <c r="AI68" s="223">
        <f>AH68*'KiGa - PS'!L69</f>
        <v>73282.816907979577</v>
      </c>
      <c r="AJ68" s="226">
        <f t="shared" si="109"/>
        <v>6.9227275034981564E-2</v>
      </c>
      <c r="AK68" s="223">
        <f t="shared" si="110"/>
        <v>18320.704226994894</v>
      </c>
      <c r="AL68" s="224">
        <f t="shared" si="111"/>
        <v>882.92550491541658</v>
      </c>
      <c r="AM68" s="365">
        <v>3889.85</v>
      </c>
      <c r="AN68" s="223">
        <f>AM68*'KiGa - PS'!L69</f>
        <v>3449.7597208513989</v>
      </c>
      <c r="AO68" s="226">
        <f t="shared" si="112"/>
        <v>3.2588466857088952E-3</v>
      </c>
      <c r="AP68" s="223">
        <f t="shared" si="113"/>
        <v>862.43993021284973</v>
      </c>
      <c r="AQ68" s="224">
        <f t="shared" si="114"/>
        <v>41.563370130739749</v>
      </c>
      <c r="AR68" s="223">
        <f>Artengliederung!X68*'KiGa - PS'!L69</f>
        <v>61675.745870649393</v>
      </c>
      <c r="AS68" s="226">
        <f t="shared" si="115"/>
        <v>5.8262550520354839E-2</v>
      </c>
      <c r="AT68" s="223">
        <f t="shared" si="116"/>
        <v>15418.936467662348</v>
      </c>
      <c r="AU68" s="223">
        <f t="shared" si="117"/>
        <v>743.08127554999271</v>
      </c>
      <c r="AV68" s="227">
        <f t="shared" si="118"/>
        <v>0.12582410530317747</v>
      </c>
    </row>
    <row r="69" spans="1:48" x14ac:dyDescent="0.25">
      <c r="A69" s="365" t="s">
        <v>149</v>
      </c>
      <c r="B69" s="365" t="s">
        <v>34</v>
      </c>
      <c r="C69" s="328">
        <v>1</v>
      </c>
      <c r="D69" s="328">
        <f>Kennzahlen!H69</f>
        <v>25</v>
      </c>
      <c r="E69" s="223">
        <f>I69</f>
        <v>426384.24</v>
      </c>
      <c r="F69" s="223">
        <f t="shared" si="97"/>
        <v>426384.24</v>
      </c>
      <c r="G69" s="224">
        <f t="shared" si="98"/>
        <v>17055.369599999998</v>
      </c>
      <c r="H69" s="223">
        <f>I69-'KiGa - PS'!H70</f>
        <v>179938.59999999998</v>
      </c>
      <c r="I69" s="223">
        <f t="shared" si="75"/>
        <v>426384.24</v>
      </c>
      <c r="J69" s="365">
        <v>486329.64</v>
      </c>
      <c r="K69" s="365">
        <v>0</v>
      </c>
      <c r="L69" s="365">
        <v>0</v>
      </c>
      <c r="M69" s="365">
        <v>59945.4</v>
      </c>
      <c r="N69" s="365"/>
      <c r="O69" s="365"/>
      <c r="P69" s="365">
        <v>246445.64</v>
      </c>
      <c r="Q69" s="27">
        <f t="shared" si="76"/>
        <v>186500.24000000002</v>
      </c>
      <c r="R69" s="223">
        <f>Q69</f>
        <v>186500.24000000002</v>
      </c>
      <c r="S69" s="226">
        <f t="shared" si="99"/>
        <v>0.43739946861075357</v>
      </c>
      <c r="T69" s="223">
        <f t="shared" si="100"/>
        <v>186500.24000000002</v>
      </c>
      <c r="U69" s="224">
        <f t="shared" si="101"/>
        <v>7460.0096000000012</v>
      </c>
      <c r="V69" s="365">
        <v>20879.45</v>
      </c>
      <c r="W69" s="223">
        <f>V69*'KiGa - PS'!L70</f>
        <v>20879.45</v>
      </c>
      <c r="X69" s="226">
        <f t="shared" si="102"/>
        <v>4.896862510678162E-2</v>
      </c>
      <c r="Y69" s="223">
        <f t="shared" si="103"/>
        <v>20879.45</v>
      </c>
      <c r="Z69" s="224">
        <f t="shared" si="104"/>
        <v>835.178</v>
      </c>
      <c r="AA69" s="365">
        <v>37268.85</v>
      </c>
      <c r="AB69" s="365">
        <v>17700</v>
      </c>
      <c r="AC69" s="225">
        <f>Artengliederung!AE69</f>
        <v>97770</v>
      </c>
      <c r="AD69" s="223">
        <f>AC69*'KiGa - PS'!L70</f>
        <v>97770</v>
      </c>
      <c r="AE69" s="226">
        <f t="shared" si="105"/>
        <v>0.22930021991431954</v>
      </c>
      <c r="AF69" s="223">
        <f t="shared" si="106"/>
        <v>97770</v>
      </c>
      <c r="AG69" s="224">
        <f t="shared" si="107"/>
        <v>3910.8</v>
      </c>
      <c r="AH69" s="225">
        <f t="shared" si="108"/>
        <v>19568.849999999999</v>
      </c>
      <c r="AI69" s="223">
        <f>AH69*'KiGa - PS'!L70</f>
        <v>19568.849999999999</v>
      </c>
      <c r="AJ69" s="226">
        <f t="shared" si="109"/>
        <v>4.5894871724151902E-2</v>
      </c>
      <c r="AK69" s="223">
        <f t="shared" si="110"/>
        <v>19568.849999999999</v>
      </c>
      <c r="AL69" s="224">
        <f t="shared" si="111"/>
        <v>782.75399999999991</v>
      </c>
      <c r="AM69" s="365">
        <v>1681.65</v>
      </c>
      <c r="AN69" s="223">
        <f>AM69*'KiGa - PS'!L70</f>
        <v>1681.65</v>
      </c>
      <c r="AO69" s="226">
        <f t="shared" si="112"/>
        <v>3.9439778543409578E-3</v>
      </c>
      <c r="AP69" s="223">
        <f t="shared" si="113"/>
        <v>1681.65</v>
      </c>
      <c r="AQ69" s="224">
        <f t="shared" si="114"/>
        <v>67.266000000000005</v>
      </c>
      <c r="AR69" s="223">
        <f>Artengliederung!X69*'KiGa - PS'!L70</f>
        <v>11633.3</v>
      </c>
      <c r="AS69" s="226">
        <f t="shared" si="115"/>
        <v>2.7283606917553986E-2</v>
      </c>
      <c r="AT69" s="223">
        <f t="shared" si="116"/>
        <v>11633.3</v>
      </c>
      <c r="AU69" s="223">
        <f t="shared" si="117"/>
        <v>465.33199999999999</v>
      </c>
      <c r="AV69" s="227">
        <f t="shared" si="118"/>
        <v>0.20720922987209842</v>
      </c>
    </row>
    <row r="70" spans="1:48" x14ac:dyDescent="0.25">
      <c r="A70" s="365" t="s">
        <v>150</v>
      </c>
      <c r="B70" s="365" t="s">
        <v>34</v>
      </c>
      <c r="C70" s="328">
        <v>3</v>
      </c>
      <c r="D70" s="328">
        <f>Kennzahlen!H70</f>
        <v>53</v>
      </c>
      <c r="E70" s="223">
        <f>'KiGa - PS'!F71+'KiGa - PS'!L71*Funktional!H70</f>
        <v>689243.71346237441</v>
      </c>
      <c r="F70" s="223">
        <f t="shared" si="97"/>
        <v>229747.90448745815</v>
      </c>
      <c r="G70" s="224">
        <f t="shared" si="98"/>
        <v>13004.598367214612</v>
      </c>
      <c r="H70" s="223">
        <f>I70-'KiGa - PS'!H71</f>
        <v>293357.54999999993</v>
      </c>
      <c r="I70" s="223">
        <f t="shared" si="75"/>
        <v>860563.95</v>
      </c>
      <c r="J70" s="365">
        <v>893791.95</v>
      </c>
      <c r="K70" s="365">
        <v>5282.2</v>
      </c>
      <c r="L70" s="365">
        <v>0</v>
      </c>
      <c r="M70" s="365">
        <v>27945.8</v>
      </c>
      <c r="N70" s="365"/>
      <c r="O70" s="365"/>
      <c r="P70" s="365">
        <v>567456.30000000005</v>
      </c>
      <c r="Q70" s="27">
        <f t="shared" si="76"/>
        <v>539510.5</v>
      </c>
      <c r="R70" s="223">
        <f>(Q70-'KiGa - PS'!H71)*'KiGa - PS'!L71+'KiGa - PS'!F71</f>
        <v>432105.27291079576</v>
      </c>
      <c r="S70" s="226">
        <f t="shared" si="99"/>
        <v>0.62692667988241901</v>
      </c>
      <c r="T70" s="223">
        <f t="shared" si="100"/>
        <v>144035.09097026524</v>
      </c>
      <c r="U70" s="224">
        <f t="shared" si="101"/>
        <v>8152.9296775621842</v>
      </c>
      <c r="V70" s="365">
        <v>38159.949999999997</v>
      </c>
      <c r="W70" s="223">
        <f>V70*'KiGa - PS'!L71</f>
        <v>30563.104163889893</v>
      </c>
      <c r="X70" s="226">
        <f t="shared" si="102"/>
        <v>4.4342956732036011E-2</v>
      </c>
      <c r="Y70" s="223">
        <f t="shared" si="103"/>
        <v>10187.701387963298</v>
      </c>
      <c r="Z70" s="224">
        <f t="shared" si="104"/>
        <v>576.66234271490362</v>
      </c>
      <c r="AA70" s="365">
        <v>118316.83</v>
      </c>
      <c r="AB70" s="365">
        <v>16800</v>
      </c>
      <c r="AC70" s="225">
        <f>Artengliederung!AE70</f>
        <v>53000</v>
      </c>
      <c r="AD70" s="223">
        <f>AC70*'KiGa - PS'!L71</f>
        <v>42448.811402692205</v>
      </c>
      <c r="AE70" s="226">
        <f t="shared" si="105"/>
        <v>6.1587520602042416E-2</v>
      </c>
      <c r="AF70" s="223">
        <f t="shared" si="106"/>
        <v>14149.603800897401</v>
      </c>
      <c r="AG70" s="224">
        <f t="shared" si="107"/>
        <v>800.92096986211709</v>
      </c>
      <c r="AH70" s="225">
        <f t="shared" si="108"/>
        <v>101516.83</v>
      </c>
      <c r="AI70" s="223">
        <f>AH70*'KiGa - PS'!L71</f>
        <v>81306.957940927678</v>
      </c>
      <c r="AJ70" s="226">
        <f t="shared" si="109"/>
        <v>0.11796546903922715</v>
      </c>
      <c r="AK70" s="223">
        <f t="shared" si="110"/>
        <v>27102.319313642558</v>
      </c>
      <c r="AL70" s="224">
        <f t="shared" si="111"/>
        <v>1534.0935460552391</v>
      </c>
      <c r="AM70" s="365">
        <v>3711.2</v>
      </c>
      <c r="AN70" s="223">
        <f>AM70*'KiGa - PS'!L71</f>
        <v>2972.3779033522892</v>
      </c>
      <c r="AO70" s="226">
        <f t="shared" si="112"/>
        <v>4.3125208765716948E-3</v>
      </c>
      <c r="AP70" s="223">
        <f t="shared" si="113"/>
        <v>990.7926344507631</v>
      </c>
      <c r="AQ70" s="224">
        <f t="shared" si="114"/>
        <v>56.082601950043191</v>
      </c>
      <c r="AR70" s="223">
        <f>Artengliederung!X70*'KiGa - PS'!L71</f>
        <v>60557.594485226182</v>
      </c>
      <c r="AS70" s="226">
        <f t="shared" si="115"/>
        <v>8.7860931195177308E-2</v>
      </c>
      <c r="AT70" s="223">
        <f t="shared" si="116"/>
        <v>20185.864828408728</v>
      </c>
      <c r="AU70" s="223">
        <f t="shared" si="117"/>
        <v>1142.5961223627583</v>
      </c>
      <c r="AV70" s="227">
        <f t="shared" si="118"/>
        <v>5.7003921672526367E-2</v>
      </c>
    </row>
    <row r="71" spans="1:48" x14ac:dyDescent="0.25">
      <c r="A71" s="365" t="s">
        <v>151</v>
      </c>
      <c r="B71" s="365" t="s">
        <v>34</v>
      </c>
      <c r="C71" s="328">
        <v>4</v>
      </c>
      <c r="D71" s="328">
        <f>Kennzahlen!H71</f>
        <v>75</v>
      </c>
      <c r="E71" s="223">
        <f>'KiGa - PS'!F72+'KiGa - PS'!L72*Funktional!H71</f>
        <v>610085.70046363492</v>
      </c>
      <c r="F71" s="223">
        <f t="shared" si="97"/>
        <v>152521.42511590873</v>
      </c>
      <c r="G71" s="224">
        <f t="shared" si="98"/>
        <v>8134.4760061817988</v>
      </c>
      <c r="H71" s="223">
        <f>I71-'KiGa - PS'!H72</f>
        <v>187973.94999999995</v>
      </c>
      <c r="I71" s="223">
        <f t="shared" si="75"/>
        <v>748490.39999999991</v>
      </c>
      <c r="J71" s="365">
        <v>835762.25</v>
      </c>
      <c r="K71" s="365">
        <v>73838.8</v>
      </c>
      <c r="L71" s="365">
        <v>0</v>
      </c>
      <c r="M71" s="365">
        <v>13433.05</v>
      </c>
      <c r="N71" s="365"/>
      <c r="O71" s="365"/>
      <c r="P71" s="365">
        <v>561677</v>
      </c>
      <c r="Q71" s="27">
        <f t="shared" si="76"/>
        <v>548243.94999999995</v>
      </c>
      <c r="R71" s="223">
        <f>(Q71-'KiGa - PS'!H72)*'KiGa - PS'!L72+'KiGa - PS'!F72</f>
        <v>446867.17994071805</v>
      </c>
      <c r="S71" s="226">
        <f t="shared" si="99"/>
        <v>0.73246624138399097</v>
      </c>
      <c r="T71" s="223">
        <f t="shared" si="100"/>
        <v>111716.79498517951</v>
      </c>
      <c r="U71" s="224">
        <f t="shared" si="101"/>
        <v>5958.2290658762404</v>
      </c>
      <c r="V71" s="365">
        <v>2191.8000000000002</v>
      </c>
      <c r="W71" s="223">
        <f>V71*'KiGa - PS'!L72</f>
        <v>1786.5103390453573</v>
      </c>
      <c r="X71" s="226">
        <f t="shared" si="102"/>
        <v>2.9282940703047097E-3</v>
      </c>
      <c r="Y71" s="223">
        <f t="shared" si="103"/>
        <v>446.62758476133934</v>
      </c>
      <c r="Z71" s="224">
        <f t="shared" si="104"/>
        <v>23.820137853938096</v>
      </c>
      <c r="AA71" s="365">
        <v>143189.5</v>
      </c>
      <c r="AB71" s="365">
        <v>13602.3</v>
      </c>
      <c r="AC71" s="225">
        <f>Artengliederung!AE71</f>
        <v>12081.55</v>
      </c>
      <c r="AD71" s="223">
        <f>AC71*'KiGa - PS'!L72</f>
        <v>9847.5289655504312</v>
      </c>
      <c r="AE71" s="226">
        <f t="shared" si="105"/>
        <v>1.6141222385751375E-2</v>
      </c>
      <c r="AF71" s="223">
        <f t="shared" si="106"/>
        <v>2461.8822413876078</v>
      </c>
      <c r="AG71" s="224">
        <f t="shared" si="107"/>
        <v>131.30038620733907</v>
      </c>
      <c r="AH71" s="225">
        <f t="shared" ref="AH71:AH86" si="119">AA71-AB71</f>
        <v>129587.2</v>
      </c>
      <c r="AI71" s="223">
        <f>AH71*'KiGa - PS'!L72</f>
        <v>105624.99890863149</v>
      </c>
      <c r="AJ71" s="226">
        <f t="shared" si="109"/>
        <v>0.17313141223988979</v>
      </c>
      <c r="AK71" s="223">
        <f t="shared" si="110"/>
        <v>26406.249727157872</v>
      </c>
      <c r="AL71" s="224">
        <f t="shared" si="111"/>
        <v>1408.3333187817532</v>
      </c>
      <c r="AM71" s="365">
        <v>7121.3</v>
      </c>
      <c r="AN71" s="223">
        <f>AM71*'KiGa - PS'!L72</f>
        <v>5804.4876710665676</v>
      </c>
      <c r="AO71" s="226">
        <f t="shared" si="112"/>
        <v>9.5142168824075765E-3</v>
      </c>
      <c r="AP71" s="223">
        <f t="shared" si="113"/>
        <v>1451.1219177666419</v>
      </c>
      <c r="AQ71" s="224">
        <f t="shared" si="114"/>
        <v>77.39316894755423</v>
      </c>
      <c r="AR71" s="223">
        <f>Artengliederung!X71*'KiGa - PS'!L72</f>
        <v>6677.3656353350561</v>
      </c>
      <c r="AS71" s="226">
        <f t="shared" si="115"/>
        <v>1.0944963355575436E-2</v>
      </c>
      <c r="AT71" s="223">
        <f t="shared" si="116"/>
        <v>1669.341408833764</v>
      </c>
      <c r="AU71" s="223">
        <f t="shared" si="117"/>
        <v>89.031541804467409</v>
      </c>
      <c r="AV71" s="227">
        <f t="shared" si="118"/>
        <v>5.4873649682080167E-2</v>
      </c>
    </row>
    <row r="72" spans="1:48" x14ac:dyDescent="0.25">
      <c r="A72" s="365" t="s">
        <v>152</v>
      </c>
      <c r="B72" s="365" t="s">
        <v>34</v>
      </c>
      <c r="C72" s="328">
        <v>4</v>
      </c>
      <c r="D72" s="328">
        <f>Kennzahlen!H72</f>
        <v>73</v>
      </c>
      <c r="E72" s="223">
        <f>'KiGa - PS'!F73+'KiGa - PS'!L73*Funktional!H72</f>
        <v>1073104.3667266211</v>
      </c>
      <c r="F72" s="223">
        <f t="shared" si="97"/>
        <v>268276.09168165526</v>
      </c>
      <c r="G72" s="224">
        <f t="shared" ref="G72:G87" si="120">E72/D72</f>
        <v>14700.059818172891</v>
      </c>
      <c r="H72" s="223">
        <f>I72-'KiGa - PS'!H73</f>
        <v>490555.62000000011</v>
      </c>
      <c r="I72" s="223">
        <f t="shared" ref="I72:I73" si="121">J72-K72-L72-M72</f>
        <v>1238904.2000000002</v>
      </c>
      <c r="J72" s="365">
        <v>1294152.3</v>
      </c>
      <c r="K72" s="365">
        <v>44090.2</v>
      </c>
      <c r="L72" s="365">
        <v>0</v>
      </c>
      <c r="M72" s="365">
        <v>11157.9</v>
      </c>
      <c r="N72" s="365"/>
      <c r="O72" s="365"/>
      <c r="P72" s="365">
        <v>749892.08</v>
      </c>
      <c r="Q72" s="27">
        <f t="shared" si="76"/>
        <v>738734.17999999993</v>
      </c>
      <c r="R72" s="223">
        <f>(Q72-'KiGa - PS'!H73)*'KiGa - PS'!L73+'KiGa - PS'!F73</f>
        <v>639871.00407619053</v>
      </c>
      <c r="S72" s="226">
        <f t="shared" ref="S72:S87" si="122">R72/$E72</f>
        <v>0.59628030964783219</v>
      </c>
      <c r="T72" s="223">
        <f t="shared" ref="T72:T87" si="123">R72/C72</f>
        <v>159967.75101904763</v>
      </c>
      <c r="U72" s="224">
        <f t="shared" ref="U72:U87" si="124">R72/D72</f>
        <v>8765.3562202217872</v>
      </c>
      <c r="V72" s="365">
        <v>43843.25</v>
      </c>
      <c r="W72" s="223">
        <f>V72*'KiGa - PS'!L73</f>
        <v>37975.803961667836</v>
      </c>
      <c r="X72" s="226">
        <f t="shared" ref="X72:X87" si="125">W72/$E72</f>
        <v>3.5388733043281308E-2</v>
      </c>
      <c r="Y72" s="223">
        <f t="shared" ref="Y72:Y87" si="126">W72/C72</f>
        <v>9493.950990416959</v>
      </c>
      <c r="Z72" s="224">
        <f t="shared" ref="Z72:Z87" si="127">W72/D72</f>
        <v>520.21649262558685</v>
      </c>
      <c r="AA72" s="365">
        <v>154561.20000000001</v>
      </c>
      <c r="AB72" s="365">
        <v>68241.600000000006</v>
      </c>
      <c r="AC72" s="225">
        <f>Artengliederung!AE72</f>
        <v>74258</v>
      </c>
      <c r="AD72" s="223">
        <f>AC72*'KiGa - PS'!L73</f>
        <v>64320.214641604587</v>
      </c>
      <c r="AE72" s="226">
        <f t="shared" ref="AE72:AE87" si="128">AD72/$E72</f>
        <v>5.9938452061103667E-2</v>
      </c>
      <c r="AF72" s="223">
        <f t="shared" ref="AF72:AF87" si="129">AD72/C72</f>
        <v>16080.053660401147</v>
      </c>
      <c r="AG72" s="224">
        <f t="shared" ref="AG72:AG87" si="130">AD72/D72</f>
        <v>881.09883070691217</v>
      </c>
      <c r="AH72" s="225">
        <f t="shared" si="119"/>
        <v>86319.6</v>
      </c>
      <c r="AI72" s="223">
        <f>AH72*'KiGa - PS'!L73</f>
        <v>74767.637153942356</v>
      </c>
      <c r="AJ72" s="226">
        <f t="shared" ref="AJ72:AJ87" si="131">AI72/$E72</f>
        <v>6.9674152367874762E-2</v>
      </c>
      <c r="AK72" s="223">
        <f t="shared" ref="AK72:AK87" si="132">AI72/C72</f>
        <v>18691.909288485589</v>
      </c>
      <c r="AL72" s="224">
        <f t="shared" ref="AL72:AL87" si="133">AI72/D72</f>
        <v>1024.2142075882514</v>
      </c>
      <c r="AM72" s="365">
        <v>3230.95</v>
      </c>
      <c r="AN72" s="223">
        <f>AM72*'KiGa - PS'!L73</f>
        <v>2798.5590440934625</v>
      </c>
      <c r="AO72" s="226">
        <f t="shared" ref="AO72:AO87" si="134">AN72/$E72</f>
        <v>2.6079094735492864E-3</v>
      </c>
      <c r="AP72" s="223">
        <f t="shared" ref="AP72:AP87" si="135">AN72/C72</f>
        <v>699.63976102336562</v>
      </c>
      <c r="AQ72" s="224">
        <f t="shared" ref="AQ72:AQ87" si="136">AN72/$D72</f>
        <v>38.336425261554282</v>
      </c>
      <c r="AR72" s="223">
        <f>Artengliederung!X72*'KiGa - PS'!L73</f>
        <v>64710.295288320725</v>
      </c>
      <c r="AS72" s="226">
        <f t="shared" ref="AS72:AS87" si="137">AR72/E72</f>
        <v>6.030195877937939E-2</v>
      </c>
      <c r="AT72" s="223">
        <f t="shared" ref="AT72:AT87" si="138">AR72/C72</f>
        <v>16177.573822080181</v>
      </c>
      <c r="AU72" s="223">
        <f t="shared" ref="AU72:AU87" si="139">AR72/D72</f>
        <v>886.44240120987297</v>
      </c>
      <c r="AV72" s="227">
        <f t="shared" ref="AV72:AV87" si="140">1-S72-X72-AJ72-AE72-AO72-AS72</f>
        <v>0.1758084846269794</v>
      </c>
    </row>
    <row r="73" spans="1:48" x14ac:dyDescent="0.25">
      <c r="A73" s="365" t="s">
        <v>153</v>
      </c>
      <c r="B73" s="365" t="s">
        <v>34</v>
      </c>
      <c r="C73" s="328">
        <v>61.5</v>
      </c>
      <c r="D73" s="328">
        <f>Kennzahlen!H73</f>
        <v>1050</v>
      </c>
      <c r="E73" s="223">
        <f>'KiGa - PS'!F74+'KiGa - PS'!L74*Funktional!H73</f>
        <v>12063539.34631316</v>
      </c>
      <c r="F73" s="223">
        <f t="shared" ref="F73:F87" si="141">E73/C73</f>
        <v>196155.1113221652</v>
      </c>
      <c r="G73" s="224">
        <f t="shared" si="120"/>
        <v>11489.085091726818</v>
      </c>
      <c r="H73" s="223">
        <f>I73-'KiGa - PS'!H74</f>
        <v>4702631.7999999989</v>
      </c>
      <c r="I73" s="223">
        <f t="shared" si="121"/>
        <v>14170710.939999999</v>
      </c>
      <c r="J73" s="365">
        <f>15710075.37+'KiGa - PS'!I36</f>
        <v>15735376.67</v>
      </c>
      <c r="K73" s="365">
        <v>1563719.73</v>
      </c>
      <c r="L73" s="365">
        <v>0</v>
      </c>
      <c r="M73" s="365">
        <v>946</v>
      </c>
      <c r="N73" s="365"/>
      <c r="O73" s="365"/>
      <c r="P73" s="365">
        <f>9585469.84+'KiGa - PS'!I36</f>
        <v>9610771.1400000006</v>
      </c>
      <c r="Q73" s="27">
        <f t="shared" ref="Q73:Q88" si="142">P73-M73</f>
        <v>9609825.1400000006</v>
      </c>
      <c r="R73" s="223">
        <f>(Q73-'KiGa - PS'!H74)*'KiGa - PS'!L74+'KiGa - PS'!F74</f>
        <v>8180853.0410669269</v>
      </c>
      <c r="S73" s="226">
        <f t="shared" si="122"/>
        <v>0.67814700198803157</v>
      </c>
      <c r="T73" s="223">
        <f t="shared" si="123"/>
        <v>133022.00066775491</v>
      </c>
      <c r="U73" s="224">
        <f t="shared" si="124"/>
        <v>7791.2886105399302</v>
      </c>
      <c r="V73" s="365">
        <v>846724.75</v>
      </c>
      <c r="W73" s="223">
        <f>V73*'KiGa - PS'!L74</f>
        <v>720817.56380263681</v>
      </c>
      <c r="X73" s="226">
        <f t="shared" si="125"/>
        <v>5.9751748065789E-2</v>
      </c>
      <c r="Y73" s="223">
        <f t="shared" si="126"/>
        <v>11720.61079353881</v>
      </c>
      <c r="Z73" s="224">
        <f t="shared" si="127"/>
        <v>686.49291790727318</v>
      </c>
      <c r="AA73" s="365">
        <v>1822903.45</v>
      </c>
      <c r="AB73" s="365">
        <v>185652.8</v>
      </c>
      <c r="AC73" s="225">
        <f>Artengliederung!AE73</f>
        <v>272610.59999999998</v>
      </c>
      <c r="AD73" s="223">
        <f>AC73*'KiGa - PS'!L74</f>
        <v>232073.65623689999</v>
      </c>
      <c r="AE73" s="226">
        <f t="shared" si="128"/>
        <v>1.9237609259991014E-2</v>
      </c>
      <c r="AF73" s="223">
        <f t="shared" si="129"/>
        <v>3773.5553859658535</v>
      </c>
      <c r="AG73" s="224">
        <f t="shared" si="130"/>
        <v>221.02252974942857</v>
      </c>
      <c r="AH73" s="225">
        <f t="shared" si="119"/>
        <v>1637250.65</v>
      </c>
      <c r="AI73" s="223">
        <f>AH73*'KiGa - PS'!L74</f>
        <v>1393792.9945561218</v>
      </c>
      <c r="AJ73" s="226">
        <f t="shared" si="131"/>
        <v>0.11553765064662309</v>
      </c>
      <c r="AK73" s="223">
        <f t="shared" si="132"/>
        <v>22663.300724489785</v>
      </c>
      <c r="AL73" s="224">
        <f t="shared" si="133"/>
        <v>1327.4218995772587</v>
      </c>
      <c r="AM73" s="365">
        <v>-36517.949999999997</v>
      </c>
      <c r="AN73" s="223">
        <f>AM73*'KiGa - PS'!L74</f>
        <v>-31087.764653231763</v>
      </c>
      <c r="AO73" s="226">
        <f t="shared" si="134"/>
        <v>-2.5770019693874299E-3</v>
      </c>
      <c r="AP73" s="223">
        <f t="shared" si="135"/>
        <v>-505.49210818263032</v>
      </c>
      <c r="AQ73" s="224">
        <f t="shared" si="136"/>
        <v>-29.607394907839776</v>
      </c>
      <c r="AR73" s="223">
        <f>Artengliederung!X73*'KiGa - PS'!L74</f>
        <v>198960.60411549793</v>
      </c>
      <c r="AS73" s="226">
        <f t="shared" si="137"/>
        <v>1.6492722276924804E-2</v>
      </c>
      <c r="AT73" s="223">
        <f t="shared" si="138"/>
        <v>3235.1317742357387</v>
      </c>
      <c r="AU73" s="223">
        <f t="shared" si="139"/>
        <v>189.48628963380756</v>
      </c>
      <c r="AV73" s="227">
        <f t="shared" si="140"/>
        <v>0.11341026973202797</v>
      </c>
    </row>
    <row r="74" spans="1:48" x14ac:dyDescent="0.25">
      <c r="A74" s="365" t="s">
        <v>154</v>
      </c>
      <c r="B74" s="365" t="s">
        <v>34</v>
      </c>
      <c r="C74" s="328">
        <v>4</v>
      </c>
      <c r="D74" s="328">
        <f>Kennzahlen!H74</f>
        <v>81</v>
      </c>
      <c r="E74" s="223">
        <f>'KiGa - PS'!F75+'KiGa - PS'!L75*Funktional!H74</f>
        <v>1095567.3911104882</v>
      </c>
      <c r="F74" s="223">
        <f t="shared" si="141"/>
        <v>273891.84777762205</v>
      </c>
      <c r="G74" s="224">
        <f t="shared" si="120"/>
        <v>13525.523347043065</v>
      </c>
      <c r="H74" s="223">
        <f>I74-'KiGa - PS'!H75</f>
        <v>619892.90000000014</v>
      </c>
      <c r="I74" s="223">
        <f t="shared" ref="I74:I88" si="143">J74-K74-L74-M74</f>
        <v>1338268.1000000001</v>
      </c>
      <c r="J74" s="365">
        <v>1361712.55</v>
      </c>
      <c r="K74" s="365">
        <v>9216.7999999999993</v>
      </c>
      <c r="L74" s="365">
        <v>132</v>
      </c>
      <c r="M74" s="365">
        <v>14095.65</v>
      </c>
      <c r="N74" s="365"/>
      <c r="O74" s="365"/>
      <c r="P74" s="365">
        <v>720295.6</v>
      </c>
      <c r="Q74" s="27">
        <f t="shared" si="142"/>
        <v>706199.95</v>
      </c>
      <c r="R74" s="223">
        <f>(Q74-'KiGa - PS'!H75)*'KiGa - PS'!L75+'KiGa - PS'!F75</f>
        <v>578127.53425405349</v>
      </c>
      <c r="S74" s="226">
        <f t="shared" si="122"/>
        <v>0.52769691663426777</v>
      </c>
      <c r="T74" s="223">
        <f t="shared" si="123"/>
        <v>144531.88356351337</v>
      </c>
      <c r="U74" s="224">
        <f t="shared" si="124"/>
        <v>7137.3769660994258</v>
      </c>
      <c r="V74" s="365">
        <v>57018.15</v>
      </c>
      <c r="W74" s="223">
        <f>V74*'KiGa - PS'!L75</f>
        <v>46677.661853739526</v>
      </c>
      <c r="X74" s="226">
        <f t="shared" si="125"/>
        <v>4.2605924776956121E-2</v>
      </c>
      <c r="Y74" s="223">
        <f t="shared" si="126"/>
        <v>11669.415463434882</v>
      </c>
      <c r="Z74" s="224">
        <f t="shared" si="127"/>
        <v>576.26743029308057</v>
      </c>
      <c r="AA74" s="365">
        <v>212722.2</v>
      </c>
      <c r="AB74" s="365">
        <v>28495.200000000001</v>
      </c>
      <c r="AC74" s="225">
        <f>Artengliederung!AE74</f>
        <v>159840</v>
      </c>
      <c r="AD74" s="223">
        <f>AC74*'KiGa - PS'!L75</f>
        <v>130852.32457913359</v>
      </c>
      <c r="AE74" s="226">
        <f t="shared" si="128"/>
        <v>0.11943795118481863</v>
      </c>
      <c r="AF74" s="223">
        <f t="shared" si="129"/>
        <v>32713.081144783398</v>
      </c>
      <c r="AG74" s="224">
        <f t="shared" si="130"/>
        <v>1615.4607972732542</v>
      </c>
      <c r="AH74" s="225">
        <f t="shared" si="119"/>
        <v>184227</v>
      </c>
      <c r="AI74" s="223">
        <f>AH74*'KiGa - PS'!L75</f>
        <v>150816.63663813841</v>
      </c>
      <c r="AJ74" s="226">
        <f t="shared" si="131"/>
        <v>0.13766075721299789</v>
      </c>
      <c r="AK74" s="223">
        <f t="shared" si="132"/>
        <v>37704.159159534604</v>
      </c>
      <c r="AL74" s="224">
        <f t="shared" si="133"/>
        <v>1861.9337856560298</v>
      </c>
      <c r="AM74" s="365">
        <v>7405.95</v>
      </c>
      <c r="AN74" s="223">
        <f>AM74*'KiGa - PS'!L75</f>
        <v>6062.8489315367515</v>
      </c>
      <c r="AO74" s="226">
        <f t="shared" si="134"/>
        <v>5.5339808219294758E-3</v>
      </c>
      <c r="AP74" s="223">
        <f t="shared" si="135"/>
        <v>1515.7122328841879</v>
      </c>
      <c r="AQ74" s="224">
        <f t="shared" si="136"/>
        <v>74.849986809095697</v>
      </c>
      <c r="AR74" s="223">
        <f>Artengliederung!X74*'KiGa - PS'!L75</f>
        <v>105430.7157938672</v>
      </c>
      <c r="AS74" s="226">
        <f t="shared" si="137"/>
        <v>9.6233893642088592E-2</v>
      </c>
      <c r="AT74" s="223">
        <f t="shared" si="138"/>
        <v>26357.678948466801</v>
      </c>
      <c r="AU74" s="223">
        <f t="shared" si="139"/>
        <v>1301.6137752329284</v>
      </c>
      <c r="AV74" s="227">
        <f t="shared" si="140"/>
        <v>7.0830575726941541E-2</v>
      </c>
    </row>
    <row r="75" spans="1:48" x14ac:dyDescent="0.25">
      <c r="A75" s="365" t="s">
        <v>155</v>
      </c>
      <c r="B75" s="365" t="s">
        <v>34</v>
      </c>
      <c r="C75" s="328">
        <v>1</v>
      </c>
      <c r="D75" s="328">
        <f>Kennzahlen!H75</f>
        <v>24</v>
      </c>
      <c r="E75" s="223">
        <f>I75</f>
        <v>261290.15</v>
      </c>
      <c r="F75" s="223">
        <f t="shared" si="141"/>
        <v>261290.15</v>
      </c>
      <c r="G75" s="224">
        <f t="shared" si="120"/>
        <v>10887.089583333332</v>
      </c>
      <c r="H75" s="223">
        <f>I75-'KiGa - PS'!H76</f>
        <v>46557.449999999983</v>
      </c>
      <c r="I75" s="223">
        <f t="shared" si="143"/>
        <v>261290.15</v>
      </c>
      <c r="J75" s="365">
        <v>334528</v>
      </c>
      <c r="K75" s="365">
        <v>10262.200000000001</v>
      </c>
      <c r="L75" s="365">
        <v>0</v>
      </c>
      <c r="M75" s="365">
        <v>62975.65</v>
      </c>
      <c r="N75" s="365"/>
      <c r="O75" s="365"/>
      <c r="P75" s="365">
        <v>246728.35</v>
      </c>
      <c r="Q75" s="27">
        <f t="shared" si="142"/>
        <v>183752.7</v>
      </c>
      <c r="R75" s="223">
        <f>Q75</f>
        <v>183752.7</v>
      </c>
      <c r="S75" s="226">
        <f t="shared" si="122"/>
        <v>0.70325153856737432</v>
      </c>
      <c r="T75" s="223">
        <f t="shared" si="123"/>
        <v>183752.7</v>
      </c>
      <c r="U75" s="224">
        <f t="shared" si="124"/>
        <v>7656.3625000000002</v>
      </c>
      <c r="V75" s="365">
        <v>10865.95</v>
      </c>
      <c r="W75" s="223">
        <f>V75*'KiGa - PS'!L76</f>
        <v>10865.95</v>
      </c>
      <c r="X75" s="226">
        <f t="shared" si="125"/>
        <v>4.1585762035040358E-2</v>
      </c>
      <c r="Y75" s="223">
        <f t="shared" si="126"/>
        <v>10865.95</v>
      </c>
      <c r="Z75" s="224">
        <f t="shared" si="127"/>
        <v>452.7479166666667</v>
      </c>
      <c r="AA75" s="365">
        <v>32608.6</v>
      </c>
      <c r="AB75" s="365">
        <v>11630</v>
      </c>
      <c r="AC75" s="225">
        <f>Artengliederung!AE75</f>
        <v>13825</v>
      </c>
      <c r="AD75" s="223">
        <f>AC75*'KiGa - PS'!L76</f>
        <v>13825</v>
      </c>
      <c r="AE75" s="226">
        <f t="shared" si="128"/>
        <v>5.2910528774238144E-2</v>
      </c>
      <c r="AF75" s="223">
        <f t="shared" si="129"/>
        <v>13825</v>
      </c>
      <c r="AG75" s="224">
        <f t="shared" si="130"/>
        <v>576.04166666666663</v>
      </c>
      <c r="AH75" s="225">
        <f t="shared" si="119"/>
        <v>20978.6</v>
      </c>
      <c r="AI75" s="223">
        <f>AH75*'KiGa - PS'!L76</f>
        <v>20978.6</v>
      </c>
      <c r="AJ75" s="226">
        <f t="shared" si="131"/>
        <v>8.0288522165875745E-2</v>
      </c>
      <c r="AK75" s="223">
        <f t="shared" si="132"/>
        <v>20978.6</v>
      </c>
      <c r="AL75" s="224">
        <f t="shared" si="133"/>
        <v>874.10833333333323</v>
      </c>
      <c r="AM75" s="365">
        <v>489.9</v>
      </c>
      <c r="AN75" s="223">
        <f>AM75*'KiGa - PS'!L76</f>
        <v>489.9</v>
      </c>
      <c r="AO75" s="226">
        <f t="shared" si="134"/>
        <v>1.8749271643037442E-3</v>
      </c>
      <c r="AP75" s="223">
        <f t="shared" si="135"/>
        <v>489.9</v>
      </c>
      <c r="AQ75" s="224">
        <f t="shared" si="136"/>
        <v>20.412499999999998</v>
      </c>
      <c r="AR75" s="223">
        <f>Artengliederung!X75*'KiGa - PS'!L76</f>
        <v>13570.6</v>
      </c>
      <c r="AS75" s="226">
        <f t="shared" si="137"/>
        <v>5.1936898501531728E-2</v>
      </c>
      <c r="AT75" s="223">
        <f t="shared" si="138"/>
        <v>13570.6</v>
      </c>
      <c r="AU75" s="223">
        <f t="shared" si="139"/>
        <v>565.44166666666672</v>
      </c>
      <c r="AV75" s="227">
        <f t="shared" si="140"/>
        <v>6.8151822791635938E-2</v>
      </c>
    </row>
    <row r="76" spans="1:48" x14ac:dyDescent="0.25">
      <c r="A76" s="365" t="s">
        <v>156</v>
      </c>
      <c r="B76" s="365" t="s">
        <v>34</v>
      </c>
      <c r="C76" s="328">
        <v>2</v>
      </c>
      <c r="D76" s="328">
        <f>Kennzahlen!H76</f>
        <v>43</v>
      </c>
      <c r="E76" s="223">
        <f>'KiGa - PS'!F77+'KiGa - PS'!L77*Funktional!H76</f>
        <v>594244.35365897021</v>
      </c>
      <c r="F76" s="223">
        <f t="shared" si="141"/>
        <v>297122.17682948511</v>
      </c>
      <c r="G76" s="224">
        <f t="shared" si="120"/>
        <v>13819.636131603958</v>
      </c>
      <c r="H76" s="223">
        <f>I76-'KiGa - PS'!H77</f>
        <v>210114.94999999995</v>
      </c>
      <c r="I76" s="223">
        <f>J76-K76-L76-M76</f>
        <v>685086.7</v>
      </c>
      <c r="J76" s="365">
        <v>740336.6</v>
      </c>
      <c r="K76" s="365">
        <v>21135.05</v>
      </c>
      <c r="L76" s="365">
        <v>0</v>
      </c>
      <c r="M76" s="365">
        <v>34114.85</v>
      </c>
      <c r="N76" s="365"/>
      <c r="O76" s="365"/>
      <c r="P76" s="365">
        <v>474971.75</v>
      </c>
      <c r="Q76" s="27">
        <f t="shared" si="142"/>
        <v>440856.9</v>
      </c>
      <c r="R76" s="223">
        <f>(Q76-'KiGa - PS'!H77)*'KiGa - PS'!L77+'KiGa - PS'!F77</f>
        <v>382399.37163660786</v>
      </c>
      <c r="S76" s="226">
        <f t="shared" si="122"/>
        <v>0.64350526728952706</v>
      </c>
      <c r="T76" s="223">
        <f t="shared" si="123"/>
        <v>191199.68581830393</v>
      </c>
      <c r="U76" s="224">
        <f t="shared" si="124"/>
        <v>8893.0086427118113</v>
      </c>
      <c r="V76" s="365">
        <v>34750.9</v>
      </c>
      <c r="W76" s="223">
        <f>V76*'KiGa - PS'!L77</f>
        <v>30142.938272728854</v>
      </c>
      <c r="X76" s="226">
        <f t="shared" si="125"/>
        <v>5.0724820668683251E-2</v>
      </c>
      <c r="Y76" s="223">
        <f t="shared" si="126"/>
        <v>15071.469136364427</v>
      </c>
      <c r="Z76" s="224">
        <f t="shared" si="127"/>
        <v>700.9985644820664</v>
      </c>
      <c r="AA76" s="365">
        <v>81570.100000000006</v>
      </c>
      <c r="AB76" s="365">
        <v>25060</v>
      </c>
      <c r="AC76" s="225">
        <f>Artengliederung!AE76</f>
        <v>67488</v>
      </c>
      <c r="AD76" s="223">
        <f>AC76*'KiGa - PS'!L77</f>
        <v>58539.105984303278</v>
      </c>
      <c r="AE76" s="226">
        <f t="shared" si="128"/>
        <v>9.8510159371069397E-2</v>
      </c>
      <c r="AF76" s="223">
        <f t="shared" si="129"/>
        <v>29269.552992151639</v>
      </c>
      <c r="AG76" s="224">
        <f t="shared" si="130"/>
        <v>1361.3745577744949</v>
      </c>
      <c r="AH76" s="225">
        <f t="shared" si="119"/>
        <v>56510.100000000006</v>
      </c>
      <c r="AI76" s="223">
        <f>AH76*'KiGa - PS'!L77</f>
        <v>49016.873119422373</v>
      </c>
      <c r="AJ76" s="226">
        <f t="shared" si="131"/>
        <v>8.2486056144426695E-2</v>
      </c>
      <c r="AK76" s="223">
        <f t="shared" si="132"/>
        <v>24508.436559711186</v>
      </c>
      <c r="AL76" s="224">
        <f t="shared" si="133"/>
        <v>1139.927281847032</v>
      </c>
      <c r="AM76" s="365">
        <v>3081.8</v>
      </c>
      <c r="AN76" s="223">
        <f>AM76*'KiGa - PS'!L77</f>
        <v>2673.1539951165519</v>
      </c>
      <c r="AO76" s="226">
        <f t="shared" si="134"/>
        <v>4.498408741550523E-3</v>
      </c>
      <c r="AP76" s="223">
        <f t="shared" si="135"/>
        <v>1336.5769975582759</v>
      </c>
      <c r="AQ76" s="224">
        <f t="shared" si="136"/>
        <v>62.166371979454695</v>
      </c>
      <c r="AR76" s="223">
        <f>Artengliederung!X76*'KiGa - PS'!L77</f>
        <v>35234.534188633326</v>
      </c>
      <c r="AS76" s="226">
        <f t="shared" si="137"/>
        <v>5.9293006272052876E-2</v>
      </c>
      <c r="AT76" s="223">
        <f t="shared" si="138"/>
        <v>17617.267094316663</v>
      </c>
      <c r="AU76" s="223">
        <f t="shared" si="139"/>
        <v>819.40777182868203</v>
      </c>
      <c r="AV76" s="227">
        <f t="shared" si="140"/>
        <v>6.0982281512690223E-2</v>
      </c>
    </row>
    <row r="77" spans="1:48" x14ac:dyDescent="0.25">
      <c r="A77" s="365" t="s">
        <v>157</v>
      </c>
      <c r="B77" s="365" t="s">
        <v>34</v>
      </c>
      <c r="C77" s="328">
        <v>5</v>
      </c>
      <c r="D77" s="328">
        <f>Kennzahlen!H77</f>
        <v>113</v>
      </c>
      <c r="E77" s="223">
        <f>'KiGa - PS'!F78+'KiGa - PS'!L78*Funktional!H77</f>
        <v>1157429.8466164214</v>
      </c>
      <c r="F77" s="223">
        <f t="shared" si="141"/>
        <v>231485.96932328428</v>
      </c>
      <c r="G77" s="224">
        <f t="shared" si="120"/>
        <v>10242.742005455057</v>
      </c>
      <c r="H77" s="223">
        <f>I77-'KiGa - PS'!H78</f>
        <v>601646.35000000009</v>
      </c>
      <c r="I77" s="223">
        <f t="shared" si="143"/>
        <v>1426126.2</v>
      </c>
      <c r="J77" s="365">
        <v>1467217.95</v>
      </c>
      <c r="K77" s="365">
        <v>28908</v>
      </c>
      <c r="L77" s="365">
        <v>0</v>
      </c>
      <c r="M77" s="365">
        <v>12183.75</v>
      </c>
      <c r="N77" s="365"/>
      <c r="O77" s="365"/>
      <c r="P77" s="365">
        <v>838986.9</v>
      </c>
      <c r="Q77" s="27">
        <f t="shared" si="142"/>
        <v>826803.15</v>
      </c>
      <c r="R77" s="223">
        <f>(Q77-'KiGa - PS'!H78)*'KiGa - PS'!L78+'KiGa - PS'!F78</f>
        <v>671025.21718377655</v>
      </c>
      <c r="S77" s="226">
        <f t="shared" si="122"/>
        <v>0.5797545476690632</v>
      </c>
      <c r="T77" s="223">
        <f t="shared" si="123"/>
        <v>134205.04343675531</v>
      </c>
      <c r="U77" s="224">
        <f t="shared" si="124"/>
        <v>5938.2762582635096</v>
      </c>
      <c r="V77" s="365">
        <v>79289.850000000006</v>
      </c>
      <c r="W77" s="223">
        <f>V77*'KiGa - PS'!L78</f>
        <v>64350.854029425347</v>
      </c>
      <c r="X77" s="226">
        <f t="shared" si="125"/>
        <v>5.5598059975337386E-2</v>
      </c>
      <c r="Y77" s="223">
        <f t="shared" si="126"/>
        <v>12870.170805885069</v>
      </c>
      <c r="Z77" s="224">
        <f t="shared" si="127"/>
        <v>569.47658433119773</v>
      </c>
      <c r="AA77" s="365">
        <v>140786.35</v>
      </c>
      <c r="AB77" s="365">
        <v>13090.85</v>
      </c>
      <c r="AC77" s="225">
        <f>Artengliederung!AE77</f>
        <v>228786</v>
      </c>
      <c r="AD77" s="223">
        <f>AC77*'KiGa - PS'!L78</f>
        <v>185680.44320901233</v>
      </c>
      <c r="AE77" s="226">
        <f t="shared" si="128"/>
        <v>0.16042479270067403</v>
      </c>
      <c r="AF77" s="223">
        <f t="shared" si="129"/>
        <v>37136.088641802467</v>
      </c>
      <c r="AG77" s="224">
        <f t="shared" si="130"/>
        <v>1643.1897629116136</v>
      </c>
      <c r="AH77" s="225">
        <f t="shared" si="119"/>
        <v>127695.5</v>
      </c>
      <c r="AI77" s="223">
        <f>AH77*'KiGa - PS'!L78</f>
        <v>103636.39836264646</v>
      </c>
      <c r="AJ77" s="226">
        <f t="shared" si="131"/>
        <v>8.9540112228497018E-2</v>
      </c>
      <c r="AK77" s="223">
        <f t="shared" si="132"/>
        <v>20727.279672529294</v>
      </c>
      <c r="AL77" s="224">
        <f t="shared" si="133"/>
        <v>917.13626869598636</v>
      </c>
      <c r="AM77" s="365">
        <v>3350.25</v>
      </c>
      <c r="AN77" s="223">
        <f>AM77*'KiGa - PS'!L78</f>
        <v>2719.0295947347895</v>
      </c>
      <c r="AO77" s="226">
        <f t="shared" si="134"/>
        <v>2.3491960248679254E-3</v>
      </c>
      <c r="AP77" s="223">
        <f t="shared" si="135"/>
        <v>543.80591894695795</v>
      </c>
      <c r="AQ77" s="224">
        <f t="shared" si="136"/>
        <v>24.06220880296274</v>
      </c>
      <c r="AR77" s="223">
        <f>Artengliederung!X77*'KiGa - PS'!L78</f>
        <v>104563.76174341617</v>
      </c>
      <c r="AS77" s="226">
        <f t="shared" si="137"/>
        <v>9.0341338655723441E-2</v>
      </c>
      <c r="AT77" s="223">
        <f t="shared" si="138"/>
        <v>20912.752348683232</v>
      </c>
      <c r="AU77" s="223">
        <f t="shared" si="139"/>
        <v>925.34302427801913</v>
      </c>
      <c r="AV77" s="227">
        <f t="shared" si="140"/>
        <v>2.1991952745836998E-2</v>
      </c>
    </row>
    <row r="78" spans="1:48" x14ac:dyDescent="0.25">
      <c r="A78" s="365" t="s">
        <v>158</v>
      </c>
      <c r="B78" s="365" t="s">
        <v>34</v>
      </c>
      <c r="C78" s="328">
        <v>2.5</v>
      </c>
      <c r="D78" s="328">
        <f>Kennzahlen!H78</f>
        <v>53</v>
      </c>
      <c r="E78" s="223">
        <f>'KiGa - PS'!F79+'KiGa - PS'!L79*Funktional!H78</f>
        <v>461098.81114649674</v>
      </c>
      <c r="F78" s="223">
        <f t="shared" si="141"/>
        <v>184439.52445859869</v>
      </c>
      <c r="G78" s="224">
        <f t="shared" si="120"/>
        <v>8699.9775688018253</v>
      </c>
      <c r="H78" s="223">
        <f>I78-'KiGa - PS'!H79</f>
        <v>138995.99999999994</v>
      </c>
      <c r="I78" s="223">
        <f t="shared" si="143"/>
        <v>562801.79999999993</v>
      </c>
      <c r="J78" s="365">
        <v>594895.6</v>
      </c>
      <c r="K78" s="365">
        <v>19299.8</v>
      </c>
      <c r="L78" s="365">
        <v>0</v>
      </c>
      <c r="M78" s="365">
        <v>12794</v>
      </c>
      <c r="N78" s="365"/>
      <c r="O78" s="365"/>
      <c r="P78" s="365">
        <v>455167.6</v>
      </c>
      <c r="Q78" s="27">
        <f t="shared" si="142"/>
        <v>442373.6</v>
      </c>
      <c r="R78" s="223">
        <f>(Q78-'KiGa - PS'!H79)*'KiGa - PS'!L79+'KiGa - PS'!F79</f>
        <v>362432.99336035515</v>
      </c>
      <c r="S78" s="226">
        <f t="shared" si="122"/>
        <v>0.78602022950175365</v>
      </c>
      <c r="T78" s="223">
        <f t="shared" si="123"/>
        <v>144973.19734414207</v>
      </c>
      <c r="U78" s="224">
        <f t="shared" si="124"/>
        <v>6838.3583652897196</v>
      </c>
      <c r="V78" s="365">
        <v>32991.15</v>
      </c>
      <c r="W78" s="223">
        <f>V78*'KiGa - PS'!L79</f>
        <v>27029.373472785177</v>
      </c>
      <c r="X78" s="226">
        <f t="shared" si="125"/>
        <v>5.8619482027242993E-2</v>
      </c>
      <c r="Y78" s="223">
        <f t="shared" si="126"/>
        <v>10811.749389114071</v>
      </c>
      <c r="Z78" s="224">
        <f t="shared" si="127"/>
        <v>509.98817873179581</v>
      </c>
      <c r="AA78" s="365">
        <v>48242.15</v>
      </c>
      <c r="AB78" s="365">
        <v>0</v>
      </c>
      <c r="AC78" s="225">
        <f>Artengliederung!AE78</f>
        <v>6000</v>
      </c>
      <c r="AD78" s="223">
        <f>AC78*'KiGa - PS'!L79</f>
        <v>4915.7498552403013</v>
      </c>
      <c r="AE78" s="226">
        <f t="shared" si="128"/>
        <v>1.0660946713390044E-2</v>
      </c>
      <c r="AF78" s="223">
        <f t="shared" si="129"/>
        <v>1966.2999420961205</v>
      </c>
      <c r="AG78" s="224">
        <f t="shared" si="130"/>
        <v>92.749997268684936</v>
      </c>
      <c r="AH78" s="225">
        <f t="shared" si="119"/>
        <v>48242.15</v>
      </c>
      <c r="AI78" s="223">
        <f>AH78*'KiGa - PS'!L79</f>
        <v>39524.39031316348</v>
      </c>
      <c r="AJ78" s="226">
        <f t="shared" si="131"/>
        <v>8.5717831748228251E-2</v>
      </c>
      <c r="AK78" s="223">
        <f t="shared" si="132"/>
        <v>15809.756125265392</v>
      </c>
      <c r="AL78" s="224">
        <f t="shared" si="133"/>
        <v>745.74321345591466</v>
      </c>
      <c r="AM78" s="365">
        <v>1517.5</v>
      </c>
      <c r="AN78" s="223">
        <f>AM78*'KiGa - PS'!L79</f>
        <v>1243.275067554526</v>
      </c>
      <c r="AO78" s="226">
        <f t="shared" si="134"/>
        <v>2.6963311062615652E-3</v>
      </c>
      <c r="AP78" s="223">
        <f t="shared" si="135"/>
        <v>497.31002702181041</v>
      </c>
      <c r="AQ78" s="224">
        <f t="shared" si="136"/>
        <v>23.458020142538228</v>
      </c>
      <c r="AR78" s="223">
        <f>Artengliederung!X78*'KiGa - PS'!L79</f>
        <v>5828.3997804477895</v>
      </c>
      <c r="AS78" s="226">
        <f t="shared" si="137"/>
        <v>1.2640240311953516E-2</v>
      </c>
      <c r="AT78" s="223">
        <f t="shared" si="138"/>
        <v>2331.3599121791158</v>
      </c>
      <c r="AU78" s="223">
        <f t="shared" si="139"/>
        <v>109.96980717826018</v>
      </c>
      <c r="AV78" s="227">
        <f t="shared" si="140"/>
        <v>4.3644938591169982E-2</v>
      </c>
    </row>
    <row r="79" spans="1:48" x14ac:dyDescent="0.25">
      <c r="A79" s="365" t="s">
        <v>159</v>
      </c>
      <c r="B79" s="365" t="s">
        <v>34</v>
      </c>
      <c r="C79" s="328">
        <v>7</v>
      </c>
      <c r="D79" s="328">
        <f>Kennzahlen!H79</f>
        <v>160</v>
      </c>
      <c r="E79" s="223">
        <f>'KiGa - PS'!F80+'KiGa - PS'!L80*Funktional!H79</f>
        <v>1831398.1874586465</v>
      </c>
      <c r="F79" s="223">
        <f t="shared" si="141"/>
        <v>261628.31249409236</v>
      </c>
      <c r="G79" s="224">
        <f t="shared" si="120"/>
        <v>11446.23867161654</v>
      </c>
      <c r="H79" s="223">
        <f>I79-'KiGa - PS'!H80</f>
        <v>593600.80000000005</v>
      </c>
      <c r="I79" s="223">
        <f t="shared" si="143"/>
        <v>2056511.25</v>
      </c>
      <c r="J79" s="365">
        <v>2206350.5499999998</v>
      </c>
      <c r="K79" s="365">
        <v>124140.15</v>
      </c>
      <c r="L79" s="365">
        <v>0</v>
      </c>
      <c r="M79" s="365">
        <v>25699.15</v>
      </c>
      <c r="N79" s="365"/>
      <c r="O79" s="365"/>
      <c r="P79" s="365">
        <v>1463106.05</v>
      </c>
      <c r="Q79" s="27">
        <f t="shared" si="142"/>
        <v>1437406.9000000001</v>
      </c>
      <c r="R79" s="223">
        <f>(Q79-'KiGa - PS'!H80)*'KiGa - PS'!L80+'KiGa - PS'!F80</f>
        <v>1280063.2096228756</v>
      </c>
      <c r="S79" s="226">
        <f t="shared" si="122"/>
        <v>0.69895406601835997</v>
      </c>
      <c r="T79" s="223">
        <f t="shared" si="123"/>
        <v>182866.17280326792</v>
      </c>
      <c r="U79" s="224">
        <f t="shared" si="124"/>
        <v>8000.3950601429724</v>
      </c>
      <c r="V79" s="365">
        <v>98693.2</v>
      </c>
      <c r="W79" s="223">
        <f>V79*'KiGa - PS'!L80</f>
        <v>87889.890023452899</v>
      </c>
      <c r="X79" s="226">
        <f t="shared" si="125"/>
        <v>4.7990595723704392E-2</v>
      </c>
      <c r="Y79" s="223">
        <f t="shared" si="126"/>
        <v>12555.698574778986</v>
      </c>
      <c r="Z79" s="224">
        <f t="shared" si="127"/>
        <v>549.31181264658062</v>
      </c>
      <c r="AA79" s="365">
        <v>261651.25</v>
      </c>
      <c r="AB79" s="365">
        <v>44467</v>
      </c>
      <c r="AC79" s="225">
        <f>Artengliederung!AE79</f>
        <v>107000</v>
      </c>
      <c r="AD79" s="223">
        <f>AC79*'KiGa - PS'!L80</f>
        <v>95287.398042716828</v>
      </c>
      <c r="AE79" s="226">
        <f t="shared" si="128"/>
        <v>5.2029863682972792E-2</v>
      </c>
      <c r="AF79" s="223">
        <f t="shared" si="129"/>
        <v>13612.485434673832</v>
      </c>
      <c r="AG79" s="224">
        <f t="shared" si="130"/>
        <v>595.5462377669802</v>
      </c>
      <c r="AH79" s="225">
        <f t="shared" si="119"/>
        <v>217184.25</v>
      </c>
      <c r="AI79" s="223">
        <f>AH79*'KiGa - PS'!L80</f>
        <v>193410.4867136348</v>
      </c>
      <c r="AJ79" s="226">
        <f t="shared" si="131"/>
        <v>0.10560810207092229</v>
      </c>
      <c r="AK79" s="223">
        <f t="shared" si="132"/>
        <v>27630.069530519257</v>
      </c>
      <c r="AL79" s="224">
        <f t="shared" si="133"/>
        <v>1208.8155419602176</v>
      </c>
      <c r="AM79" s="365">
        <v>7933.5</v>
      </c>
      <c r="AN79" s="223">
        <f>AM79*'KiGa - PS'!L80</f>
        <v>7065.0707698307851</v>
      </c>
      <c r="AO79" s="226">
        <f t="shared" si="134"/>
        <v>3.857746948867894E-3</v>
      </c>
      <c r="AP79" s="223">
        <f t="shared" si="135"/>
        <v>1009.2958242615407</v>
      </c>
      <c r="AQ79" s="224">
        <f t="shared" si="136"/>
        <v>44.156692311442406</v>
      </c>
      <c r="AR79" s="223">
        <f>Artengliederung!X79*'KiGa - PS'!L80</f>
        <v>56368.551589993091</v>
      </c>
      <c r="AS79" s="226">
        <f t="shared" si="137"/>
        <v>3.0778970939254524E-2</v>
      </c>
      <c r="AT79" s="223">
        <f t="shared" si="138"/>
        <v>8052.6502271418703</v>
      </c>
      <c r="AU79" s="223">
        <f t="shared" si="139"/>
        <v>352.30344743745684</v>
      </c>
      <c r="AV79" s="227">
        <f t="shared" si="140"/>
        <v>6.0780654615918112E-2</v>
      </c>
    </row>
    <row r="80" spans="1:48" x14ac:dyDescent="0.25">
      <c r="A80" s="365" t="s">
        <v>160</v>
      </c>
      <c r="B80" s="365" t="s">
        <v>34</v>
      </c>
      <c r="C80" s="328">
        <v>4</v>
      </c>
      <c r="D80" s="328">
        <f>Kennzahlen!H80</f>
        <v>106</v>
      </c>
      <c r="E80" s="223">
        <f>'KiGa - PS'!F81+'KiGa - PS'!L81*Funktional!H80</f>
        <v>920598.59015859407</v>
      </c>
      <c r="F80" s="223">
        <f t="shared" si="141"/>
        <v>230149.64753964852</v>
      </c>
      <c r="G80" s="224">
        <f t="shared" si="120"/>
        <v>8684.8923599867358</v>
      </c>
      <c r="H80" s="223">
        <f>I80-'KiGa - PS'!H81</f>
        <v>544465.38000000012</v>
      </c>
      <c r="I80" s="223">
        <f t="shared" si="143"/>
        <v>1281378.83</v>
      </c>
      <c r="J80" s="365">
        <v>1325266.03</v>
      </c>
      <c r="K80" s="365">
        <v>28291.9</v>
      </c>
      <c r="L80" s="365">
        <v>0</v>
      </c>
      <c r="M80" s="365">
        <v>15595.3</v>
      </c>
      <c r="N80" s="365"/>
      <c r="O80" s="365"/>
      <c r="P80" s="365">
        <v>752503.5</v>
      </c>
      <c r="Q80" s="27">
        <f t="shared" si="142"/>
        <v>736908.2</v>
      </c>
      <c r="R80" s="223">
        <f>(Q80-'KiGa - PS'!H81)*'KiGa - PS'!L81+'KiGa - PS'!F81</f>
        <v>529427.07817040116</v>
      </c>
      <c r="S80" s="226">
        <f t="shared" si="122"/>
        <v>0.57509003797105018</v>
      </c>
      <c r="T80" s="223">
        <f t="shared" si="123"/>
        <v>132356.76954260029</v>
      </c>
      <c r="U80" s="224">
        <f t="shared" si="124"/>
        <v>4994.595077079256</v>
      </c>
      <c r="V80" s="365">
        <v>46155.37</v>
      </c>
      <c r="W80" s="223">
        <f>V80*'KiGa - PS'!L81</f>
        <v>33160.036326063127</v>
      </c>
      <c r="X80" s="226">
        <f t="shared" si="125"/>
        <v>3.6020081586645221E-2</v>
      </c>
      <c r="Y80" s="223">
        <f t="shared" si="126"/>
        <v>8290.0090815157819</v>
      </c>
      <c r="Z80" s="224">
        <f t="shared" si="127"/>
        <v>312.83053137795406</v>
      </c>
      <c r="AA80" s="365">
        <v>110461.99</v>
      </c>
      <c r="AB80" s="365">
        <v>1750</v>
      </c>
      <c r="AC80" s="225">
        <f>Artengliederung!AE80</f>
        <v>111222.82</v>
      </c>
      <c r="AD80" s="223">
        <f>AC80*'KiGa - PS'!L81</f>
        <v>79907.338008278995</v>
      </c>
      <c r="AE80" s="226">
        <f t="shared" si="128"/>
        <v>8.6799326940651886E-2</v>
      </c>
      <c r="AF80" s="223">
        <f t="shared" si="129"/>
        <v>19976.834502069749</v>
      </c>
      <c r="AG80" s="224">
        <f t="shared" si="130"/>
        <v>753.84281139885843</v>
      </c>
      <c r="AH80" s="225">
        <f t="shared" si="119"/>
        <v>108711.99</v>
      </c>
      <c r="AI80" s="223">
        <f>AH80*'KiGa - PS'!L81</f>
        <v>78103.447929864094</v>
      </c>
      <c r="AJ80" s="226">
        <f t="shared" si="131"/>
        <v>8.4839851771236138E-2</v>
      </c>
      <c r="AK80" s="223">
        <f t="shared" si="132"/>
        <v>19525.861982466024</v>
      </c>
      <c r="AL80" s="224">
        <f t="shared" si="133"/>
        <v>736.82498047041599</v>
      </c>
      <c r="AM80" s="365">
        <v>4272.8</v>
      </c>
      <c r="AN80" s="223">
        <f>AM80*'KiGa - PS'!L81</f>
        <v>3069.7663828499808</v>
      </c>
      <c r="AO80" s="226">
        <f t="shared" si="134"/>
        <v>3.3345330045760155E-3</v>
      </c>
      <c r="AP80" s="223">
        <f t="shared" si="135"/>
        <v>767.4415957124952</v>
      </c>
      <c r="AQ80" s="224">
        <f t="shared" si="136"/>
        <v>28.960060215565857</v>
      </c>
      <c r="AR80" s="223">
        <f>Artengliederung!X80*'KiGa - PS'!L81</f>
        <v>36030.456126285928</v>
      </c>
      <c r="AS80" s="226">
        <f t="shared" si="137"/>
        <v>3.9138074413169438E-2</v>
      </c>
      <c r="AT80" s="223">
        <f t="shared" si="138"/>
        <v>9007.614031571482</v>
      </c>
      <c r="AU80" s="223">
        <f t="shared" si="139"/>
        <v>339.90996345552765</v>
      </c>
      <c r="AV80" s="227">
        <f t="shared" si="140"/>
        <v>0.17477809431267111</v>
      </c>
    </row>
    <row r="81" spans="1:48" x14ac:dyDescent="0.25">
      <c r="A81" s="365" t="s">
        <v>161</v>
      </c>
      <c r="B81" s="365" t="s">
        <v>34</v>
      </c>
      <c r="C81" s="328">
        <v>4</v>
      </c>
      <c r="D81" s="328">
        <f>Kennzahlen!H81</f>
        <v>82</v>
      </c>
      <c r="E81" s="223">
        <f>'KiGa - PS'!F82+'KiGa - PS'!L82*Funktional!H81</f>
        <v>713951.49577191391</v>
      </c>
      <c r="F81" s="223">
        <f t="shared" si="141"/>
        <v>178487.87394297848</v>
      </c>
      <c r="G81" s="224">
        <f t="shared" si="120"/>
        <v>8706.7255581940717</v>
      </c>
      <c r="H81" s="223">
        <f>I81-'KiGa - PS'!H82</f>
        <v>172899.10000000009</v>
      </c>
      <c r="I81" s="223">
        <f t="shared" si="143"/>
        <v>801493.20000000007</v>
      </c>
      <c r="J81" s="365">
        <v>816729.3</v>
      </c>
      <c r="K81" s="365">
        <v>7529.2</v>
      </c>
      <c r="L81" s="365">
        <v>0</v>
      </c>
      <c r="M81" s="365">
        <v>7706.9</v>
      </c>
      <c r="N81" s="365"/>
      <c r="O81" s="365"/>
      <c r="P81" s="365">
        <v>629855.65</v>
      </c>
      <c r="Q81" s="27">
        <f t="shared" si="142"/>
        <v>622148.75</v>
      </c>
      <c r="R81" s="223">
        <f>(Q81-'KiGa - PS'!H82)*'KiGa - PS'!L82+'KiGa - PS'!F82</f>
        <v>554195.63217146008</v>
      </c>
      <c r="S81" s="226">
        <f t="shared" si="122"/>
        <v>0.77623709096970495</v>
      </c>
      <c r="T81" s="223">
        <f t="shared" si="123"/>
        <v>138548.90804286502</v>
      </c>
      <c r="U81" s="224">
        <f t="shared" si="124"/>
        <v>6758.4833191641474</v>
      </c>
      <c r="V81" s="365">
        <v>34315.699999999997</v>
      </c>
      <c r="W81" s="223">
        <f>V81*'KiGa - PS'!L82</f>
        <v>30567.627203150649</v>
      </c>
      <c r="X81" s="226">
        <f t="shared" si="125"/>
        <v>4.2814711341281494E-2</v>
      </c>
      <c r="Y81" s="223">
        <f t="shared" si="126"/>
        <v>7641.9068007876622</v>
      </c>
      <c r="Z81" s="224">
        <f t="shared" si="127"/>
        <v>372.77594150183717</v>
      </c>
      <c r="AA81" s="365">
        <v>102595.7</v>
      </c>
      <c r="AB81" s="365">
        <v>17730</v>
      </c>
      <c r="AC81" s="225">
        <f>Artengliederung!AE81</f>
        <v>17800</v>
      </c>
      <c r="AD81" s="223">
        <f>AC81*'KiGa - PS'!L82</f>
        <v>15855.825881916486</v>
      </c>
      <c r="AE81" s="226">
        <f t="shared" si="128"/>
        <v>2.2208547745632773E-2</v>
      </c>
      <c r="AF81" s="223">
        <f t="shared" si="129"/>
        <v>3963.9564704791214</v>
      </c>
      <c r="AG81" s="224">
        <f t="shared" si="130"/>
        <v>193.36373026727421</v>
      </c>
      <c r="AH81" s="225">
        <f t="shared" si="119"/>
        <v>84865.7</v>
      </c>
      <c r="AI81" s="223">
        <f>AH81*'KiGa - PS'!L82</f>
        <v>75596.391154323588</v>
      </c>
      <c r="AJ81" s="226">
        <f t="shared" si="131"/>
        <v>0.10588449159643525</v>
      </c>
      <c r="AK81" s="223">
        <f t="shared" si="132"/>
        <v>18899.097788580897</v>
      </c>
      <c r="AL81" s="224">
        <f t="shared" si="133"/>
        <v>921.90720919906812</v>
      </c>
      <c r="AM81" s="365">
        <v>5134.55</v>
      </c>
      <c r="AN81" s="223">
        <f>AM81*'KiGa - PS'!L82</f>
        <v>4573.7376843817019</v>
      </c>
      <c r="AO81" s="226">
        <f t="shared" si="134"/>
        <v>6.4062302711988071E-3</v>
      </c>
      <c r="AP81" s="223">
        <f t="shared" si="135"/>
        <v>1143.4344210954255</v>
      </c>
      <c r="AQ81" s="224">
        <f t="shared" si="136"/>
        <v>55.777288833923194</v>
      </c>
      <c r="AR81" s="223">
        <f>Artengliederung!X81*'KiGa - PS'!L82</f>
        <v>9883.7023401905935</v>
      </c>
      <c r="AS81" s="226">
        <f t="shared" si="137"/>
        <v>1.3843660807103541E-2</v>
      </c>
      <c r="AT81" s="223">
        <f t="shared" si="138"/>
        <v>2470.9255850476484</v>
      </c>
      <c r="AU81" s="223">
        <f t="shared" si="139"/>
        <v>120.53295536817797</v>
      </c>
      <c r="AV81" s="227">
        <f t="shared" si="140"/>
        <v>3.2605267268643184E-2</v>
      </c>
    </row>
    <row r="82" spans="1:48" x14ac:dyDescent="0.25">
      <c r="A82" s="365" t="s">
        <v>162</v>
      </c>
      <c r="B82" s="365" t="s">
        <v>34</v>
      </c>
      <c r="C82" s="328">
        <v>11</v>
      </c>
      <c r="D82" s="328">
        <f>Kennzahlen!H82</f>
        <v>217</v>
      </c>
      <c r="E82" s="223">
        <f>'KiGa - PS'!F83+'KiGa - PS'!L83*Funktional!H82</f>
        <v>2144792.7492858539</v>
      </c>
      <c r="F82" s="223">
        <f t="shared" si="141"/>
        <v>194981.15902598671</v>
      </c>
      <c r="G82" s="224">
        <f t="shared" si="120"/>
        <v>9883.8375543126913</v>
      </c>
      <c r="H82" s="223">
        <f>I82-'KiGa - PS'!H83</f>
        <v>859877.75000000023</v>
      </c>
      <c r="I82" s="223">
        <f t="shared" si="143"/>
        <v>2731339.3000000003</v>
      </c>
      <c r="J82" s="365">
        <v>2867511.95</v>
      </c>
      <c r="K82" s="365">
        <v>110763.75</v>
      </c>
      <c r="L82" s="365">
        <v>0</v>
      </c>
      <c r="M82" s="365">
        <v>25408.9</v>
      </c>
      <c r="N82" s="365"/>
      <c r="O82" s="365"/>
      <c r="P82" s="365">
        <v>1877898.85</v>
      </c>
      <c r="Q82" s="27">
        <f t="shared" si="142"/>
        <v>1852489.9500000002</v>
      </c>
      <c r="R82" s="223">
        <f>(Q82-'KiGa - PS'!H83)*'KiGa - PS'!L83+'KiGa - PS'!F83</f>
        <v>1454673.5416156147</v>
      </c>
      <c r="S82" s="226">
        <f t="shared" si="122"/>
        <v>0.67823501459522073</v>
      </c>
      <c r="T82" s="223">
        <f t="shared" si="123"/>
        <v>132243.04923778315</v>
      </c>
      <c r="U82" s="224">
        <f t="shared" si="124"/>
        <v>6703.5647079060582</v>
      </c>
      <c r="V82" s="365">
        <v>135308.85</v>
      </c>
      <c r="W82" s="223">
        <f>V82*'KiGa - PS'!L83</f>
        <v>106251.69871579383</v>
      </c>
      <c r="X82" s="226">
        <f t="shared" si="125"/>
        <v>4.9539377989398829E-2</v>
      </c>
      <c r="Y82" s="223">
        <f t="shared" si="126"/>
        <v>9659.2453377994389</v>
      </c>
      <c r="Z82" s="224">
        <f t="shared" si="127"/>
        <v>489.63916458891163</v>
      </c>
      <c r="AA82" s="365">
        <v>312300.7</v>
      </c>
      <c r="AB82" s="365">
        <v>4835.7</v>
      </c>
      <c r="AC82" s="225">
        <f>Artengliederung!AE82</f>
        <v>41560</v>
      </c>
      <c r="AD82" s="223">
        <f>AC82*'KiGa - PS'!L83</f>
        <v>32635.120309044021</v>
      </c>
      <c r="AE82" s="226">
        <f t="shared" si="128"/>
        <v>1.5215978476200301E-2</v>
      </c>
      <c r="AF82" s="223">
        <f t="shared" si="129"/>
        <v>2966.8291190040018</v>
      </c>
      <c r="AG82" s="224">
        <f t="shared" si="130"/>
        <v>150.39225948868213</v>
      </c>
      <c r="AH82" s="225">
        <f t="shared" si="119"/>
        <v>307465</v>
      </c>
      <c r="AI82" s="223">
        <f>AH82*'KiGa - PS'!L83</f>
        <v>241437.8552892257</v>
      </c>
      <c r="AJ82" s="226">
        <f t="shared" si="131"/>
        <v>0.11256931718443035</v>
      </c>
      <c r="AK82" s="223">
        <f t="shared" si="132"/>
        <v>21948.895935384153</v>
      </c>
      <c r="AL82" s="224">
        <f t="shared" si="133"/>
        <v>1112.6168446508098</v>
      </c>
      <c r="AM82" s="365">
        <v>13378.05</v>
      </c>
      <c r="AN82" s="223">
        <f>AM82*'KiGa - PS'!L83</f>
        <v>10505.15570862383</v>
      </c>
      <c r="AO82" s="226">
        <f t="shared" si="134"/>
        <v>4.8979817337230858E-3</v>
      </c>
      <c r="AP82" s="223">
        <f t="shared" si="135"/>
        <v>955.01415532943906</v>
      </c>
      <c r="AQ82" s="224">
        <f t="shared" si="136"/>
        <v>48.410855800109815</v>
      </c>
      <c r="AR82" s="223">
        <f>Artengliederung!X82*'KiGa - PS'!L83</f>
        <v>196196.63450767798</v>
      </c>
      <c r="AS82" s="226">
        <f t="shared" si="137"/>
        <v>9.1475800901045137E-2</v>
      </c>
      <c r="AT82" s="223">
        <f t="shared" si="138"/>
        <v>17836.057682516181</v>
      </c>
      <c r="AU82" s="223">
        <f t="shared" si="139"/>
        <v>904.13195625658057</v>
      </c>
      <c r="AV82" s="227">
        <f t="shared" si="140"/>
        <v>4.8066529119981563E-2</v>
      </c>
    </row>
    <row r="83" spans="1:48" x14ac:dyDescent="0.25">
      <c r="A83" s="365" t="s">
        <v>163</v>
      </c>
      <c r="B83" s="365" t="s">
        <v>34</v>
      </c>
      <c r="C83" s="328">
        <v>3</v>
      </c>
      <c r="D83" s="328">
        <f>Kennzahlen!H83</f>
        <v>57</v>
      </c>
      <c r="E83" s="223">
        <f>'KiGa - PS'!F84+'KiGa - PS'!L84*Funktional!H83</f>
        <v>791952.5733895743</v>
      </c>
      <c r="F83" s="223">
        <f t="shared" si="141"/>
        <v>263984.19112985808</v>
      </c>
      <c r="G83" s="224">
        <f t="shared" si="120"/>
        <v>13893.904796308321</v>
      </c>
      <c r="H83" s="223">
        <f>I83-'KiGa - PS'!H84</f>
        <v>406790.44999999995</v>
      </c>
      <c r="I83" s="223">
        <f t="shared" si="143"/>
        <v>912483.6</v>
      </c>
      <c r="J83" s="365">
        <v>975051</v>
      </c>
      <c r="K83" s="365">
        <v>49137.8</v>
      </c>
      <c r="L83" s="365">
        <v>0</v>
      </c>
      <c r="M83" s="365">
        <v>13429.6</v>
      </c>
      <c r="N83" s="365"/>
      <c r="O83" s="365"/>
      <c r="P83" s="365">
        <v>513672.85</v>
      </c>
      <c r="Q83" s="27">
        <f t="shared" si="142"/>
        <v>500243.25</v>
      </c>
      <c r="R83" s="223">
        <f>(Q83-'KiGa - PS'!H84)*'KiGa - PS'!L84+'KiGa - PS'!F84</f>
        <v>434165.53366905905</v>
      </c>
      <c r="S83" s="226">
        <f t="shared" si="122"/>
        <v>0.54822163379155531</v>
      </c>
      <c r="T83" s="223">
        <f t="shared" si="123"/>
        <v>144721.84455635303</v>
      </c>
      <c r="U83" s="224">
        <f t="shared" si="124"/>
        <v>7616.9391871764747</v>
      </c>
      <c r="V83" s="365">
        <v>26712.400000000001</v>
      </c>
      <c r="W83" s="223">
        <f>V83*'KiGa - PS'!L84</f>
        <v>23183.927822277208</v>
      </c>
      <c r="X83" s="226">
        <f t="shared" si="125"/>
        <v>2.9274389150665287E-2</v>
      </c>
      <c r="Y83" s="223">
        <f t="shared" si="126"/>
        <v>7727.9759407590691</v>
      </c>
      <c r="Z83" s="224">
        <f t="shared" si="127"/>
        <v>406.7355758294247</v>
      </c>
      <c r="AA83" s="365">
        <v>60493.9</v>
      </c>
      <c r="AB83" s="365">
        <v>12600</v>
      </c>
      <c r="AC83" s="225">
        <f>Artengliederung!AE83</f>
        <v>111381</v>
      </c>
      <c r="AD83" s="223">
        <f>AC83*'KiGa - PS'!L84</f>
        <v>96668.55335997729</v>
      </c>
      <c r="AE83" s="226">
        <f t="shared" si="128"/>
        <v>0.1220635636629524</v>
      </c>
      <c r="AF83" s="223">
        <f t="shared" si="129"/>
        <v>32222.851119992429</v>
      </c>
      <c r="AG83" s="224">
        <f t="shared" si="130"/>
        <v>1695.9395326311806</v>
      </c>
      <c r="AH83" s="225">
        <f t="shared" si="119"/>
        <v>47893.9</v>
      </c>
      <c r="AI83" s="223">
        <f>AH83*'KiGa - PS'!L84</f>
        <v>41567.538698408316</v>
      </c>
      <c r="AJ83" s="226">
        <f t="shared" si="131"/>
        <v>5.2487409088777047E-2</v>
      </c>
      <c r="AK83" s="223">
        <f t="shared" si="132"/>
        <v>13855.846232802773</v>
      </c>
      <c r="AL83" s="224">
        <f t="shared" si="133"/>
        <v>729.25506488435644</v>
      </c>
      <c r="AM83" s="365">
        <v>3185.45</v>
      </c>
      <c r="AN83" s="223">
        <f>AM83*'KiGa - PS'!L84</f>
        <v>2764.6801815438866</v>
      </c>
      <c r="AO83" s="226">
        <f t="shared" si="134"/>
        <v>3.4909668513494379E-3</v>
      </c>
      <c r="AP83" s="223">
        <f t="shared" si="135"/>
        <v>921.56006051462884</v>
      </c>
      <c r="AQ83" s="224">
        <f t="shared" si="136"/>
        <v>48.503161079717309</v>
      </c>
      <c r="AR83" s="223">
        <f>Artengliederung!X83*'KiGa - PS'!L84</f>
        <v>52074.529781548357</v>
      </c>
      <c r="AS83" s="226">
        <f t="shared" si="137"/>
        <v>6.5754606438954075E-2</v>
      </c>
      <c r="AT83" s="223">
        <f t="shared" si="138"/>
        <v>17358.176593849454</v>
      </c>
      <c r="AU83" s="223">
        <f t="shared" si="139"/>
        <v>913.5882417815501</v>
      </c>
      <c r="AV83" s="227">
        <f t="shared" si="140"/>
        <v>0.17870743101574649</v>
      </c>
    </row>
    <row r="84" spans="1:48" x14ac:dyDescent="0.25">
      <c r="A84" s="365" t="s">
        <v>164</v>
      </c>
      <c r="B84" s="365" t="s">
        <v>34</v>
      </c>
      <c r="C84" s="328">
        <v>2</v>
      </c>
      <c r="D84" s="328">
        <f>Kennzahlen!H84</f>
        <v>46</v>
      </c>
      <c r="E84" s="223">
        <f>'KiGa - PS'!F85+'KiGa - PS'!L85*Funktional!H84</f>
        <v>650094.22489658301</v>
      </c>
      <c r="F84" s="223">
        <f t="shared" si="141"/>
        <v>325047.1124482915</v>
      </c>
      <c r="G84" s="224">
        <f t="shared" si="120"/>
        <v>14132.483149925718</v>
      </c>
      <c r="H84" s="223">
        <f>I84-'KiGa - PS'!H85</f>
        <v>289776.29999999993</v>
      </c>
      <c r="I84" s="223">
        <f t="shared" si="143"/>
        <v>778320.45</v>
      </c>
      <c r="J84" s="365">
        <v>809936.75</v>
      </c>
      <c r="K84" s="365">
        <v>15736.5</v>
      </c>
      <c r="L84" s="365">
        <v>0</v>
      </c>
      <c r="M84" s="365">
        <v>15879.8</v>
      </c>
      <c r="N84" s="365"/>
      <c r="O84" s="365"/>
      <c r="P84" s="365">
        <v>491034.95</v>
      </c>
      <c r="Q84" s="27">
        <f t="shared" si="142"/>
        <v>475155.15</v>
      </c>
      <c r="R84" s="223">
        <f>(Q84-'KiGa - PS'!H85)*'KiGa - PS'!L85+'KiGa - PS'!F85</f>
        <v>396874.60215759411</v>
      </c>
      <c r="S84" s="226">
        <f t="shared" si="122"/>
        <v>0.61048781385610518</v>
      </c>
      <c r="T84" s="223">
        <f t="shared" si="123"/>
        <v>198437.30107879706</v>
      </c>
      <c r="U84" s="224">
        <f t="shared" si="124"/>
        <v>8627.7087425563932</v>
      </c>
      <c r="V84" s="365">
        <v>31166.5</v>
      </c>
      <c r="W84" s="223">
        <f>V84*'KiGa - PS'!L85</f>
        <v>26031.901975901255</v>
      </c>
      <c r="X84" s="226">
        <f t="shared" si="125"/>
        <v>4.0043275234512982E-2</v>
      </c>
      <c r="Y84" s="223">
        <f t="shared" si="126"/>
        <v>13015.950987950628</v>
      </c>
      <c r="Z84" s="224">
        <f t="shared" si="127"/>
        <v>565.91091251959256</v>
      </c>
      <c r="AA84" s="365">
        <v>92422.1</v>
      </c>
      <c r="AB84" s="365">
        <v>10823</v>
      </c>
      <c r="AC84" s="225">
        <f>Artengliederung!AE84</f>
        <v>85028.05</v>
      </c>
      <c r="AD84" s="223">
        <f>AC84*'KiGa - PS'!L85</f>
        <v>71019.904795277966</v>
      </c>
      <c r="AE84" s="226">
        <f t="shared" si="128"/>
        <v>0.10924555560630586</v>
      </c>
      <c r="AF84" s="223">
        <f t="shared" si="129"/>
        <v>35509.952397638983</v>
      </c>
      <c r="AG84" s="224">
        <f t="shared" si="130"/>
        <v>1543.9109738103905</v>
      </c>
      <c r="AH84" s="225">
        <f t="shared" si="119"/>
        <v>81599.100000000006</v>
      </c>
      <c r="AI84" s="223">
        <f>AH84*'KiGa - PS'!L85</f>
        <v>68155.86519249079</v>
      </c>
      <c r="AJ84" s="226">
        <f t="shared" si="131"/>
        <v>0.10483997947118054</v>
      </c>
      <c r="AK84" s="223">
        <f t="shared" si="132"/>
        <v>34077.932596245395</v>
      </c>
      <c r="AL84" s="224">
        <f t="shared" si="133"/>
        <v>1481.6492433150172</v>
      </c>
      <c r="AM84" s="365">
        <v>1147.5</v>
      </c>
      <c r="AN84" s="223">
        <f>AM84*'KiGa - PS'!L85</f>
        <v>958.45242543585869</v>
      </c>
      <c r="AO84" s="226">
        <f t="shared" si="134"/>
        <v>1.4743284722892737E-3</v>
      </c>
      <c r="AP84" s="223">
        <f t="shared" si="135"/>
        <v>479.22621271792934</v>
      </c>
      <c r="AQ84" s="224">
        <f t="shared" si="136"/>
        <v>20.835922292083886</v>
      </c>
      <c r="AR84" s="223">
        <f>Artengliederung!X84*'KiGa - PS'!L85</f>
        <v>39434.825520457052</v>
      </c>
      <c r="AS84" s="226">
        <f t="shared" si="137"/>
        <v>6.0660168957400513E-2</v>
      </c>
      <c r="AT84" s="223">
        <f t="shared" si="138"/>
        <v>19717.412760228526</v>
      </c>
      <c r="AU84" s="223">
        <f t="shared" si="139"/>
        <v>857.27881566210988</v>
      </c>
      <c r="AV84" s="227">
        <f t="shared" si="140"/>
        <v>7.3248878402205647E-2</v>
      </c>
    </row>
    <row r="85" spans="1:48" x14ac:dyDescent="0.25">
      <c r="A85" s="365" t="s">
        <v>165</v>
      </c>
      <c r="B85" s="365" t="s">
        <v>34</v>
      </c>
      <c r="C85" s="328">
        <v>12</v>
      </c>
      <c r="D85" s="328">
        <f>Kennzahlen!H85</f>
        <v>241</v>
      </c>
      <c r="E85" s="223">
        <f>'KiGa - PS'!F86+'KiGa - PS'!L86*Funktional!H85</f>
        <v>2081879.768160176</v>
      </c>
      <c r="F85" s="223">
        <f t="shared" si="141"/>
        <v>173489.98068001468</v>
      </c>
      <c r="G85" s="224">
        <f t="shared" si="120"/>
        <v>8638.5052620754195</v>
      </c>
      <c r="H85" s="223">
        <f>I85-'KiGa - PS'!H86</f>
        <v>768055.19999999972</v>
      </c>
      <c r="I85" s="223">
        <f t="shared" si="143"/>
        <v>2422733.4999999995</v>
      </c>
      <c r="J85" s="365">
        <v>2599373.4</v>
      </c>
      <c r="K85" s="365">
        <v>146495.5</v>
      </c>
      <c r="L85" s="365">
        <v>297.2</v>
      </c>
      <c r="M85" s="365">
        <v>29847.200000000001</v>
      </c>
      <c r="N85" s="365"/>
      <c r="O85" s="365"/>
      <c r="P85" s="365">
        <v>1670846.75</v>
      </c>
      <c r="Q85" s="27">
        <f t="shared" si="142"/>
        <v>1640999.55</v>
      </c>
      <c r="R85" s="223">
        <f>(Q85-'KiGa - PS'!H86)*'KiGa - PS'!L86+'KiGa - PS'!F86</f>
        <v>1410127.7596999232</v>
      </c>
      <c r="S85" s="226">
        <f t="shared" si="122"/>
        <v>0.67733390816612737</v>
      </c>
      <c r="T85" s="223">
        <f t="shared" si="123"/>
        <v>117510.64664166026</v>
      </c>
      <c r="U85" s="224">
        <f t="shared" si="124"/>
        <v>5851.1525298752003</v>
      </c>
      <c r="V85" s="365">
        <v>112740.65</v>
      </c>
      <c r="W85" s="223">
        <f>V85*'KiGa - PS'!L86</f>
        <v>96879.197932512005</v>
      </c>
      <c r="X85" s="226">
        <f t="shared" si="125"/>
        <v>4.6534482641198471E-2</v>
      </c>
      <c r="Y85" s="223">
        <f t="shared" si="126"/>
        <v>8073.2664943760001</v>
      </c>
      <c r="Z85" s="224">
        <f t="shared" si="127"/>
        <v>401.9883731639502</v>
      </c>
      <c r="AA85" s="365">
        <v>326871.55</v>
      </c>
      <c r="AB85" s="365">
        <v>8912.5</v>
      </c>
      <c r="AC85" s="225">
        <f>Artengliederung!AE85</f>
        <v>116712</v>
      </c>
      <c r="AD85" s="223">
        <f>AC85*'KiGa - PS'!L86</f>
        <v>100291.81975710928</v>
      </c>
      <c r="AE85" s="226">
        <f t="shared" si="128"/>
        <v>4.8173684806851441E-2</v>
      </c>
      <c r="AF85" s="223">
        <f t="shared" si="129"/>
        <v>8357.6516464257729</v>
      </c>
      <c r="AG85" s="224">
        <f t="shared" si="130"/>
        <v>416.14862969754887</v>
      </c>
      <c r="AH85" s="225">
        <f t="shared" si="119"/>
        <v>317959.05</v>
      </c>
      <c r="AI85" s="223">
        <f>AH85*'KiGa - PS'!L86</f>
        <v>273225.47581004264</v>
      </c>
      <c r="AJ85" s="226">
        <f t="shared" si="131"/>
        <v>0.13123979587519638</v>
      </c>
      <c r="AK85" s="223">
        <f t="shared" si="132"/>
        <v>22768.789650836887</v>
      </c>
      <c r="AL85" s="224">
        <f t="shared" si="133"/>
        <v>1133.7156672615877</v>
      </c>
      <c r="AM85" s="365">
        <v>5252.8</v>
      </c>
      <c r="AN85" s="223">
        <f>AM85*'KiGa - PS'!L86</f>
        <v>4513.7849648720239</v>
      </c>
      <c r="AO85" s="226">
        <f t="shared" si="134"/>
        <v>2.168129511562044E-3</v>
      </c>
      <c r="AP85" s="223">
        <f t="shared" si="135"/>
        <v>376.14874707266864</v>
      </c>
      <c r="AQ85" s="224">
        <f t="shared" si="136"/>
        <v>18.729398194489725</v>
      </c>
      <c r="AR85" s="223">
        <f>Artengliederung!X85*'KiGa - PS'!L86</f>
        <v>119620.54336173079</v>
      </c>
      <c r="AS85" s="226">
        <f t="shared" si="137"/>
        <v>5.7457949873562245E-2</v>
      </c>
      <c r="AT85" s="223">
        <f t="shared" si="138"/>
        <v>9968.3786134775655</v>
      </c>
      <c r="AU85" s="223">
        <f t="shared" si="139"/>
        <v>496.35080233083312</v>
      </c>
      <c r="AV85" s="227">
        <f t="shared" si="140"/>
        <v>3.7092049125502041E-2</v>
      </c>
    </row>
    <row r="86" spans="1:48" x14ac:dyDescent="0.25">
      <c r="A86" s="365" t="s">
        <v>166</v>
      </c>
      <c r="B86" s="365" t="s">
        <v>34</v>
      </c>
      <c r="C86" s="328">
        <v>5</v>
      </c>
      <c r="D86" s="328">
        <f>Kennzahlen!H86</f>
        <v>102</v>
      </c>
      <c r="E86" s="223">
        <f>'KiGa - PS'!F87+'KiGa - PS'!L87*Funktional!H86</f>
        <v>1130072.056854754</v>
      </c>
      <c r="F86" s="223">
        <f t="shared" si="141"/>
        <v>226014.41137095081</v>
      </c>
      <c r="G86" s="224">
        <f t="shared" si="120"/>
        <v>11079.137812301509</v>
      </c>
      <c r="H86" s="223">
        <f>I86-'KiGa - PS'!H87</f>
        <v>604657.10000000009</v>
      </c>
      <c r="I86" s="223">
        <f t="shared" si="143"/>
        <v>1450112.7000000002</v>
      </c>
      <c r="J86" s="365">
        <v>1533667.35</v>
      </c>
      <c r="K86" s="365">
        <v>82054.649999999994</v>
      </c>
      <c r="L86" s="365">
        <v>0</v>
      </c>
      <c r="M86" s="365">
        <v>1500</v>
      </c>
      <c r="N86" s="365"/>
      <c r="O86" s="365"/>
      <c r="P86" s="365">
        <v>895787.75</v>
      </c>
      <c r="Q86" s="27">
        <f t="shared" si="142"/>
        <v>894287.75</v>
      </c>
      <c r="R86" s="223">
        <f>(Q86-'KiGa - PS'!H87)*'KiGa - PS'!L87+'KiGa - PS'!F87</f>
        <v>696917.96855686454</v>
      </c>
      <c r="S86" s="226">
        <f t="shared" si="122"/>
        <v>0.6167022397638473</v>
      </c>
      <c r="T86" s="223">
        <f t="shared" si="123"/>
        <v>139383.5937113729</v>
      </c>
      <c r="U86" s="224">
        <f t="shared" si="124"/>
        <v>6832.5291034986722</v>
      </c>
      <c r="V86" s="365">
        <v>67796.350000000006</v>
      </c>
      <c r="W86" s="223">
        <f>V86*'KiGa - PS'!L87</f>
        <v>52833.65954366498</v>
      </c>
      <c r="X86" s="226">
        <f t="shared" si="125"/>
        <v>4.6752469652875939E-2</v>
      </c>
      <c r="Y86" s="223">
        <f t="shared" si="126"/>
        <v>10566.731908732996</v>
      </c>
      <c r="Z86" s="224">
        <f t="shared" si="127"/>
        <v>517.97705434965667</v>
      </c>
      <c r="AA86" s="365">
        <v>169664.1</v>
      </c>
      <c r="AB86" s="365">
        <v>28384</v>
      </c>
      <c r="AC86" s="225">
        <f>Artengliederung!AE86</f>
        <v>151900.85</v>
      </c>
      <c r="AD86" s="223">
        <f>AC86*'KiGa - PS'!L87</f>
        <v>118376.25171994248</v>
      </c>
      <c r="AE86" s="226">
        <f t="shared" si="128"/>
        <v>0.10475106521031088</v>
      </c>
      <c r="AF86" s="223">
        <f t="shared" si="129"/>
        <v>23675.250343988497</v>
      </c>
      <c r="AG86" s="224">
        <f t="shared" si="130"/>
        <v>1160.5514874504165</v>
      </c>
      <c r="AH86" s="225">
        <f t="shared" si="119"/>
        <v>141280.1</v>
      </c>
      <c r="AI86" s="223">
        <f>AH86*'KiGa - PS'!L87</f>
        <v>110099.50688635808</v>
      </c>
      <c r="AJ86" s="226">
        <f t="shared" si="131"/>
        <v>9.7426979296160898E-2</v>
      </c>
      <c r="AK86" s="223">
        <f t="shared" si="132"/>
        <v>22019.901377271617</v>
      </c>
      <c r="AL86" s="224">
        <f t="shared" si="133"/>
        <v>1079.4069302584126</v>
      </c>
      <c r="AM86" s="365">
        <v>13476.7</v>
      </c>
      <c r="AN86" s="223">
        <f>AM86*'KiGa - PS'!L87</f>
        <v>10502.385151591639</v>
      </c>
      <c r="AO86" s="226">
        <f t="shared" si="134"/>
        <v>9.2935535286326355E-3</v>
      </c>
      <c r="AP86" s="223">
        <f t="shared" si="135"/>
        <v>2100.4770303183277</v>
      </c>
      <c r="AQ86" s="224">
        <f t="shared" si="136"/>
        <v>102.96456030972196</v>
      </c>
      <c r="AR86" s="223">
        <f>Artengliederung!X86*'KiGa - PS'!L87</f>
        <v>94221.630893692112</v>
      </c>
      <c r="AS86" s="226">
        <f t="shared" si="137"/>
        <v>8.3376657552202652E-2</v>
      </c>
      <c r="AT86" s="223">
        <f t="shared" si="138"/>
        <v>18844.326178738422</v>
      </c>
      <c r="AU86" s="223">
        <f t="shared" si="139"/>
        <v>923.74147934992266</v>
      </c>
      <c r="AV86" s="227">
        <f t="shared" si="140"/>
        <v>4.1697034995969676E-2</v>
      </c>
    </row>
    <row r="87" spans="1:48" ht="13.9" customHeight="1" x14ac:dyDescent="0.25">
      <c r="A87" s="365" t="s">
        <v>167</v>
      </c>
      <c r="B87" s="365" t="s">
        <v>34</v>
      </c>
      <c r="C87" s="328">
        <v>3</v>
      </c>
      <c r="D87" s="328">
        <f>Kennzahlen!H87</f>
        <v>73</v>
      </c>
      <c r="E87" s="223">
        <f>'KiGa - PS'!F88+'KiGa - PS'!L88*Funktional!H87</f>
        <v>595657.8709191517</v>
      </c>
      <c r="F87" s="223">
        <f t="shared" si="141"/>
        <v>198552.62363971723</v>
      </c>
      <c r="G87" s="224">
        <f t="shared" si="120"/>
        <v>8159.6968619061872</v>
      </c>
      <c r="H87" s="223">
        <f>I87-'KiGa - PS'!H88</f>
        <v>291063.64999999991</v>
      </c>
      <c r="I87" s="223">
        <f t="shared" si="143"/>
        <v>894676.2</v>
      </c>
      <c r="J87" s="365">
        <f>929417.6+'KiGa - PS'!I95</f>
        <v>930504.6</v>
      </c>
      <c r="K87" s="365">
        <v>13887.4</v>
      </c>
      <c r="L87" s="365">
        <v>0</v>
      </c>
      <c r="M87" s="365">
        <v>21941</v>
      </c>
      <c r="N87" s="365"/>
      <c r="O87" s="365"/>
      <c r="P87" s="365">
        <f>606351.85+'KiGa - PS'!I95</f>
        <v>607438.85</v>
      </c>
      <c r="Q87" s="27">
        <f t="shared" si="142"/>
        <v>585497.85</v>
      </c>
      <c r="R87" s="223">
        <f>(Q87-'KiGa - PS'!H88)*'KiGa - PS'!L88+'KiGa - PS'!F88</f>
        <v>389812.98793769279</v>
      </c>
      <c r="S87" s="226">
        <f t="shared" si="122"/>
        <v>0.65442430456963085</v>
      </c>
      <c r="T87" s="223">
        <f t="shared" si="123"/>
        <v>129937.6626458976</v>
      </c>
      <c r="U87" s="224">
        <f t="shared" si="124"/>
        <v>5339.9039443519559</v>
      </c>
      <c r="V87" s="365">
        <v>52407.65</v>
      </c>
      <c r="W87" s="223">
        <f>V87*'KiGa - PS'!L88</f>
        <v>34891.9857473308</v>
      </c>
      <c r="X87" s="226">
        <f t="shared" si="125"/>
        <v>5.8577226039990778E-2</v>
      </c>
      <c r="Y87" s="223">
        <f t="shared" si="126"/>
        <v>11630.661915776933</v>
      </c>
      <c r="Z87" s="224">
        <f t="shared" si="127"/>
        <v>477.97240749768218</v>
      </c>
      <c r="AA87" s="365">
        <v>97960.65</v>
      </c>
      <c r="AB87" s="365">
        <v>2242.4</v>
      </c>
      <c r="AC87" s="225">
        <f>Artengliederung!AE87</f>
        <v>33597</v>
      </c>
      <c r="AD87" s="223">
        <f>AC87*'KiGa - PS'!L88</f>
        <v>22368.223821390064</v>
      </c>
      <c r="AE87" s="226">
        <f t="shared" si="128"/>
        <v>3.7552133386358107E-2</v>
      </c>
      <c r="AF87" s="223">
        <f t="shared" si="129"/>
        <v>7456.0746071300209</v>
      </c>
      <c r="AG87" s="224">
        <f t="shared" si="130"/>
        <v>306.41402495054882</v>
      </c>
      <c r="AH87" s="225">
        <f>AA87-AB87</f>
        <v>95718.25</v>
      </c>
      <c r="AI87" s="223">
        <f>AH87*'KiGa - PS'!L88</f>
        <v>63727.33398195581</v>
      </c>
      <c r="AJ87" s="226">
        <f t="shared" si="131"/>
        <v>0.10698647175369144</v>
      </c>
      <c r="AK87" s="223">
        <f t="shared" si="132"/>
        <v>21242.444660651938</v>
      </c>
      <c r="AL87" s="224">
        <f t="shared" si="133"/>
        <v>872.97717783501105</v>
      </c>
      <c r="AM87" s="365">
        <v>4424</v>
      </c>
      <c r="AN87" s="223">
        <f>AM87*'KiGa - PS'!L88</f>
        <v>2945.4124530710965</v>
      </c>
      <c r="AO87" s="226">
        <f t="shared" si="134"/>
        <v>4.9448057297153984E-3</v>
      </c>
      <c r="AP87" s="223">
        <f t="shared" si="135"/>
        <v>981.80415102369886</v>
      </c>
      <c r="AQ87" s="224">
        <f t="shared" si="136"/>
        <v>40.348115795494472</v>
      </c>
      <c r="AR87" s="223">
        <f>Artengliederung!X87*'KiGa - PS'!L88</f>
        <v>21136.463518626311</v>
      </c>
      <c r="AS87" s="226">
        <f t="shared" si="137"/>
        <v>3.5484234407934405E-2</v>
      </c>
      <c r="AT87" s="223">
        <f t="shared" si="138"/>
        <v>7045.4878395421038</v>
      </c>
      <c r="AU87" s="223">
        <f t="shared" si="139"/>
        <v>289.54059614556593</v>
      </c>
      <c r="AV87" s="227">
        <f t="shared" si="140"/>
        <v>0.10203082411267902</v>
      </c>
    </row>
    <row r="88" spans="1:48" x14ac:dyDescent="0.25">
      <c r="A88" s="365" t="s">
        <v>168</v>
      </c>
      <c r="B88" s="365" t="s">
        <v>34</v>
      </c>
      <c r="C88" s="328">
        <v>2.5</v>
      </c>
      <c r="D88" s="328">
        <f>Kennzahlen!H88</f>
        <v>54</v>
      </c>
      <c r="E88" s="223">
        <f>'KiGa - PS'!F89+'KiGa - PS'!L89*Funktional!H88</f>
        <v>664754.09386994096</v>
      </c>
      <c r="F88" s="223">
        <f t="shared" ref="F88:F93" si="144">E88/C88</f>
        <v>265901.6375479764</v>
      </c>
      <c r="G88" s="224">
        <f t="shared" ref="G88:G93" si="145">E88/D88</f>
        <v>12310.260997591498</v>
      </c>
      <c r="H88" s="223">
        <f>I88-'KiGa - PS'!H89</f>
        <v>347424.14999999991</v>
      </c>
      <c r="I88" s="223">
        <f t="shared" si="143"/>
        <v>803575.54999999993</v>
      </c>
      <c r="J88" s="365">
        <v>828764.85</v>
      </c>
      <c r="K88" s="365">
        <v>23737.5</v>
      </c>
      <c r="L88" s="365">
        <v>0</v>
      </c>
      <c r="M88" s="365">
        <v>1451.8</v>
      </c>
      <c r="N88" s="365"/>
      <c r="O88" s="365"/>
      <c r="P88" s="365">
        <v>476549.2</v>
      </c>
      <c r="Q88" s="27">
        <f t="shared" si="142"/>
        <v>475097.4</v>
      </c>
      <c r="R88" s="223">
        <f>(Q88-'KiGa - PS'!H89)*'KiGa - PS'!L89+'KiGa - PS'!F89</f>
        <v>393022.08938159572</v>
      </c>
      <c r="S88" s="226">
        <f t="shared" ref="S88:S93" si="146">R88/$E88</f>
        <v>0.59122928765067584</v>
      </c>
      <c r="T88" s="223">
        <f t="shared" ref="T88:T93" si="147">R88/C88</f>
        <v>157208.83575263829</v>
      </c>
      <c r="U88" s="224">
        <f t="shared" ref="U88:U93" si="148">R88/D88</f>
        <v>7278.1868403999206</v>
      </c>
      <c r="V88" s="365">
        <v>26571.75</v>
      </c>
      <c r="W88" s="223">
        <f>V88*'KiGa - PS'!L89</f>
        <v>21981.355199008489</v>
      </c>
      <c r="X88" s="226">
        <f t="shared" ref="X88:X93" si="149">W88/$E88</f>
        <v>3.3066897070225698E-2</v>
      </c>
      <c r="Y88" s="223">
        <f t="shared" ref="Y88:Y93" si="150">W88/C88</f>
        <v>8792.5420796033959</v>
      </c>
      <c r="Z88" s="224">
        <f t="shared" ref="Z88:Z93" si="151">W88/D88</f>
        <v>407.06213331497202</v>
      </c>
      <c r="AA88" s="365">
        <v>82994.25</v>
      </c>
      <c r="AB88" s="365">
        <v>38943</v>
      </c>
      <c r="AC88" s="225">
        <f>Artengliederung!AE88</f>
        <v>96453.4</v>
      </c>
      <c r="AD88" s="223">
        <f>AC88*'KiGa - PS'!L89</f>
        <v>79790.621451430387</v>
      </c>
      <c r="AE88" s="226">
        <f t="shared" ref="AE88:AE93" si="152">AD88/$E88</f>
        <v>0.12003028215579731</v>
      </c>
      <c r="AF88" s="223">
        <f t="shared" ref="AF88:AF93" si="153">AD88/C88</f>
        <v>31916.248580572155</v>
      </c>
      <c r="AG88" s="224">
        <f t="shared" ref="AG88:AG93" si="154">AD88/D88</f>
        <v>1477.6041009524145</v>
      </c>
      <c r="AH88" s="225">
        <f t="shared" ref="AH88:AH93" si="155">AA88-AB88</f>
        <v>44051.25</v>
      </c>
      <c r="AI88" s="223">
        <f>AH88*'KiGa - PS'!L89</f>
        <v>36441.189353743081</v>
      </c>
      <c r="AJ88" s="226">
        <f t="shared" ref="AJ88:AJ93" si="156">AI88/$E88</f>
        <v>5.4819052172505753E-2</v>
      </c>
      <c r="AK88" s="223">
        <f t="shared" ref="AK88:AK93" si="157">AI88/C88</f>
        <v>14576.475741497232</v>
      </c>
      <c r="AL88" s="224">
        <f t="shared" ref="AL88:AL93" si="158">AI88/D88</f>
        <v>674.83683988413111</v>
      </c>
      <c r="AM88" s="365">
        <v>1966.6</v>
      </c>
      <c r="AN88" s="223">
        <f>AM88*'KiGa - PS'!L89</f>
        <v>1626.860599485171</v>
      </c>
      <c r="AO88" s="226">
        <f t="shared" ref="AO88:AO93" si="159">AN88/$E88</f>
        <v>2.4473118924536719E-3</v>
      </c>
      <c r="AP88" s="223">
        <f t="shared" ref="AP88:AP93" si="160">AN88/C88</f>
        <v>650.74423979406833</v>
      </c>
      <c r="AQ88" s="224">
        <f t="shared" ref="AQ88:AQ93" si="161">AN88/$D88</f>
        <v>30.127048138614278</v>
      </c>
      <c r="AR88" s="223">
        <f>Artengliederung!X88*'KiGa - PS'!L89</f>
        <v>75897.150102652333</v>
      </c>
      <c r="AS88" s="226">
        <f t="shared" ref="AS88:AS93" si="162">AR88/E88</f>
        <v>0.11417327219575063</v>
      </c>
      <c r="AT88" s="223">
        <f t="shared" ref="AT88:AT93" si="163">AR88/C88</f>
        <v>30358.860041060932</v>
      </c>
      <c r="AU88" s="223">
        <f t="shared" ref="AU88:AU93" si="164">AR88/D88</f>
        <v>1405.5027796787469</v>
      </c>
      <c r="AV88" s="227">
        <f t="shared" ref="AV88:AV93" si="165">1-S88-X88-AJ88-AE88-AO88-AS88</f>
        <v>8.4233896862591084E-2</v>
      </c>
    </row>
    <row r="89" spans="1:48" x14ac:dyDescent="0.25">
      <c r="A89" s="365" t="s">
        <v>169</v>
      </c>
      <c r="B89" s="365" t="s">
        <v>34</v>
      </c>
      <c r="C89" s="328">
        <v>3</v>
      </c>
      <c r="D89" s="328">
        <f>Kennzahlen!H89</f>
        <v>66</v>
      </c>
      <c r="E89" s="223">
        <f>'KiGa - PS'!F90+'KiGa - PS'!L90*Funktional!H89</f>
        <v>861732.78462915285</v>
      </c>
      <c r="F89" s="223">
        <f t="shared" si="144"/>
        <v>287244.26154305093</v>
      </c>
      <c r="G89" s="224">
        <f t="shared" si="145"/>
        <v>13056.557342865952</v>
      </c>
      <c r="H89" s="223">
        <f>I89-'KiGa - PS'!H90</f>
        <v>496284.75000000023</v>
      </c>
      <c r="I89" s="223">
        <f t="shared" ref="I89:I93" si="166">J89-K89-L89-M89</f>
        <v>1115149.9500000002</v>
      </c>
      <c r="J89" s="365">
        <v>1171202.1000000001</v>
      </c>
      <c r="K89" s="365">
        <v>39191.5</v>
      </c>
      <c r="L89" s="365">
        <v>0</v>
      </c>
      <c r="M89" s="365">
        <v>16860.650000000001</v>
      </c>
      <c r="N89" s="365"/>
      <c r="O89" s="365"/>
      <c r="P89" s="365">
        <v>625219.65</v>
      </c>
      <c r="Q89" s="27">
        <f t="shared" ref="Q89:Q93" si="167">P89-M89</f>
        <v>608359</v>
      </c>
      <c r="R89" s="223">
        <f>(Q89-'KiGa - PS'!H90)*'KiGa - PS'!L90+'KiGa - PS'!F90</f>
        <v>470109.77772469679</v>
      </c>
      <c r="S89" s="226">
        <f t="shared" si="146"/>
        <v>0.54554008633547435</v>
      </c>
      <c r="T89" s="223">
        <f t="shared" si="147"/>
        <v>156703.2592415656</v>
      </c>
      <c r="U89" s="224">
        <f t="shared" si="148"/>
        <v>7122.8754200711637</v>
      </c>
      <c r="V89" s="365">
        <v>42397.3</v>
      </c>
      <c r="W89" s="223">
        <f>V89*'KiGa - PS'!L90</f>
        <v>32762.538696932716</v>
      </c>
      <c r="X89" s="226">
        <f t="shared" si="149"/>
        <v>3.8019371296209983E-2</v>
      </c>
      <c r="Y89" s="223">
        <f t="shared" si="150"/>
        <v>10920.846232310905</v>
      </c>
      <c r="Z89" s="224">
        <f t="shared" si="151"/>
        <v>496.40210146867753</v>
      </c>
      <c r="AA89" s="365">
        <v>209988.45</v>
      </c>
      <c r="AB89" s="365">
        <v>5310</v>
      </c>
      <c r="AC89" s="225">
        <f>Artengliederung!AE89</f>
        <v>114534.6</v>
      </c>
      <c r="AD89" s="223">
        <f>AC89*'KiGa - PS'!L90</f>
        <v>88506.680015890393</v>
      </c>
      <c r="AE89" s="226">
        <f t="shared" si="152"/>
        <v>0.10270780176244459</v>
      </c>
      <c r="AF89" s="223">
        <f t="shared" si="153"/>
        <v>29502.226671963464</v>
      </c>
      <c r="AG89" s="224">
        <f t="shared" si="154"/>
        <v>1341.0103032710665</v>
      </c>
      <c r="AH89" s="225">
        <f t="shared" si="155"/>
        <v>204678.45</v>
      </c>
      <c r="AI89" s="223">
        <f>AH89*'KiGa - PS'!L90</f>
        <v>158165.39351687979</v>
      </c>
      <c r="AJ89" s="226">
        <f t="shared" si="156"/>
        <v>0.18354343288093228</v>
      </c>
      <c r="AK89" s="223">
        <f t="shared" si="157"/>
        <v>52721.79783895993</v>
      </c>
      <c r="AL89" s="224">
        <f t="shared" si="158"/>
        <v>2396.4453563163606</v>
      </c>
      <c r="AM89" s="365">
        <v>7313.95</v>
      </c>
      <c r="AN89" s="223">
        <f>AM89*'KiGa - PS'!L90</f>
        <v>5651.85919627974</v>
      </c>
      <c r="AO89" s="226">
        <f t="shared" si="159"/>
        <v>6.5587143684129653E-3</v>
      </c>
      <c r="AP89" s="223">
        <f t="shared" si="160"/>
        <v>1883.95306542658</v>
      </c>
      <c r="AQ89" s="224">
        <f t="shared" si="161"/>
        <v>85.634230246662725</v>
      </c>
      <c r="AR89" s="223">
        <f>Artengliederung!X89*'KiGa - PS'!L90</f>
        <v>87681.421020591413</v>
      </c>
      <c r="AS89" s="226">
        <f t="shared" si="162"/>
        <v>0.10175012786397022</v>
      </c>
      <c r="AT89" s="223">
        <f t="shared" si="163"/>
        <v>29227.140340197137</v>
      </c>
      <c r="AU89" s="223">
        <f t="shared" si="164"/>
        <v>1328.5063790998699</v>
      </c>
      <c r="AV89" s="227">
        <f t="shared" si="165"/>
        <v>2.1880465492555623E-2</v>
      </c>
    </row>
    <row r="90" spans="1:48" x14ac:dyDescent="0.25">
      <c r="A90" s="365" t="s">
        <v>170</v>
      </c>
      <c r="B90" s="365" t="s">
        <v>34</v>
      </c>
      <c r="C90" s="328">
        <v>2.5</v>
      </c>
      <c r="D90" s="328">
        <f>Kennzahlen!H90</f>
        <v>55</v>
      </c>
      <c r="E90" s="223">
        <f>'KiGa - PS'!F91+'KiGa - PS'!L91*Funktional!H90</f>
        <v>780048.48387080966</v>
      </c>
      <c r="F90" s="223">
        <f t="shared" si="144"/>
        <v>312019.39354832389</v>
      </c>
      <c r="G90" s="224">
        <f t="shared" si="145"/>
        <v>14182.699706741994</v>
      </c>
      <c r="H90" s="223">
        <f>I90-'KiGa - PS'!H91</f>
        <v>457484.6</v>
      </c>
      <c r="I90" s="223">
        <f t="shared" si="166"/>
        <v>984194.55</v>
      </c>
      <c r="J90" s="365">
        <v>1077915.8500000001</v>
      </c>
      <c r="K90" s="365">
        <v>13906.5</v>
      </c>
      <c r="L90" s="365">
        <v>0</v>
      </c>
      <c r="M90" s="365">
        <v>79814.8</v>
      </c>
      <c r="N90" s="365"/>
      <c r="O90" s="365"/>
      <c r="P90" s="365">
        <v>554650.44999999995</v>
      </c>
      <c r="Q90" s="27">
        <f t="shared" si="167"/>
        <v>474835.64999999997</v>
      </c>
      <c r="R90" s="223">
        <f>(Q90-'KiGa - PS'!H91)*'KiGa - PS'!L91+'KiGa - PS'!F91</f>
        <v>376343.10093498323</v>
      </c>
      <c r="S90" s="226">
        <f t="shared" si="146"/>
        <v>0.48246116583352344</v>
      </c>
      <c r="T90" s="223">
        <f t="shared" si="147"/>
        <v>150537.24037399329</v>
      </c>
      <c r="U90" s="224">
        <f t="shared" si="148"/>
        <v>6842.6018351815137</v>
      </c>
      <c r="V90" s="365">
        <v>44057.35</v>
      </c>
      <c r="W90" s="223">
        <f>V90*'KiGa - PS'!L91</f>
        <v>34918.776039621043</v>
      </c>
      <c r="X90" s="226">
        <f t="shared" si="149"/>
        <v>4.4764879057702565E-2</v>
      </c>
      <c r="Y90" s="223">
        <f t="shared" si="150"/>
        <v>13967.510415848417</v>
      </c>
      <c r="Z90" s="224">
        <f t="shared" si="151"/>
        <v>634.88683708401902</v>
      </c>
      <c r="AA90" s="365">
        <v>58328.5</v>
      </c>
      <c r="AB90" s="365">
        <v>1114.25</v>
      </c>
      <c r="AC90" s="225">
        <f>Artengliederung!AE90</f>
        <v>241305</v>
      </c>
      <c r="AD90" s="223">
        <f>AC90*'KiGa - PS'!L91</f>
        <v>191252.43012211937</v>
      </c>
      <c r="AE90" s="226">
        <f t="shared" si="152"/>
        <v>0.24518018312537901</v>
      </c>
      <c r="AF90" s="223">
        <f t="shared" si="153"/>
        <v>76500.972048847747</v>
      </c>
      <c r="AG90" s="224">
        <f t="shared" si="154"/>
        <v>3477.3169113112613</v>
      </c>
      <c r="AH90" s="225">
        <f t="shared" si="155"/>
        <v>57214.25</v>
      </c>
      <c r="AI90" s="223">
        <f>AH90*'KiGa - PS'!L91</f>
        <v>45346.612586206124</v>
      </c>
      <c r="AJ90" s="226">
        <f t="shared" si="156"/>
        <v>5.8133069320491566E-2</v>
      </c>
      <c r="AK90" s="223">
        <f t="shared" si="157"/>
        <v>18138.645034482448</v>
      </c>
      <c r="AL90" s="224">
        <f t="shared" si="158"/>
        <v>824.48386520374765</v>
      </c>
      <c r="AM90" s="365">
        <v>2503.6999999999998</v>
      </c>
      <c r="AN90" s="223">
        <f>AM90*'KiGa - PS'!L91</f>
        <v>1984.3712699560731</v>
      </c>
      <c r="AO90" s="226">
        <f t="shared" si="159"/>
        <v>2.5439076044467017E-3</v>
      </c>
      <c r="AP90" s="223">
        <f t="shared" si="160"/>
        <v>793.74850798242926</v>
      </c>
      <c r="AQ90" s="224">
        <f t="shared" si="161"/>
        <v>36.079477635564963</v>
      </c>
      <c r="AR90" s="223">
        <f>Artengliederung!X90*'KiGa - PS'!L91</f>
        <v>105771.06252670943</v>
      </c>
      <c r="AS90" s="226">
        <f t="shared" si="162"/>
        <v>0.13559549786167785</v>
      </c>
      <c r="AT90" s="223">
        <f t="shared" si="163"/>
        <v>42308.425010683772</v>
      </c>
      <c r="AU90" s="223">
        <f t="shared" si="164"/>
        <v>1923.1102277583532</v>
      </c>
      <c r="AV90" s="227">
        <f t="shared" si="165"/>
        <v>3.1321297196778952E-2</v>
      </c>
    </row>
    <row r="91" spans="1:48" x14ac:dyDescent="0.25">
      <c r="A91" s="365" t="s">
        <v>171</v>
      </c>
      <c r="B91" s="365" t="s">
        <v>34</v>
      </c>
      <c r="C91" s="328">
        <v>9</v>
      </c>
      <c r="D91" s="328">
        <f>Kennzahlen!H91</f>
        <v>164</v>
      </c>
      <c r="E91" s="223">
        <f>'KiGa - PS'!F92+'KiGa - PS'!L92*Funktional!H91</f>
        <v>1951383.5535995166</v>
      </c>
      <c r="F91" s="223">
        <f t="shared" si="144"/>
        <v>216820.39484439074</v>
      </c>
      <c r="G91" s="224">
        <f t="shared" si="145"/>
        <v>11898.680204875101</v>
      </c>
      <c r="H91" s="223">
        <f>I91-'KiGa - PS'!H92</f>
        <v>808917.25</v>
      </c>
      <c r="I91" s="223">
        <f t="shared" si="166"/>
        <v>2156496.1</v>
      </c>
      <c r="J91" s="365">
        <v>2275847.75</v>
      </c>
      <c r="K91" s="365">
        <v>70661.649999999994</v>
      </c>
      <c r="L91" s="365">
        <v>2475.4499999999998</v>
      </c>
      <c r="M91" s="365">
        <v>46214.55</v>
      </c>
      <c r="N91" s="365"/>
      <c r="O91" s="365"/>
      <c r="P91" s="365">
        <v>1359925.4</v>
      </c>
      <c r="Q91" s="27">
        <f t="shared" si="167"/>
        <v>1313710.8499999999</v>
      </c>
      <c r="R91" s="223">
        <f>(Q91-'KiGa - PS'!H92)*'KiGa - PS'!L92+'KiGa - PS'!F92</f>
        <v>1188758.8142984544</v>
      </c>
      <c r="S91" s="226">
        <f t="shared" si="146"/>
        <v>0.60918767717687961</v>
      </c>
      <c r="T91" s="223">
        <f t="shared" si="147"/>
        <v>132084.31269982827</v>
      </c>
      <c r="U91" s="224">
        <f t="shared" si="148"/>
        <v>7248.5293554783811</v>
      </c>
      <c r="V91" s="365">
        <v>106262.8</v>
      </c>
      <c r="W91" s="223">
        <f>V91*'KiGa - PS'!L92</f>
        <v>96155.740916681796</v>
      </c>
      <c r="X91" s="226">
        <f t="shared" si="149"/>
        <v>4.927567455373557E-2</v>
      </c>
      <c r="Y91" s="223">
        <f t="shared" si="150"/>
        <v>10683.971212964643</v>
      </c>
      <c r="Z91" s="224">
        <f t="shared" si="151"/>
        <v>586.31549339440119</v>
      </c>
      <c r="AA91" s="365">
        <v>309700.95</v>
      </c>
      <c r="AB91" s="365">
        <v>22165.200000000001</v>
      </c>
      <c r="AC91" s="225">
        <f>Artengliederung!AE91</f>
        <v>159660</v>
      </c>
      <c r="AD91" s="223">
        <f>AC91*'KiGa - PS'!L92</f>
        <v>144474.13012604049</v>
      </c>
      <c r="AE91" s="226">
        <f t="shared" si="152"/>
        <v>7.403676732825995E-2</v>
      </c>
      <c r="AF91" s="223">
        <f t="shared" si="153"/>
        <v>16052.68112511561</v>
      </c>
      <c r="AG91" s="224">
        <f t="shared" si="154"/>
        <v>880.93981784171024</v>
      </c>
      <c r="AH91" s="225">
        <f t="shared" si="155"/>
        <v>287535.75</v>
      </c>
      <c r="AI91" s="223">
        <f>AH91*'KiGa - PS'!L92</f>
        <v>260187.13116239914</v>
      </c>
      <c r="AJ91" s="226">
        <f t="shared" si="156"/>
        <v>0.13333469511027635</v>
      </c>
      <c r="AK91" s="223">
        <f t="shared" si="157"/>
        <v>28909.681240266571</v>
      </c>
      <c r="AL91" s="224">
        <f t="shared" si="158"/>
        <v>1586.506897331702</v>
      </c>
      <c r="AM91" s="365">
        <v>2490.1</v>
      </c>
      <c r="AN91" s="223">
        <f>AM91*'KiGa - PS'!L92</f>
        <v>2253.2571177931441</v>
      </c>
      <c r="AO91" s="226">
        <f t="shared" si="159"/>
        <v>1.1546971960672684E-3</v>
      </c>
      <c r="AP91" s="223">
        <f t="shared" si="160"/>
        <v>250.361901977016</v>
      </c>
      <c r="AQ91" s="224">
        <f t="shared" si="161"/>
        <v>13.739372669470391</v>
      </c>
      <c r="AR91" s="223">
        <f>Artengliederung!X91*'KiGa - PS'!L92</f>
        <v>123910.27460142683</v>
      </c>
      <c r="AS91" s="226">
        <f t="shared" si="162"/>
        <v>6.3498677321976144E-2</v>
      </c>
      <c r="AT91" s="223">
        <f t="shared" si="163"/>
        <v>13767.808289047425</v>
      </c>
      <c r="AU91" s="223">
        <f t="shared" si="164"/>
        <v>755.55045488674898</v>
      </c>
      <c r="AV91" s="227">
        <f t="shared" si="165"/>
        <v>6.951181131280515E-2</v>
      </c>
    </row>
    <row r="92" spans="1:48" x14ac:dyDescent="0.25">
      <c r="A92" s="365" t="s">
        <v>172</v>
      </c>
      <c r="B92" s="365" t="s">
        <v>34</v>
      </c>
      <c r="C92" s="328">
        <v>3</v>
      </c>
      <c r="D92" s="328">
        <f>Kennzahlen!H92</f>
        <v>71</v>
      </c>
      <c r="E92" s="223">
        <f>'KiGa - PS'!F93+'KiGa - PS'!L93*Funktional!H92</f>
        <v>556151.57357721834</v>
      </c>
      <c r="F92" s="223">
        <f t="shared" si="144"/>
        <v>185383.85785907277</v>
      </c>
      <c r="G92" s="224">
        <f t="shared" si="145"/>
        <v>7833.1207546087089</v>
      </c>
      <c r="H92" s="223">
        <f>I92-'KiGa - PS'!H93</f>
        <v>246125.04999999993</v>
      </c>
      <c r="I92" s="223">
        <f t="shared" si="166"/>
        <v>704995.54999999993</v>
      </c>
      <c r="J92" s="365">
        <v>724322.45</v>
      </c>
      <c r="K92" s="365">
        <v>19326.900000000001</v>
      </c>
      <c r="L92" s="365">
        <v>0</v>
      </c>
      <c r="M92" s="365">
        <v>0</v>
      </c>
      <c r="N92" s="365"/>
      <c r="O92" s="365"/>
      <c r="P92" s="365">
        <v>459419.45</v>
      </c>
      <c r="Q92" s="27">
        <f t="shared" si="167"/>
        <v>459419.45</v>
      </c>
      <c r="R92" s="223">
        <f>(Q92-'KiGa - PS'!H93)*'KiGa - PS'!L93+'KiGa - PS'!F93</f>
        <v>362423.35153672984</v>
      </c>
      <c r="S92" s="226">
        <f t="shared" si="146"/>
        <v>0.65166290765948809</v>
      </c>
      <c r="T92" s="223">
        <f t="shared" si="147"/>
        <v>120807.78384557662</v>
      </c>
      <c r="U92" s="224">
        <f t="shared" si="148"/>
        <v>5104.5542469961947</v>
      </c>
      <c r="V92" s="365">
        <v>31937.7</v>
      </c>
      <c r="W92" s="223">
        <f>V92*'KiGa - PS'!L93</f>
        <v>25194.771954854365</v>
      </c>
      <c r="X92" s="226">
        <f t="shared" si="149"/>
        <v>4.5301988076378641E-2</v>
      </c>
      <c r="Y92" s="223">
        <f t="shared" si="150"/>
        <v>8398.2573182847882</v>
      </c>
      <c r="Z92" s="224">
        <f t="shared" si="151"/>
        <v>354.85594302611781</v>
      </c>
      <c r="AA92" s="365">
        <v>75708.5</v>
      </c>
      <c r="AB92" s="365">
        <v>28186.3</v>
      </c>
      <c r="AC92" s="225">
        <f>Artengliederung!AE92</f>
        <v>75999</v>
      </c>
      <c r="AD92" s="223">
        <f>AC92*'KiGa - PS'!L93</f>
        <v>59953.518061631767</v>
      </c>
      <c r="AE92" s="226">
        <f t="shared" si="152"/>
        <v>0.10780068044401132</v>
      </c>
      <c r="AF92" s="223">
        <f t="shared" si="153"/>
        <v>19984.506020543922</v>
      </c>
      <c r="AG92" s="224">
        <f t="shared" si="154"/>
        <v>844.41574734692631</v>
      </c>
      <c r="AH92" s="225">
        <f t="shared" si="155"/>
        <v>47522.2</v>
      </c>
      <c r="AI92" s="223">
        <f>AH92*'KiGa - PS'!L93</f>
        <v>37488.954802411572</v>
      </c>
      <c r="AJ92" s="226">
        <f t="shared" si="156"/>
        <v>6.7407801368391626E-2</v>
      </c>
      <c r="AK92" s="223">
        <f t="shared" si="157"/>
        <v>12496.318267470524</v>
      </c>
      <c r="AL92" s="224">
        <f t="shared" si="158"/>
        <v>528.01344792128975</v>
      </c>
      <c r="AM92" s="365">
        <v>4966.3500000000004</v>
      </c>
      <c r="AN92" s="223">
        <f>AM92*'KiGa - PS'!L93</f>
        <v>3917.8167400279599</v>
      </c>
      <c r="AO92" s="226">
        <f t="shared" si="159"/>
        <v>7.044512550469291E-3</v>
      </c>
      <c r="AP92" s="223">
        <f t="shared" si="160"/>
        <v>1305.9389133426532</v>
      </c>
      <c r="AQ92" s="224">
        <f t="shared" si="161"/>
        <v>55.180517465182533</v>
      </c>
      <c r="AR92" s="223">
        <f>Artengliederung!X92*'KiGa - PS'!L93</f>
        <v>32722.350739413407</v>
      </c>
      <c r="AS92" s="226">
        <f t="shared" si="162"/>
        <v>5.8837108971822594E-2</v>
      </c>
      <c r="AT92" s="223">
        <f t="shared" si="163"/>
        <v>10907.450246471135</v>
      </c>
      <c r="AU92" s="223">
        <f t="shared" si="164"/>
        <v>460.87817942835784</v>
      </c>
      <c r="AV92" s="227">
        <f t="shared" si="165"/>
        <v>6.1945000929438443E-2</v>
      </c>
    </row>
    <row r="93" spans="1:48" x14ac:dyDescent="0.25">
      <c r="A93" s="365" t="s">
        <v>173</v>
      </c>
      <c r="B93" s="365" t="s">
        <v>34</v>
      </c>
      <c r="C93" s="328">
        <v>11</v>
      </c>
      <c r="D93" s="328">
        <f>Kennzahlen!H93</f>
        <v>193</v>
      </c>
      <c r="E93" s="223">
        <f>'KiGa - PS'!F94+'KiGa - PS'!L94*Funktional!H93</f>
        <v>1920589.8765772618</v>
      </c>
      <c r="F93" s="223">
        <f t="shared" si="144"/>
        <v>174599.07968884197</v>
      </c>
      <c r="G93" s="224">
        <f t="shared" si="145"/>
        <v>9951.2428838200103</v>
      </c>
      <c r="H93" s="223">
        <f>I93-'KiGa - PS'!H94</f>
        <v>704012.25000000023</v>
      </c>
      <c r="I93" s="223">
        <f t="shared" si="166"/>
        <v>2287768.4500000002</v>
      </c>
      <c r="J93" s="365">
        <v>2494203.6</v>
      </c>
      <c r="K93" s="365">
        <v>136146.9</v>
      </c>
      <c r="L93" s="365">
        <v>0</v>
      </c>
      <c r="M93" s="365">
        <v>70288.25</v>
      </c>
      <c r="N93" s="365"/>
      <c r="O93" s="365"/>
      <c r="P93" s="365">
        <v>1610504.6</v>
      </c>
      <c r="Q93" s="27">
        <f t="shared" si="167"/>
        <v>1540216.35</v>
      </c>
      <c r="R93" s="223">
        <f>(Q93-'KiGa - PS'!H94)*'KiGa - PS'!L94+'KiGa - PS'!F94</f>
        <v>1293017.1886708117</v>
      </c>
      <c r="S93" s="226">
        <f t="shared" si="146"/>
        <v>0.67323961478706462</v>
      </c>
      <c r="T93" s="223">
        <f t="shared" si="147"/>
        <v>117547.01715189197</v>
      </c>
      <c r="U93" s="224">
        <f t="shared" si="148"/>
        <v>6699.5709257555009</v>
      </c>
      <c r="V93" s="365">
        <v>117547.7</v>
      </c>
      <c r="W93" s="223">
        <f>V93*'KiGa - PS'!L94</f>
        <v>98681.71870057084</v>
      </c>
      <c r="X93" s="226">
        <f t="shared" si="149"/>
        <v>5.1380942857219655E-2</v>
      </c>
      <c r="Y93" s="223">
        <f t="shared" si="150"/>
        <v>8971.0653364155314</v>
      </c>
      <c r="Z93" s="224">
        <f t="shared" si="151"/>
        <v>511.30424197186966</v>
      </c>
      <c r="AA93" s="365">
        <v>307354.25</v>
      </c>
      <c r="AB93" s="365">
        <v>44230.45</v>
      </c>
      <c r="AC93" s="225">
        <f>Artengliederung!AE93</f>
        <v>225537.8</v>
      </c>
      <c r="AD93" s="223">
        <f>AC93*'KiGa - PS'!L94</f>
        <v>189339.7976816697</v>
      </c>
      <c r="AE93" s="226">
        <f t="shared" si="152"/>
        <v>9.8584190196346122E-2</v>
      </c>
      <c r="AF93" s="223">
        <f t="shared" si="153"/>
        <v>17212.708880151793</v>
      </c>
      <c r="AG93" s="224">
        <f t="shared" si="154"/>
        <v>981.03522114854775</v>
      </c>
      <c r="AH93" s="225">
        <f t="shared" si="155"/>
        <v>263123.8</v>
      </c>
      <c r="AI93" s="223">
        <f>AH93*'KiGa - PS'!L94</f>
        <v>220893.38043215871</v>
      </c>
      <c r="AJ93" s="226">
        <f t="shared" si="156"/>
        <v>0.11501330040634136</v>
      </c>
      <c r="AK93" s="223">
        <f t="shared" si="157"/>
        <v>20081.216402923517</v>
      </c>
      <c r="AL93" s="224">
        <f t="shared" si="158"/>
        <v>1144.5252872132576</v>
      </c>
      <c r="AM93" s="365">
        <v>10825.95</v>
      </c>
      <c r="AN93" s="223">
        <f>AM93*'KiGa - PS'!L94</f>
        <v>9088.4241254098979</v>
      </c>
      <c r="AO93" s="226">
        <f t="shared" si="159"/>
        <v>4.7321004011572935E-3</v>
      </c>
      <c r="AP93" s="223">
        <f t="shared" si="160"/>
        <v>826.22037503726347</v>
      </c>
      <c r="AQ93" s="224">
        <f t="shared" si="161"/>
        <v>47.090280442538329</v>
      </c>
      <c r="AR93" s="223">
        <f>Artengliederung!X93*'KiGa - PS'!L94</f>
        <v>50905.610132189227</v>
      </c>
      <c r="AS93" s="226">
        <f t="shared" si="162"/>
        <v>2.650519548864309E-2</v>
      </c>
      <c r="AT93" s="223">
        <f t="shared" si="163"/>
        <v>4627.7827392899299</v>
      </c>
      <c r="AU93" s="223">
        <f t="shared" si="164"/>
        <v>263.75963799061776</v>
      </c>
      <c r="AV93" s="227">
        <f t="shared" si="165"/>
        <v>3.0544655863227844E-2</v>
      </c>
    </row>
    <row r="94" spans="1:48" x14ac:dyDescent="0.25">
      <c r="A94" s="365" t="s">
        <v>174</v>
      </c>
      <c r="B94" s="365" t="s">
        <v>34</v>
      </c>
      <c r="C94" s="328">
        <v>2</v>
      </c>
      <c r="D94" s="328">
        <f>Kennzahlen!H94</f>
        <v>40</v>
      </c>
      <c r="E94" s="223">
        <f>I94</f>
        <v>391665.1</v>
      </c>
      <c r="F94" s="223">
        <f t="shared" ref="F94:F102" si="168">E94/C94</f>
        <v>195832.55</v>
      </c>
      <c r="G94" s="224">
        <f t="shared" ref="G94:G101" si="169">E94/D94</f>
        <v>9791.6274999999987</v>
      </c>
      <c r="H94" s="223">
        <f>I94-'KiGa - PS'!H95</f>
        <v>105401.89999999997</v>
      </c>
      <c r="I94" s="223">
        <f t="shared" ref="I94:I103" si="170">J94-K94-L94-M94</f>
        <v>391665.1</v>
      </c>
      <c r="J94" s="365">
        <f>418428.1-'KiGa - PS'!I95</f>
        <v>417341.1</v>
      </c>
      <c r="K94" s="365">
        <v>19426</v>
      </c>
      <c r="L94" s="365">
        <v>0</v>
      </c>
      <c r="M94" s="365">
        <v>6250</v>
      </c>
      <c r="N94" s="365"/>
      <c r="O94" s="365"/>
      <c r="P94" s="365">
        <f>297302.85-'KiGa - PS'!I95</f>
        <v>296215.84999999998</v>
      </c>
      <c r="Q94" s="27">
        <f t="shared" ref="Q94:Q103" si="171">P94-M94</f>
        <v>289965.84999999998</v>
      </c>
      <c r="R94" s="223">
        <f>Q94</f>
        <v>289965.84999999998</v>
      </c>
      <c r="S94" s="226">
        <f t="shared" ref="S94:S101" si="172">R94/$E94</f>
        <v>0.74034130179073909</v>
      </c>
      <c r="T94" s="223">
        <f t="shared" ref="T94:T101" si="173">R94/C94</f>
        <v>144982.92499999999</v>
      </c>
      <c r="U94" s="224">
        <f t="shared" ref="U94:U101" si="174">R94/D94</f>
        <v>7249.1462499999998</v>
      </c>
      <c r="V94" s="365">
        <v>28179.9</v>
      </c>
      <c r="W94" s="223">
        <f>V94*'KiGa - PS'!L95</f>
        <v>28179.9</v>
      </c>
      <c r="X94" s="226">
        <f t="shared" ref="X94:X101" si="175">W94/$E94</f>
        <v>7.1948968646938422E-2</v>
      </c>
      <c r="Y94" s="223">
        <f t="shared" ref="Y94:Y101" si="176">W94/C94</f>
        <v>14089.95</v>
      </c>
      <c r="Z94" s="224">
        <f t="shared" ref="Z94:Z101" si="177">W94/D94</f>
        <v>704.49750000000006</v>
      </c>
      <c r="AA94" s="365">
        <v>39439.35</v>
      </c>
      <c r="AB94" s="365">
        <v>9620</v>
      </c>
      <c r="AC94" s="225">
        <f>Artengliederung!AE94</f>
        <v>8300</v>
      </c>
      <c r="AD94" s="223">
        <f>AC94*'KiGa - PS'!L95</f>
        <v>8300</v>
      </c>
      <c r="AE94" s="226">
        <f t="shared" ref="AE94:AE101" si="178">AD94/$E94</f>
        <v>2.1191574127998641E-2</v>
      </c>
      <c r="AF94" s="223">
        <f t="shared" ref="AF94:AF101" si="179">AD94/C94</f>
        <v>4150</v>
      </c>
      <c r="AG94" s="224">
        <f t="shared" ref="AG94:AG101" si="180">AD94/D94</f>
        <v>207.5</v>
      </c>
      <c r="AH94" s="225">
        <f t="shared" ref="AH94:AH100" si="181">AA94-AB94</f>
        <v>29819.35</v>
      </c>
      <c r="AI94" s="223">
        <f>AH94*'KiGa - PS'!L95</f>
        <v>29819.35</v>
      </c>
      <c r="AJ94" s="226">
        <f t="shared" ref="AJ94:AJ101" si="182">AI94/$E94</f>
        <v>7.6134815177558587E-2</v>
      </c>
      <c r="AK94" s="223">
        <f t="shared" ref="AK94:AK101" si="183">AI94/C94</f>
        <v>14909.674999999999</v>
      </c>
      <c r="AL94" s="224">
        <f t="shared" ref="AL94:AL101" si="184">AI94/D94</f>
        <v>745.48374999999999</v>
      </c>
      <c r="AM94" s="365">
        <v>2420.15</v>
      </c>
      <c r="AN94" s="223">
        <f>AM94*'KiGa - PS'!L95</f>
        <v>2420.15</v>
      </c>
      <c r="AO94" s="226">
        <f t="shared" ref="AO94:AO101" si="185">AN94/$E94</f>
        <v>6.1791310995031219E-3</v>
      </c>
      <c r="AP94" s="223">
        <f t="shared" ref="AP94:AP101" si="186">AN94/C94</f>
        <v>1210.075</v>
      </c>
      <c r="AQ94" s="224">
        <f t="shared" ref="AQ94:AQ101" si="187">AN94/$D94</f>
        <v>60.503750000000004</v>
      </c>
      <c r="AR94" s="223">
        <f>Artengliederung!X94*'KiGa - PS'!L95</f>
        <v>13517</v>
      </c>
      <c r="AS94" s="226">
        <f t="shared" ref="AS94:AS101" si="188">AR94/E94</f>
        <v>3.4511627408211759E-2</v>
      </c>
      <c r="AT94" s="223">
        <f t="shared" ref="AT94:AT101" si="189">AR94/C94</f>
        <v>6758.5</v>
      </c>
      <c r="AU94" s="223">
        <f t="shared" ref="AU94:AU101" si="190">AR94/D94</f>
        <v>337.92500000000001</v>
      </c>
      <c r="AV94" s="227">
        <f t="shared" ref="AV94:AV101" si="191">1-S94-X94-AJ94-AE94-AO94-AS94</f>
        <v>4.9692581749050377E-2</v>
      </c>
    </row>
    <row r="95" spans="1:48" x14ac:dyDescent="0.25">
      <c r="A95" s="365" t="s">
        <v>175</v>
      </c>
      <c r="B95" s="365" t="s">
        <v>34</v>
      </c>
      <c r="C95" s="328">
        <v>36.5</v>
      </c>
      <c r="D95" s="328">
        <f>Kennzahlen!H95</f>
        <v>748</v>
      </c>
      <c r="E95" s="223">
        <f>'KiGa - PS'!F96+'KiGa - PS'!L96*Funktional!H95</f>
        <v>6706109.5021100761</v>
      </c>
      <c r="F95" s="223">
        <f t="shared" si="168"/>
        <v>183729.02745507058</v>
      </c>
      <c r="G95" s="224">
        <f t="shared" si="169"/>
        <v>8965.3870349065182</v>
      </c>
      <c r="H95" s="223">
        <f>I95-'KiGa - PS'!H96</f>
        <v>2537890.2399999993</v>
      </c>
      <c r="I95" s="223">
        <f t="shared" si="170"/>
        <v>7612571.1899999995</v>
      </c>
      <c r="J95" s="365">
        <v>8419215.5399999991</v>
      </c>
      <c r="K95" s="365">
        <v>792923.75</v>
      </c>
      <c r="L95" s="365">
        <v>0</v>
      </c>
      <c r="M95" s="365">
        <v>13720.6</v>
      </c>
      <c r="N95" s="365"/>
      <c r="O95" s="365"/>
      <c r="P95" s="365">
        <v>5095897.4000000004</v>
      </c>
      <c r="Q95" s="27">
        <f t="shared" si="171"/>
        <v>5082176.8000000007</v>
      </c>
      <c r="R95" s="223">
        <f>(Q95-'KiGa - PS'!H96)*'KiGa - PS'!L96+'KiGa - PS'!F96</f>
        <v>4477020.0868076729</v>
      </c>
      <c r="S95" s="226">
        <f t="shared" si="172"/>
        <v>0.66760318861464751</v>
      </c>
      <c r="T95" s="223">
        <f t="shared" si="173"/>
        <v>122658.08457007323</v>
      </c>
      <c r="U95" s="224">
        <f t="shared" si="174"/>
        <v>5985.3209716680121</v>
      </c>
      <c r="V95" s="365">
        <v>457960.8</v>
      </c>
      <c r="W95" s="223">
        <f>V95*'KiGa - PS'!L96</f>
        <v>403429.43216192536</v>
      </c>
      <c r="X95" s="226">
        <f t="shared" si="175"/>
        <v>6.0158491601574111E-2</v>
      </c>
      <c r="Y95" s="223">
        <f t="shared" si="176"/>
        <v>11052.861155121243</v>
      </c>
      <c r="Z95" s="224">
        <f t="shared" si="177"/>
        <v>539.34416064428524</v>
      </c>
      <c r="AA95" s="365">
        <v>726249.95</v>
      </c>
      <c r="AB95" s="365">
        <v>110458.15</v>
      </c>
      <c r="AC95" s="225">
        <f>Artengliederung!AE95</f>
        <v>426194</v>
      </c>
      <c r="AD95" s="223">
        <f>AC95*'KiGa - PS'!L96</f>
        <v>375445.24206180882</v>
      </c>
      <c r="AE95" s="226">
        <f t="shared" si="178"/>
        <v>5.598555197222399E-2</v>
      </c>
      <c r="AF95" s="223">
        <f t="shared" si="179"/>
        <v>10286.171015392023</v>
      </c>
      <c r="AG95" s="224">
        <f t="shared" si="180"/>
        <v>501.93214179386206</v>
      </c>
      <c r="AH95" s="225">
        <f t="shared" si="181"/>
        <v>615791.79999999993</v>
      </c>
      <c r="AI95" s="223">
        <f>AH95*'KiGa - PS'!L96</f>
        <v>542466.81419887871</v>
      </c>
      <c r="AJ95" s="226">
        <f t="shared" si="182"/>
        <v>8.0891434001814561E-2</v>
      </c>
      <c r="AK95" s="223">
        <f t="shared" si="183"/>
        <v>14862.104498599416</v>
      </c>
      <c r="AL95" s="224">
        <f t="shared" si="184"/>
        <v>725.22301363486463</v>
      </c>
      <c r="AM95" s="365">
        <v>31890.65</v>
      </c>
      <c r="AN95" s="223">
        <f>AM95*'KiGa - PS'!L96</f>
        <v>28093.292746398176</v>
      </c>
      <c r="AO95" s="226">
        <f t="shared" si="185"/>
        <v>4.1892087711300607E-3</v>
      </c>
      <c r="AP95" s="223">
        <f t="shared" si="186"/>
        <v>769.67925332597747</v>
      </c>
      <c r="AQ95" s="224">
        <f t="shared" si="187"/>
        <v>37.55787800320612</v>
      </c>
      <c r="AR95" s="223">
        <f>Artengliederung!X95*'KiGa - PS'!L96</f>
        <v>277840.70211898541</v>
      </c>
      <c r="AS95" s="226">
        <f t="shared" si="188"/>
        <v>4.1430982007013589E-2</v>
      </c>
      <c r="AT95" s="223">
        <f t="shared" si="189"/>
        <v>7612.0740306571342</v>
      </c>
      <c r="AU95" s="223">
        <f t="shared" si="190"/>
        <v>371.44478892912491</v>
      </c>
      <c r="AV95" s="227">
        <f t="shared" si="191"/>
        <v>8.9741143031596193E-2</v>
      </c>
    </row>
    <row r="96" spans="1:48" x14ac:dyDescent="0.25">
      <c r="A96" s="365" t="s">
        <v>176</v>
      </c>
      <c r="B96" s="365" t="s">
        <v>34</v>
      </c>
      <c r="C96" s="328">
        <v>4</v>
      </c>
      <c r="D96" s="328">
        <f>Kennzahlen!H96</f>
        <v>69</v>
      </c>
      <c r="E96" s="223">
        <f>'KiGa - PS'!F97+'KiGa - PS'!L97*Funktional!H96</f>
        <v>1289114.6652659136</v>
      </c>
      <c r="F96" s="223">
        <f t="shared" si="168"/>
        <v>322278.6663164784</v>
      </c>
      <c r="G96" s="224">
        <f t="shared" si="169"/>
        <v>18682.82123573788</v>
      </c>
      <c r="H96" s="223">
        <f>I96-'KiGa - PS'!H97</f>
        <v>802088.7</v>
      </c>
      <c r="I96" s="223">
        <f t="shared" si="170"/>
        <v>1487297.45</v>
      </c>
      <c r="J96" s="365">
        <v>1554536.55</v>
      </c>
      <c r="K96" s="365">
        <v>43703</v>
      </c>
      <c r="L96" s="365">
        <v>0</v>
      </c>
      <c r="M96" s="365">
        <v>23536.1</v>
      </c>
      <c r="N96" s="365"/>
      <c r="O96" s="365"/>
      <c r="P96" s="365">
        <v>685208.75</v>
      </c>
      <c r="Q96" s="27">
        <f t="shared" si="171"/>
        <v>661672.65</v>
      </c>
      <c r="R96" s="223">
        <f>(Q96-'KiGa - PS'!H97)*'KiGa - PS'!L97+'KiGa - PS'!F97</f>
        <v>573504.59164732648</v>
      </c>
      <c r="S96" s="226">
        <f t="shared" si="172"/>
        <v>0.44488252837386361</v>
      </c>
      <c r="T96" s="223">
        <f t="shared" si="173"/>
        <v>143376.14791183162</v>
      </c>
      <c r="U96" s="224">
        <f t="shared" si="174"/>
        <v>8311.6607485119785</v>
      </c>
      <c r="V96" s="365">
        <v>67747.75</v>
      </c>
      <c r="W96" s="223">
        <f>V96*'KiGa - PS'!L97</f>
        <v>58720.344113928782</v>
      </c>
      <c r="X96" s="226">
        <f t="shared" si="175"/>
        <v>4.5550908461518567E-2</v>
      </c>
      <c r="Y96" s="223">
        <f t="shared" si="176"/>
        <v>14680.086028482196</v>
      </c>
      <c r="Z96" s="224">
        <f t="shared" si="177"/>
        <v>851.01947991201132</v>
      </c>
      <c r="AA96" s="365">
        <v>182667.2</v>
      </c>
      <c r="AB96" s="365">
        <v>40770</v>
      </c>
      <c r="AC96" s="225">
        <f>Artengliederung!AE96</f>
        <v>400200</v>
      </c>
      <c r="AD96" s="223">
        <f>AC96*'KiGa - PS'!L97</f>
        <v>346873.24249726819</v>
      </c>
      <c r="AE96" s="226">
        <f t="shared" si="178"/>
        <v>0.26907865672734127</v>
      </c>
      <c r="AF96" s="223">
        <f t="shared" si="179"/>
        <v>86718.310624317048</v>
      </c>
      <c r="AG96" s="224">
        <f t="shared" si="180"/>
        <v>5027.1484419893941</v>
      </c>
      <c r="AH96" s="225">
        <f t="shared" si="181"/>
        <v>141897.20000000001</v>
      </c>
      <c r="AI96" s="223">
        <f>AH96*'KiGa - PS'!L97</f>
        <v>122989.3599832168</v>
      </c>
      <c r="AJ96" s="226">
        <f t="shared" si="182"/>
        <v>9.5406066889982225E-2</v>
      </c>
      <c r="AK96" s="223">
        <f t="shared" si="183"/>
        <v>30747.339995804199</v>
      </c>
      <c r="AL96" s="224">
        <f t="shared" si="184"/>
        <v>1782.4544925103883</v>
      </c>
      <c r="AM96" s="365">
        <v>3844.3</v>
      </c>
      <c r="AN96" s="223">
        <f>AM96*'KiGa - PS'!L97</f>
        <v>3332.0459923344529</v>
      </c>
      <c r="AO96" s="226">
        <f t="shared" si="185"/>
        <v>2.5847553224810542E-3</v>
      </c>
      <c r="AP96" s="223">
        <f t="shared" si="186"/>
        <v>833.01149808361322</v>
      </c>
      <c r="AQ96" s="224">
        <f t="shared" si="187"/>
        <v>48.290521628035549</v>
      </c>
      <c r="AR96" s="223">
        <f>Artengliederung!X96*'KiGa - PS'!L97</f>
        <v>141115.52376556781</v>
      </c>
      <c r="AS96" s="226">
        <f t="shared" si="188"/>
        <v>0.10946700675107054</v>
      </c>
      <c r="AT96" s="223">
        <f t="shared" si="189"/>
        <v>35278.880941391952</v>
      </c>
      <c r="AU96" s="223">
        <f t="shared" si="190"/>
        <v>2045.1525183415624</v>
      </c>
      <c r="AV96" s="227">
        <f t="shared" si="191"/>
        <v>3.3030077473742814E-2</v>
      </c>
    </row>
    <row r="97" spans="1:48" x14ac:dyDescent="0.25">
      <c r="A97" s="365" t="s">
        <v>177</v>
      </c>
      <c r="B97" s="365" t="s">
        <v>34</v>
      </c>
      <c r="C97" s="328">
        <v>5</v>
      </c>
      <c r="D97" s="328">
        <f>Kennzahlen!H97</f>
        <v>107</v>
      </c>
      <c r="E97" s="223">
        <f>'KiGa - PS'!F98+'KiGa - PS'!L98*Funktional!H97</f>
        <v>1155853.2429853645</v>
      </c>
      <c r="F97" s="223">
        <f t="shared" si="168"/>
        <v>231170.6485970729</v>
      </c>
      <c r="G97" s="224">
        <f t="shared" si="169"/>
        <v>10802.366756872565</v>
      </c>
      <c r="H97" s="223">
        <f>I97-'KiGa - PS'!H98</f>
        <v>515970.15000000014</v>
      </c>
      <c r="I97" s="223">
        <f t="shared" si="170"/>
        <v>1447967.9500000002</v>
      </c>
      <c r="J97" s="365">
        <v>1452819.35</v>
      </c>
      <c r="K97" s="365">
        <v>1851.4</v>
      </c>
      <c r="L97" s="365">
        <v>0</v>
      </c>
      <c r="M97" s="365">
        <v>3000</v>
      </c>
      <c r="N97" s="365"/>
      <c r="O97" s="365"/>
      <c r="P97" s="365">
        <v>934627.25</v>
      </c>
      <c r="Q97" s="27">
        <f t="shared" si="171"/>
        <v>931627.25</v>
      </c>
      <c r="R97" s="223">
        <f>(Q97-'KiGa - PS'!H98)*'KiGa - PS'!L98+'KiGa - PS'!F98</f>
        <v>743679.70517996396</v>
      </c>
      <c r="S97" s="226">
        <f t="shared" si="172"/>
        <v>0.64340322587941257</v>
      </c>
      <c r="T97" s="223">
        <f t="shared" si="173"/>
        <v>148735.94103599279</v>
      </c>
      <c r="U97" s="224">
        <f t="shared" si="174"/>
        <v>6950.2776185043358</v>
      </c>
      <c r="V97" s="365">
        <v>89486.45</v>
      </c>
      <c r="W97" s="223">
        <f>V97*'KiGa - PS'!L98</f>
        <v>71433.351432776981</v>
      </c>
      <c r="X97" s="226">
        <f t="shared" si="175"/>
        <v>6.180140244126258E-2</v>
      </c>
      <c r="Y97" s="223">
        <f t="shared" si="176"/>
        <v>14286.670286555396</v>
      </c>
      <c r="Z97" s="224">
        <f t="shared" si="177"/>
        <v>667.60141525959796</v>
      </c>
      <c r="AA97" s="365">
        <v>211556.4</v>
      </c>
      <c r="AB97" s="365">
        <v>20220</v>
      </c>
      <c r="AC97" s="225">
        <f>Artengliederung!AE97</f>
        <v>87486</v>
      </c>
      <c r="AD97" s="223">
        <f>AC97*'KiGa - PS'!L98</f>
        <v>69836.474499188727</v>
      </c>
      <c r="AE97" s="226">
        <f t="shared" si="178"/>
        <v>6.0419845618820488E-2</v>
      </c>
      <c r="AF97" s="223">
        <f t="shared" si="179"/>
        <v>13967.294899837745</v>
      </c>
      <c r="AG97" s="224">
        <f t="shared" si="180"/>
        <v>652.67733176811896</v>
      </c>
      <c r="AH97" s="225">
        <f t="shared" si="181"/>
        <v>191336.4</v>
      </c>
      <c r="AI97" s="223">
        <f>AH97*'KiGa - PS'!L98</f>
        <v>152735.97626324868</v>
      </c>
      <c r="AJ97" s="226">
        <f t="shared" si="182"/>
        <v>0.13214132260316946</v>
      </c>
      <c r="AK97" s="223">
        <f t="shared" si="183"/>
        <v>30547.195252649737</v>
      </c>
      <c r="AL97" s="224">
        <f t="shared" si="184"/>
        <v>1427.4390304976512</v>
      </c>
      <c r="AM97" s="365">
        <v>4121.3500000000004</v>
      </c>
      <c r="AN97" s="223">
        <f>AM97*'KiGa - PS'!L98</f>
        <v>3289.904146688973</v>
      </c>
      <c r="AO97" s="226">
        <f t="shared" si="185"/>
        <v>2.8462991877686241E-3</v>
      </c>
      <c r="AP97" s="223">
        <f t="shared" si="186"/>
        <v>657.9808293377946</v>
      </c>
      <c r="AQ97" s="224">
        <f t="shared" si="187"/>
        <v>30.746767726065169</v>
      </c>
      <c r="AR97" s="223">
        <f>Artengliederung!X97*'KiGa - PS'!L98</f>
        <v>88556.842120496411</v>
      </c>
      <c r="AS97" s="226">
        <f t="shared" si="188"/>
        <v>7.6615991396770874E-2</v>
      </c>
      <c r="AT97" s="223">
        <f t="shared" si="189"/>
        <v>17711.368424099281</v>
      </c>
      <c r="AU97" s="223">
        <f t="shared" si="190"/>
        <v>827.63403850931229</v>
      </c>
      <c r="AV97" s="227">
        <f t="shared" si="191"/>
        <v>2.2771912872795383E-2</v>
      </c>
    </row>
    <row r="98" spans="1:48" x14ac:dyDescent="0.25">
      <c r="A98" s="365" t="s">
        <v>178</v>
      </c>
      <c r="B98" s="365" t="s">
        <v>34</v>
      </c>
      <c r="C98" s="328">
        <v>6.5</v>
      </c>
      <c r="D98" s="328">
        <f>Kennzahlen!H98</f>
        <v>112</v>
      </c>
      <c r="E98" s="223">
        <f>'KiGa - PS'!F99+'KiGa - PS'!L99*Funktional!H98</f>
        <v>1320318.8188407556</v>
      </c>
      <c r="F98" s="223">
        <f t="shared" si="168"/>
        <v>203125.97212934701</v>
      </c>
      <c r="G98" s="224">
        <f t="shared" si="169"/>
        <v>11788.560882506747</v>
      </c>
      <c r="H98" s="223">
        <f>I98-'KiGa - PS'!H99</f>
        <v>442355.05000000005</v>
      </c>
      <c r="I98" s="223">
        <f t="shared" si="170"/>
        <v>1550021.75</v>
      </c>
      <c r="J98" s="365">
        <v>1682892.1</v>
      </c>
      <c r="K98" s="365">
        <v>53463.8</v>
      </c>
      <c r="L98" s="365">
        <v>0</v>
      </c>
      <c r="M98" s="365">
        <v>79406.55</v>
      </c>
      <c r="N98" s="365"/>
      <c r="O98" s="365"/>
      <c r="P98" s="365">
        <v>1110608.3500000001</v>
      </c>
      <c r="Q98" s="27">
        <f t="shared" si="171"/>
        <v>1031201.8</v>
      </c>
      <c r="R98" s="223">
        <f>(Q98-'KiGa - PS'!H99)*'KiGa - PS'!L99+'KiGa - PS'!F99</f>
        <v>878384.54045077821</v>
      </c>
      <c r="S98" s="226">
        <f t="shared" si="172"/>
        <v>0.66528214846017475</v>
      </c>
      <c r="T98" s="223">
        <f t="shared" si="173"/>
        <v>135136.08314627357</v>
      </c>
      <c r="U98" s="224">
        <f t="shared" si="174"/>
        <v>7842.719111167663</v>
      </c>
      <c r="V98" s="365">
        <v>69049.75</v>
      </c>
      <c r="W98" s="223">
        <f>V98*'KiGa - PS'!L99</f>
        <v>58817.035542404141</v>
      </c>
      <c r="X98" s="226">
        <f t="shared" si="175"/>
        <v>4.454760070302239E-2</v>
      </c>
      <c r="Y98" s="223">
        <f t="shared" si="176"/>
        <v>9048.7746988314066</v>
      </c>
      <c r="Z98" s="224">
        <f t="shared" si="177"/>
        <v>525.15210305717983</v>
      </c>
      <c r="AA98" s="365">
        <v>218940.7</v>
      </c>
      <c r="AB98" s="365">
        <v>23646.15</v>
      </c>
      <c r="AC98" s="225">
        <f>Artengliederung!AE98</f>
        <v>91293.15</v>
      </c>
      <c r="AD98" s="223">
        <f>AC98*'KiGa - PS'!L99</f>
        <v>77764.111359245071</v>
      </c>
      <c r="AE98" s="226">
        <f t="shared" si="178"/>
        <v>5.8897979979958347E-2</v>
      </c>
      <c r="AF98" s="223">
        <f t="shared" si="179"/>
        <v>11963.709439883856</v>
      </c>
      <c r="AG98" s="224">
        <f t="shared" si="180"/>
        <v>694.3224228504024</v>
      </c>
      <c r="AH98" s="225">
        <f t="shared" si="181"/>
        <v>195294.55000000002</v>
      </c>
      <c r="AI98" s="223">
        <f>AH98*'KiGa - PS'!L99</f>
        <v>166353.19445165005</v>
      </c>
      <c r="AJ98" s="226">
        <f t="shared" si="182"/>
        <v>0.12599471588059974</v>
      </c>
      <c r="AK98" s="223">
        <f t="shared" si="183"/>
        <v>25592.799146407699</v>
      </c>
      <c r="AL98" s="224">
        <f t="shared" si="184"/>
        <v>1485.2963790325898</v>
      </c>
      <c r="AM98" s="365">
        <v>8037.4</v>
      </c>
      <c r="AN98" s="223">
        <f>AM98*'KiGa - PS'!L99</f>
        <v>6846.3106885762654</v>
      </c>
      <c r="AO98" s="226">
        <f t="shared" si="185"/>
        <v>5.1853465927171657E-3</v>
      </c>
      <c r="AP98" s="223">
        <f t="shared" si="186"/>
        <v>1053.2785674732716</v>
      </c>
      <c r="AQ98" s="224">
        <f t="shared" si="187"/>
        <v>61.127774005145227</v>
      </c>
      <c r="AR98" s="223">
        <f>Artengliederung!X98*'KiGa - PS'!L99</f>
        <v>75652.312337282958</v>
      </c>
      <c r="AS98" s="226">
        <f t="shared" si="188"/>
        <v>5.7298518553046109E-2</v>
      </c>
      <c r="AT98" s="223">
        <f t="shared" si="189"/>
        <v>11638.817282658916</v>
      </c>
      <c r="AU98" s="223">
        <f t="shared" si="190"/>
        <v>675.46707444002641</v>
      </c>
      <c r="AV98" s="227">
        <f t="shared" si="191"/>
        <v>4.2793689830481506E-2</v>
      </c>
    </row>
    <row r="99" spans="1:48" x14ac:dyDescent="0.25">
      <c r="A99" s="365" t="s">
        <v>179</v>
      </c>
      <c r="B99" s="365" t="s">
        <v>34</v>
      </c>
      <c r="C99" s="328">
        <v>6</v>
      </c>
      <c r="D99" s="328">
        <f>Kennzahlen!H99</f>
        <v>124</v>
      </c>
      <c r="E99" s="223">
        <f>'KiGa - PS'!F100+'KiGa - PS'!L100*Funktional!H99</f>
        <v>1451758.1437002434</v>
      </c>
      <c r="F99" s="223">
        <f t="shared" si="168"/>
        <v>241959.69061670723</v>
      </c>
      <c r="G99" s="224">
        <f t="shared" si="169"/>
        <v>11707.726965324544</v>
      </c>
      <c r="H99" s="223">
        <f>I99-'KiGa - PS'!H100</f>
        <v>934975.30000000028</v>
      </c>
      <c r="I99" s="223">
        <f t="shared" si="170"/>
        <v>1891778.9500000002</v>
      </c>
      <c r="J99" s="365">
        <v>2036827.85</v>
      </c>
      <c r="K99" s="365">
        <v>51669.25</v>
      </c>
      <c r="L99" s="365">
        <v>0</v>
      </c>
      <c r="M99" s="365">
        <v>93379.65</v>
      </c>
      <c r="N99" s="365"/>
      <c r="O99" s="365"/>
      <c r="P99" s="365">
        <v>1172846</v>
      </c>
      <c r="Q99" s="27">
        <f t="shared" si="171"/>
        <v>1079466.3500000001</v>
      </c>
      <c r="R99" s="223">
        <f>(Q99-'KiGa - PS'!H100)*'KiGa - PS'!L100+'KiGa - PS'!F100</f>
        <v>828386.45839825924</v>
      </c>
      <c r="S99" s="226">
        <f t="shared" si="172"/>
        <v>0.5706091348569029</v>
      </c>
      <c r="T99" s="223">
        <f t="shared" si="173"/>
        <v>138064.4097330432</v>
      </c>
      <c r="U99" s="224">
        <f t="shared" si="174"/>
        <v>6680.5359548246715</v>
      </c>
      <c r="V99" s="365">
        <v>119726.45</v>
      </c>
      <c r="W99" s="223">
        <f>V99*'KiGa - PS'!L100</f>
        <v>91878.5193184542</v>
      </c>
      <c r="X99" s="226">
        <f t="shared" si="175"/>
        <v>6.3287758857872897E-2</v>
      </c>
      <c r="Y99" s="223">
        <f t="shared" si="176"/>
        <v>15313.0865530757</v>
      </c>
      <c r="Z99" s="224">
        <f t="shared" si="177"/>
        <v>740.95580095527578</v>
      </c>
      <c r="AA99" s="365">
        <v>204816.7</v>
      </c>
      <c r="AB99" s="365">
        <v>13160</v>
      </c>
      <c r="AC99" s="225">
        <f>Artengliederung!AE99</f>
        <v>344062.75</v>
      </c>
      <c r="AD99" s="223">
        <f>AC99*'KiGa - PS'!L100</f>
        <v>264035.02336063149</v>
      </c>
      <c r="AE99" s="226">
        <f t="shared" si="178"/>
        <v>0.18187259669000969</v>
      </c>
      <c r="AF99" s="223">
        <f t="shared" si="179"/>
        <v>44005.837226771917</v>
      </c>
      <c r="AG99" s="224">
        <f t="shared" si="180"/>
        <v>2129.3147045212218</v>
      </c>
      <c r="AH99" s="225">
        <f t="shared" si="181"/>
        <v>191656.7</v>
      </c>
      <c r="AI99" s="223">
        <f>AH99*'KiGa - PS'!L100</f>
        <v>147078.05846962958</v>
      </c>
      <c r="AJ99" s="226">
        <f t="shared" si="182"/>
        <v>0.10131030372232444</v>
      </c>
      <c r="AK99" s="223">
        <f t="shared" si="183"/>
        <v>24513.009744938263</v>
      </c>
      <c r="AL99" s="224">
        <f t="shared" si="184"/>
        <v>1186.1133747550773</v>
      </c>
      <c r="AM99" s="365">
        <v>3003.65</v>
      </c>
      <c r="AN99" s="223">
        <f>AM99*'KiGa - PS'!L100</f>
        <v>2305.0120883971335</v>
      </c>
      <c r="AO99" s="226">
        <f t="shared" si="185"/>
        <v>1.5877383560061287E-3</v>
      </c>
      <c r="AP99" s="223">
        <f t="shared" si="186"/>
        <v>384.16868139952226</v>
      </c>
      <c r="AQ99" s="224">
        <f t="shared" si="187"/>
        <v>18.588807164493012</v>
      </c>
      <c r="AR99" s="223">
        <f>Artengliederung!X99*'KiGa - PS'!L100</f>
        <v>94689.595769108419</v>
      </c>
      <c r="AS99" s="226">
        <f t="shared" si="188"/>
        <v>6.5224084452361622E-2</v>
      </c>
      <c r="AT99" s="223">
        <f t="shared" si="189"/>
        <v>15781.599294851403</v>
      </c>
      <c r="AU99" s="223">
        <f t="shared" si="190"/>
        <v>763.62577233151956</v>
      </c>
      <c r="AV99" s="227">
        <f t="shared" si="191"/>
        <v>1.610838306452228E-2</v>
      </c>
    </row>
    <row r="100" spans="1:48" x14ac:dyDescent="0.25">
      <c r="A100" s="365" t="s">
        <v>180</v>
      </c>
      <c r="B100" s="365" t="s">
        <v>34</v>
      </c>
      <c r="C100" s="328">
        <v>2.5</v>
      </c>
      <c r="D100" s="328">
        <f>Kennzahlen!H100</f>
        <v>54</v>
      </c>
      <c r="E100" s="223">
        <f>'KiGa - PS'!F101+'KiGa - PS'!L101*Funktional!H100</f>
        <v>645724.33577578247</v>
      </c>
      <c r="F100" s="223">
        <f t="shared" si="168"/>
        <v>258289.73431031298</v>
      </c>
      <c r="G100" s="224">
        <f t="shared" si="169"/>
        <v>11957.858069921898</v>
      </c>
      <c r="H100" s="223">
        <f>I100-'KiGa - PS'!H101</f>
        <v>245496.09999999998</v>
      </c>
      <c r="I100" s="223">
        <f t="shared" si="170"/>
        <v>782191</v>
      </c>
      <c r="J100" s="365">
        <v>790083.9</v>
      </c>
      <c r="K100" s="365">
        <v>7892.9</v>
      </c>
      <c r="L100" s="365">
        <v>0</v>
      </c>
      <c r="M100" s="365">
        <v>0</v>
      </c>
      <c r="N100" s="365"/>
      <c r="O100" s="365"/>
      <c r="P100" s="365">
        <v>543699.4</v>
      </c>
      <c r="Q100" s="27">
        <f t="shared" si="171"/>
        <v>543699.4</v>
      </c>
      <c r="R100" s="223">
        <f>(Q100-'KiGa - PS'!H101)*'KiGa - PS'!L101+'KiGa - PS'!F101</f>
        <v>448841.69458187511</v>
      </c>
      <c r="S100" s="226">
        <f t="shared" si="172"/>
        <v>0.69509800036052583</v>
      </c>
      <c r="T100" s="223">
        <f t="shared" si="173"/>
        <v>179536.67783275005</v>
      </c>
      <c r="U100" s="224">
        <f t="shared" si="174"/>
        <v>8311.8832329976867</v>
      </c>
      <c r="V100" s="365">
        <v>49682.65</v>
      </c>
      <c r="W100" s="223">
        <f>V100*'KiGa - PS'!L101</f>
        <v>41014.657763680072</v>
      </c>
      <c r="X100" s="226">
        <f t="shared" si="175"/>
        <v>6.3517286698517375E-2</v>
      </c>
      <c r="Y100" s="223">
        <f t="shared" si="176"/>
        <v>16405.863105472028</v>
      </c>
      <c r="Z100" s="224">
        <f t="shared" si="177"/>
        <v>759.5306993274088</v>
      </c>
      <c r="AA100" s="365">
        <v>63300.3</v>
      </c>
      <c r="AB100" s="365">
        <v>0</v>
      </c>
      <c r="AC100" s="225">
        <f>Artengliederung!AE100</f>
        <v>51631</v>
      </c>
      <c r="AD100" s="223">
        <f>AC100*'KiGa - PS'!L101</f>
        <v>42623.084618001776</v>
      </c>
      <c r="AE100" s="226">
        <f t="shared" si="178"/>
        <v>6.6008174474009557E-2</v>
      </c>
      <c r="AF100" s="223">
        <f t="shared" si="179"/>
        <v>17049.23384720071</v>
      </c>
      <c r="AG100" s="224">
        <f t="shared" si="180"/>
        <v>789.31638181484766</v>
      </c>
      <c r="AH100" s="225">
        <f t="shared" si="181"/>
        <v>63300.3</v>
      </c>
      <c r="AI100" s="223">
        <f>AH100*'KiGa - PS'!L101</f>
        <v>52256.474661441731</v>
      </c>
      <c r="AJ100" s="226">
        <f t="shared" si="182"/>
        <v>8.092690915645924E-2</v>
      </c>
      <c r="AK100" s="223">
        <f t="shared" si="183"/>
        <v>20902.589864576694</v>
      </c>
      <c r="AL100" s="224">
        <f t="shared" si="184"/>
        <v>967.71249373040246</v>
      </c>
      <c r="AM100" s="365">
        <v>8832.1</v>
      </c>
      <c r="AN100" s="223">
        <f>AM100*'KiGa - PS'!L101</f>
        <v>7291.188349143993</v>
      </c>
      <c r="AO100" s="226">
        <f t="shared" si="185"/>
        <v>1.1291487628980646E-2</v>
      </c>
      <c r="AP100" s="223">
        <f t="shared" si="186"/>
        <v>2916.475339657597</v>
      </c>
      <c r="AQ100" s="224">
        <f t="shared" si="187"/>
        <v>135.02200646562949</v>
      </c>
      <c r="AR100" s="223">
        <f>Artengliederung!X100*'KiGa - PS'!L101</f>
        <v>34291.724925698007</v>
      </c>
      <c r="AS100" s="226">
        <f t="shared" si="188"/>
        <v>5.310582709338256E-2</v>
      </c>
      <c r="AT100" s="223">
        <f t="shared" si="189"/>
        <v>13716.689970279203</v>
      </c>
      <c r="AU100" s="223">
        <f t="shared" si="190"/>
        <v>635.03194306848161</v>
      </c>
      <c r="AV100" s="227">
        <f t="shared" si="191"/>
        <v>3.0052314588124823E-2</v>
      </c>
    </row>
    <row r="101" spans="1:48" x14ac:dyDescent="0.25">
      <c r="A101" s="365" t="s">
        <v>181</v>
      </c>
      <c r="B101" s="365" t="s">
        <v>34</v>
      </c>
      <c r="C101" s="328">
        <v>1</v>
      </c>
      <c r="D101" s="328">
        <f>Kennzahlen!H101</f>
        <v>21</v>
      </c>
      <c r="E101" s="223">
        <f>I101</f>
        <v>319232.10000000003</v>
      </c>
      <c r="F101" s="223">
        <f t="shared" si="168"/>
        <v>319232.10000000003</v>
      </c>
      <c r="G101" s="224">
        <f t="shared" si="169"/>
        <v>15201.528571428573</v>
      </c>
      <c r="H101" s="223">
        <f>I101-'KiGa - PS'!H102</f>
        <v>130891.85000000006</v>
      </c>
      <c r="I101" s="223">
        <f t="shared" si="170"/>
        <v>319232.10000000003</v>
      </c>
      <c r="J101" s="365">
        <v>349038.45</v>
      </c>
      <c r="K101" s="365">
        <v>10280</v>
      </c>
      <c r="L101" s="365">
        <v>0</v>
      </c>
      <c r="M101" s="365">
        <v>19526.349999999999</v>
      </c>
      <c r="N101" s="365"/>
      <c r="O101" s="365"/>
      <c r="P101" s="365">
        <v>188569.55</v>
      </c>
      <c r="Q101" s="27">
        <f t="shared" si="171"/>
        <v>169043.19999999998</v>
      </c>
      <c r="R101" s="223">
        <f>Q101</f>
        <v>169043.19999999998</v>
      </c>
      <c r="S101" s="226">
        <f t="shared" si="172"/>
        <v>0.52953070822138493</v>
      </c>
      <c r="T101" s="223">
        <f t="shared" si="173"/>
        <v>169043.19999999998</v>
      </c>
      <c r="U101" s="224">
        <f t="shared" si="174"/>
        <v>8049.6761904761897</v>
      </c>
      <c r="V101" s="365">
        <v>12224.05</v>
      </c>
      <c r="W101" s="223">
        <f>V101*'KiGa - PS'!L102</f>
        <v>12224.05</v>
      </c>
      <c r="X101" s="226">
        <f t="shared" si="175"/>
        <v>3.8292045192197144E-2</v>
      </c>
      <c r="Y101" s="223">
        <f t="shared" si="176"/>
        <v>12224.05</v>
      </c>
      <c r="Z101" s="224">
        <f t="shared" si="177"/>
        <v>582.09761904761899</v>
      </c>
      <c r="AA101" s="365">
        <v>19244.900000000001</v>
      </c>
      <c r="AB101" s="365">
        <v>18900</v>
      </c>
      <c r="AC101" s="225">
        <f>Artengliederung!AE101</f>
        <v>39500</v>
      </c>
      <c r="AD101" s="223">
        <f>AC101*'KiGa - PS'!L102</f>
        <v>39500</v>
      </c>
      <c r="AE101" s="226">
        <f t="shared" si="178"/>
        <v>0.12373442395047364</v>
      </c>
      <c r="AF101" s="223">
        <f t="shared" si="179"/>
        <v>39500</v>
      </c>
      <c r="AG101" s="224">
        <f t="shared" si="180"/>
        <v>1880.952380952381</v>
      </c>
      <c r="AH101" s="225">
        <f t="shared" ref="AH101:AH116" si="192">AA101-AB101</f>
        <v>344.90000000000146</v>
      </c>
      <c r="AI101" s="223">
        <f>AH101*'KiGa - PS'!L102</f>
        <v>344.90000000000146</v>
      </c>
      <c r="AJ101" s="226">
        <f t="shared" si="182"/>
        <v>1.0804051346966718E-3</v>
      </c>
      <c r="AK101" s="223">
        <f t="shared" si="183"/>
        <v>344.90000000000146</v>
      </c>
      <c r="AL101" s="224">
        <f t="shared" si="184"/>
        <v>16.423809523809592</v>
      </c>
      <c r="AM101" s="365">
        <v>1270.4000000000001</v>
      </c>
      <c r="AN101" s="223">
        <f>AM101*'KiGa - PS'!L102</f>
        <v>1270.4000000000001</v>
      </c>
      <c r="AO101" s="226">
        <f t="shared" si="185"/>
        <v>3.9795496756121953E-3</v>
      </c>
      <c r="AP101" s="223">
        <f t="shared" si="186"/>
        <v>1270.4000000000001</v>
      </c>
      <c r="AQ101" s="224">
        <f t="shared" si="187"/>
        <v>60.495238095238101</v>
      </c>
      <c r="AR101" s="223">
        <f>Artengliederung!X101*'KiGa - PS'!L102</f>
        <v>33785.15</v>
      </c>
      <c r="AS101" s="226">
        <f t="shared" si="188"/>
        <v>0.10583255881848974</v>
      </c>
      <c r="AT101" s="223">
        <f t="shared" si="189"/>
        <v>33785.15</v>
      </c>
      <c r="AU101" s="223">
        <f t="shared" si="190"/>
        <v>1608.8166666666668</v>
      </c>
      <c r="AV101" s="227">
        <f t="shared" si="191"/>
        <v>0.19755030900714571</v>
      </c>
    </row>
    <row r="102" spans="1:48" x14ac:dyDescent="0.25">
      <c r="A102" s="365" t="s">
        <v>182</v>
      </c>
      <c r="B102" s="365" t="s">
        <v>34</v>
      </c>
      <c r="C102" s="328">
        <v>13</v>
      </c>
      <c r="D102" s="328">
        <f>Kennzahlen!H102</f>
        <v>248</v>
      </c>
      <c r="E102" s="223">
        <f>'KiGa - PS'!F103+'KiGa - PS'!L103*Funktional!H102</f>
        <v>3131300.8175163558</v>
      </c>
      <c r="F102" s="223">
        <f t="shared" si="168"/>
        <v>240869.29365510429</v>
      </c>
      <c r="G102" s="224">
        <f t="shared" ref="G102:G117" si="193">E102/D102</f>
        <v>12626.212973856273</v>
      </c>
      <c r="H102" s="223">
        <f>I102-'KiGa - PS'!H103</f>
        <v>1608402.65</v>
      </c>
      <c r="I102" s="223">
        <f t="shared" si="170"/>
        <v>3685068.6</v>
      </c>
      <c r="J102" s="365">
        <v>3871010.25</v>
      </c>
      <c r="K102" s="365">
        <v>94897.8</v>
      </c>
      <c r="L102" s="365">
        <v>0</v>
      </c>
      <c r="M102" s="365">
        <v>91043.85</v>
      </c>
      <c r="N102" s="365"/>
      <c r="O102" s="365"/>
      <c r="P102" s="365">
        <v>2274260.7999999998</v>
      </c>
      <c r="Q102" s="27">
        <f t="shared" si="171"/>
        <v>2183216.9499999997</v>
      </c>
      <c r="R102" s="223">
        <f>(Q102-'KiGa - PS'!H103)*'KiGa - PS'!L103+'KiGa - PS'!F103</f>
        <v>1855137.519109024</v>
      </c>
      <c r="S102" s="226">
        <f t="shared" ref="S102:S117" si="194">R102/$E102</f>
        <v>0.59244947298945805</v>
      </c>
      <c r="T102" s="223">
        <f t="shared" ref="T102:T117" si="195">R102/C102</f>
        <v>142702.88608530952</v>
      </c>
      <c r="U102" s="224">
        <f t="shared" ref="U102:U117" si="196">R102/D102</f>
        <v>7480.3932222138064</v>
      </c>
      <c r="V102" s="365">
        <v>146671.15</v>
      </c>
      <c r="W102" s="223">
        <f>V102*'KiGa - PS'!L103</f>
        <v>124630.37781740726</v>
      </c>
      <c r="X102" s="226">
        <f t="shared" ref="X102:X117" si="197">W102/$E102</f>
        <v>3.9801470724317042E-2</v>
      </c>
      <c r="Y102" s="223">
        <f t="shared" ref="Y102:Y117" si="198">W102/C102</f>
        <v>9586.9521398005581</v>
      </c>
      <c r="Z102" s="224">
        <f t="shared" ref="Z102:Z117" si="199">W102/D102</f>
        <v>502.54184603793254</v>
      </c>
      <c r="AA102" s="365">
        <v>440660.3</v>
      </c>
      <c r="AB102" s="365">
        <v>129722</v>
      </c>
      <c r="AC102" s="225">
        <f>Artengliederung!AE102</f>
        <v>326878</v>
      </c>
      <c r="AD102" s="223">
        <f>AC102*'KiGa - PS'!L103</f>
        <v>277756.93202240835</v>
      </c>
      <c r="AE102" s="226">
        <f t="shared" ref="AE102:AE117" si="200">AD102/$E102</f>
        <v>8.8703369049900463E-2</v>
      </c>
      <c r="AF102" s="223">
        <f t="shared" ref="AF102:AF117" si="201">AD102/C102</f>
        <v>21365.917847877565</v>
      </c>
      <c r="AG102" s="224">
        <f t="shared" ref="AG102:AG117" si="202">AD102/D102</f>
        <v>1119.9876291226144</v>
      </c>
      <c r="AH102" s="225">
        <f t="shared" si="192"/>
        <v>310938.3</v>
      </c>
      <c r="AI102" s="223">
        <f>AH102*'KiGa - PS'!L103</f>
        <v>264212.54491358611</v>
      </c>
      <c r="AJ102" s="226">
        <f t="shared" ref="AJ102:AJ117" si="203">AI102/$E102</f>
        <v>8.4377886479508141E-2</v>
      </c>
      <c r="AK102" s="223">
        <f t="shared" ref="AK102:AK117" si="204">AI102/C102</f>
        <v>20324.041916429702</v>
      </c>
      <c r="AL102" s="224">
        <f t="shared" ref="AL102:AL117" si="205">AI102/D102</f>
        <v>1065.3731649741376</v>
      </c>
      <c r="AM102" s="365">
        <v>24607.85</v>
      </c>
      <c r="AN102" s="223">
        <f>AM102*'KiGa - PS'!L103</f>
        <v>20909.944749012233</v>
      </c>
      <c r="AO102" s="226">
        <f t="shared" ref="AO102:AO117" si="206">AN102/$E102</f>
        <v>6.6777182926798162E-3</v>
      </c>
      <c r="AP102" s="223">
        <f t="shared" ref="AP102:AP117" si="207">AN102/C102</f>
        <v>1608.4572883855565</v>
      </c>
      <c r="AQ102" s="224">
        <f t="shared" ref="AQ102:AQ117" si="208">AN102/$D102</f>
        <v>84.31429334279126</v>
      </c>
      <c r="AR102" s="223">
        <f>Artengliederung!X102*'KiGa - PS'!L103</f>
        <v>208038.22393759576</v>
      </c>
      <c r="AS102" s="226">
        <f t="shared" ref="AS102:AS117" si="209">AR102/E102</f>
        <v>6.6438274717599569E-2</v>
      </c>
      <c r="AT102" s="223">
        <f t="shared" ref="AT102:AT117" si="210">AR102/C102</f>
        <v>16002.940302891981</v>
      </c>
      <c r="AU102" s="223">
        <f t="shared" ref="AU102:AU117" si="211">AR102/D102</f>
        <v>838.86380619998295</v>
      </c>
      <c r="AV102" s="227">
        <f t="shared" ref="AV102:AV117" si="212">1-S102-X102-AJ102-AE102-AO102-AS102</f>
        <v>0.12155180774653689</v>
      </c>
    </row>
    <row r="103" spans="1:48" x14ac:dyDescent="0.25">
      <c r="A103" s="365" t="s">
        <v>183</v>
      </c>
      <c r="B103" s="365" t="s">
        <v>34</v>
      </c>
      <c r="C103" s="328">
        <v>3</v>
      </c>
      <c r="D103" s="328">
        <f>Kennzahlen!H103</f>
        <v>58</v>
      </c>
      <c r="E103" s="223">
        <f>'KiGa - PS'!F104+'KiGa - PS'!L104*Funktional!H103</f>
        <v>764718.68850621185</v>
      </c>
      <c r="F103" s="223">
        <f t="shared" ref="F103:F118" si="213">E103/C103</f>
        <v>254906.22950207061</v>
      </c>
      <c r="G103" s="224">
        <f t="shared" si="193"/>
        <v>13184.804974245031</v>
      </c>
      <c r="H103" s="223">
        <f>I103-'KiGa - PS'!H104</f>
        <v>443154.1</v>
      </c>
      <c r="I103" s="223">
        <f t="shared" si="170"/>
        <v>971184.1</v>
      </c>
      <c r="J103" s="365">
        <v>1013235.65</v>
      </c>
      <c r="K103" s="365">
        <v>3716</v>
      </c>
      <c r="L103" s="365">
        <v>0</v>
      </c>
      <c r="M103" s="365">
        <v>38335.550000000003</v>
      </c>
      <c r="N103" s="365"/>
      <c r="O103" s="365"/>
      <c r="P103" s="365">
        <v>532616.9</v>
      </c>
      <c r="Q103" s="27">
        <f t="shared" si="171"/>
        <v>494281.35000000003</v>
      </c>
      <c r="R103" s="223">
        <f>(Q103-'KiGa - PS'!H104)*'KiGa - PS'!L104+'KiGa - PS'!F104</f>
        <v>389201.37358620256</v>
      </c>
      <c r="S103" s="226">
        <f t="shared" si="194"/>
        <v>0.50894711929488967</v>
      </c>
      <c r="T103" s="223">
        <f t="shared" si="195"/>
        <v>129733.79119540086</v>
      </c>
      <c r="U103" s="224">
        <f t="shared" si="196"/>
        <v>6710.3685101069404</v>
      </c>
      <c r="V103" s="365">
        <v>31934.3</v>
      </c>
      <c r="W103" s="223">
        <f>V103*'KiGa - PS'!L104</f>
        <v>25145.341665255764</v>
      </c>
      <c r="X103" s="226">
        <f t="shared" si="197"/>
        <v>3.2881819214297267E-2</v>
      </c>
      <c r="Y103" s="223">
        <f t="shared" si="198"/>
        <v>8381.7805550852554</v>
      </c>
      <c r="Z103" s="224">
        <f t="shared" si="199"/>
        <v>433.54037353889248</v>
      </c>
      <c r="AA103" s="365">
        <v>182205.25</v>
      </c>
      <c r="AB103" s="365">
        <v>117395.5</v>
      </c>
      <c r="AC103" s="225">
        <f>Artengliederung!AE103</f>
        <v>68345.5</v>
      </c>
      <c r="AD103" s="223">
        <f>AC103*'KiGa - PS'!L104</f>
        <v>53815.832781139332</v>
      </c>
      <c r="AE103" s="226">
        <f t="shared" si="200"/>
        <v>7.0373372051704713E-2</v>
      </c>
      <c r="AF103" s="223">
        <f t="shared" si="201"/>
        <v>17938.610927046444</v>
      </c>
      <c r="AG103" s="224">
        <f t="shared" si="202"/>
        <v>927.85918588171262</v>
      </c>
      <c r="AH103" s="225">
        <f t="shared" si="192"/>
        <v>64809.75</v>
      </c>
      <c r="AI103" s="223">
        <f>AH103*'KiGa - PS'!L104</f>
        <v>51031.752911127216</v>
      </c>
      <c r="AJ103" s="226">
        <f t="shared" si="203"/>
        <v>6.6732713190012075E-2</v>
      </c>
      <c r="AK103" s="223">
        <f t="shared" si="204"/>
        <v>17010.584303709071</v>
      </c>
      <c r="AL103" s="224">
        <f t="shared" si="205"/>
        <v>879.85780881253822</v>
      </c>
      <c r="AM103" s="365">
        <v>3737.95</v>
      </c>
      <c r="AN103" s="223">
        <f>AM103*'KiGa - PS'!L104</f>
        <v>2943.2938839317844</v>
      </c>
      <c r="AO103" s="226">
        <f t="shared" si="206"/>
        <v>3.8488583163583507E-3</v>
      </c>
      <c r="AP103" s="223">
        <f t="shared" si="207"/>
        <v>981.09796131059477</v>
      </c>
      <c r="AQ103" s="224">
        <f t="shared" si="208"/>
        <v>50.746446274685937</v>
      </c>
      <c r="AR103" s="223">
        <f>Artengliederung!X103*'KiGa - PS'!L104</f>
        <v>69502.1927133875</v>
      </c>
      <c r="AS103" s="226">
        <f t="shared" si="209"/>
        <v>9.0885960756565104E-2</v>
      </c>
      <c r="AT103" s="223">
        <f t="shared" si="210"/>
        <v>23167.397571129168</v>
      </c>
      <c r="AU103" s="223">
        <f t="shared" si="211"/>
        <v>1198.3136674721982</v>
      </c>
      <c r="AV103" s="227">
        <f t="shared" si="212"/>
        <v>0.2263301571761728</v>
      </c>
    </row>
    <row r="104" spans="1:48" x14ac:dyDescent="0.25">
      <c r="A104" s="365" t="s">
        <v>184</v>
      </c>
      <c r="B104" s="365" t="s">
        <v>34</v>
      </c>
      <c r="C104" s="328">
        <v>1</v>
      </c>
      <c r="D104" s="328">
        <f>Kennzahlen!H104</f>
        <v>18</v>
      </c>
      <c r="E104" s="223">
        <f>I104</f>
        <v>250756.95</v>
      </c>
      <c r="F104" s="223">
        <f t="shared" si="213"/>
        <v>250756.95</v>
      </c>
      <c r="G104" s="224">
        <f t="shared" si="193"/>
        <v>13930.941666666668</v>
      </c>
      <c r="H104" s="223">
        <f>I104-'KiGa - PS'!H105</f>
        <v>98027</v>
      </c>
      <c r="I104" s="223">
        <f t="shared" ref="I104:I119" si="214">J104-K104-L104-M104</f>
        <v>250756.95</v>
      </c>
      <c r="J104" s="365">
        <v>259651.20000000001</v>
      </c>
      <c r="K104" s="365">
        <v>0</v>
      </c>
      <c r="L104" s="365">
        <v>0</v>
      </c>
      <c r="M104" s="365">
        <v>8894.25</v>
      </c>
      <c r="N104" s="365"/>
      <c r="O104" s="365"/>
      <c r="P104" s="365">
        <v>187216.05</v>
      </c>
      <c r="Q104" s="27">
        <f t="shared" ref="Q104:Q119" si="215">P104-M104</f>
        <v>178321.8</v>
      </c>
      <c r="R104" s="223">
        <f>Q104</f>
        <v>178321.8</v>
      </c>
      <c r="S104" s="226">
        <f t="shared" si="194"/>
        <v>0.71113402838884421</v>
      </c>
      <c r="T104" s="223">
        <f t="shared" si="195"/>
        <v>178321.8</v>
      </c>
      <c r="U104" s="224">
        <f t="shared" si="196"/>
        <v>9906.7666666666664</v>
      </c>
      <c r="V104" s="365">
        <v>9701.2000000000007</v>
      </c>
      <c r="W104" s="223">
        <f>V104*'KiGa - PS'!L105</f>
        <v>9701.2000000000007</v>
      </c>
      <c r="X104" s="226">
        <f t="shared" si="197"/>
        <v>3.8687661498514797E-2</v>
      </c>
      <c r="Y104" s="223">
        <f t="shared" si="198"/>
        <v>9701.2000000000007</v>
      </c>
      <c r="Z104" s="224">
        <f t="shared" si="199"/>
        <v>538.95555555555563</v>
      </c>
      <c r="AA104" s="365">
        <v>10483.200000000001</v>
      </c>
      <c r="AB104" s="365">
        <v>11750</v>
      </c>
      <c r="AC104" s="225">
        <f>Artengliederung!AE104</f>
        <v>20763</v>
      </c>
      <c r="AD104" s="223">
        <f>AC104*'KiGa - PS'!L105</f>
        <v>20763</v>
      </c>
      <c r="AE104" s="226">
        <f t="shared" si="200"/>
        <v>8.2801294241296203E-2</v>
      </c>
      <c r="AF104" s="223">
        <f t="shared" si="201"/>
        <v>20763</v>
      </c>
      <c r="AG104" s="224">
        <f t="shared" si="202"/>
        <v>1153.5</v>
      </c>
      <c r="AH104" s="225">
        <f t="shared" si="192"/>
        <v>-1266.7999999999993</v>
      </c>
      <c r="AI104" s="223">
        <f>AH104*'KiGa - PS'!L105</f>
        <v>-1266.7999999999993</v>
      </c>
      <c r="AJ104" s="226">
        <f t="shared" si="203"/>
        <v>-5.0519038455364819E-3</v>
      </c>
      <c r="AK104" s="223">
        <f t="shared" si="204"/>
        <v>-1266.7999999999993</v>
      </c>
      <c r="AL104" s="224">
        <f t="shared" si="205"/>
        <v>-70.377777777777737</v>
      </c>
      <c r="AM104" s="365">
        <v>548.70000000000005</v>
      </c>
      <c r="AN104" s="223">
        <f>AM104*'KiGa - PS'!L105</f>
        <v>548.70000000000005</v>
      </c>
      <c r="AO104" s="226">
        <f t="shared" si="206"/>
        <v>2.1881746448104431E-3</v>
      </c>
      <c r="AP104" s="223">
        <f t="shared" si="207"/>
        <v>548.70000000000005</v>
      </c>
      <c r="AQ104" s="224">
        <f t="shared" si="208"/>
        <v>30.483333333333334</v>
      </c>
      <c r="AR104" s="223">
        <f>Artengliederung!X104*'KiGa - PS'!L105</f>
        <v>13218.95</v>
      </c>
      <c r="AS104" s="226">
        <f t="shared" si="209"/>
        <v>5.2716185932234379E-2</v>
      </c>
      <c r="AT104" s="223">
        <f t="shared" si="210"/>
        <v>13218.95</v>
      </c>
      <c r="AU104" s="223">
        <f t="shared" si="211"/>
        <v>734.38611111111118</v>
      </c>
      <c r="AV104" s="227">
        <f t="shared" si="212"/>
        <v>0.1175245591398365</v>
      </c>
    </row>
    <row r="105" spans="1:48" x14ac:dyDescent="0.25">
      <c r="A105" s="365" t="s">
        <v>185</v>
      </c>
      <c r="B105" s="365" t="s">
        <v>34</v>
      </c>
      <c r="C105" s="328">
        <v>22</v>
      </c>
      <c r="D105" s="328">
        <f>Kennzahlen!H105</f>
        <v>425</v>
      </c>
      <c r="E105" s="223">
        <f>'KiGa - PS'!F106+'KiGa - PS'!L106*Funktional!H105</f>
        <v>4303432.8792368025</v>
      </c>
      <c r="F105" s="223">
        <f t="shared" si="213"/>
        <v>195610.58541985464</v>
      </c>
      <c r="G105" s="224">
        <f t="shared" si="193"/>
        <v>10125.724421733652</v>
      </c>
      <c r="H105" s="223">
        <f>I105-'KiGa - PS'!H106</f>
        <v>1900464.6999999993</v>
      </c>
      <c r="I105" s="223">
        <f t="shared" si="214"/>
        <v>5163446.6999999993</v>
      </c>
      <c r="J105" s="365">
        <v>5397986.3499999996</v>
      </c>
      <c r="K105" s="365">
        <v>189726.7</v>
      </c>
      <c r="L105" s="365">
        <v>14550.5</v>
      </c>
      <c r="M105" s="365">
        <v>30262.45</v>
      </c>
      <c r="N105" s="365"/>
      <c r="O105" s="365"/>
      <c r="P105" s="365">
        <v>3426976.05</v>
      </c>
      <c r="Q105" s="27">
        <f t="shared" si="215"/>
        <v>3396713.5999999996</v>
      </c>
      <c r="R105" s="223">
        <f>(Q105-'KiGa - PS'!H106)*'KiGa - PS'!L106+'KiGa - PS'!F106</f>
        <v>2830963.4701159606</v>
      </c>
      <c r="S105" s="226">
        <f t="shared" si="194"/>
        <v>0.65783841634309892</v>
      </c>
      <c r="T105" s="223">
        <f t="shared" si="195"/>
        <v>128680.15773254367</v>
      </c>
      <c r="U105" s="224">
        <f t="shared" si="196"/>
        <v>6661.0905179199071</v>
      </c>
      <c r="V105" s="365">
        <v>252185.7</v>
      </c>
      <c r="W105" s="223">
        <f>V105*'KiGa - PS'!L106</f>
        <v>210182.13145365648</v>
      </c>
      <c r="X105" s="226">
        <f t="shared" si="197"/>
        <v>4.8840573874811194E-2</v>
      </c>
      <c r="Y105" s="223">
        <f t="shared" si="198"/>
        <v>9553.7332478934768</v>
      </c>
      <c r="Z105" s="224">
        <f t="shared" si="199"/>
        <v>494.54619165566231</v>
      </c>
      <c r="AA105" s="365">
        <v>873528.8</v>
      </c>
      <c r="AB105" s="365">
        <v>295635.45</v>
      </c>
      <c r="AC105" s="225">
        <f>Artengliederung!AE105</f>
        <v>311436</v>
      </c>
      <c r="AD105" s="223">
        <f>AC105*'KiGa - PS'!L106</f>
        <v>259563.81464690884</v>
      </c>
      <c r="AE105" s="226">
        <f t="shared" si="200"/>
        <v>6.031552528662687E-2</v>
      </c>
      <c r="AF105" s="223">
        <f t="shared" si="201"/>
        <v>11798.355211223128</v>
      </c>
      <c r="AG105" s="224">
        <f t="shared" si="202"/>
        <v>610.73838740449139</v>
      </c>
      <c r="AH105" s="225">
        <f t="shared" si="192"/>
        <v>577893.35000000009</v>
      </c>
      <c r="AI105" s="223">
        <f>AH105*'KiGa - PS'!L106</f>
        <v>481640.53733377397</v>
      </c>
      <c r="AJ105" s="226">
        <f t="shared" si="203"/>
        <v>0.11192007656436159</v>
      </c>
      <c r="AK105" s="223">
        <f t="shared" si="204"/>
        <v>21892.751696989726</v>
      </c>
      <c r="AL105" s="224">
        <f t="shared" si="205"/>
        <v>1133.2718525500563</v>
      </c>
      <c r="AM105" s="365">
        <v>19293.150000000001</v>
      </c>
      <c r="AN105" s="223">
        <f>AM105*'KiGa - PS'!L106</f>
        <v>16079.719783695557</v>
      </c>
      <c r="AO105" s="226">
        <f t="shared" si="206"/>
        <v>3.7364867153562376E-3</v>
      </c>
      <c r="AP105" s="223">
        <f t="shared" si="207"/>
        <v>730.89635380434345</v>
      </c>
      <c r="AQ105" s="224">
        <f t="shared" si="208"/>
        <v>37.834634785166017</v>
      </c>
      <c r="AR105" s="223">
        <f>Artengliederung!X105*'KiGa - PS'!L106</f>
        <v>176611.96643749872</v>
      </c>
      <c r="AS105" s="226">
        <f t="shared" si="209"/>
        <v>4.1039786466663834E-2</v>
      </c>
      <c r="AT105" s="223">
        <f t="shared" si="210"/>
        <v>8027.8166562499418</v>
      </c>
      <c r="AU105" s="223">
        <f t="shared" si="211"/>
        <v>415.5575680882323</v>
      </c>
      <c r="AV105" s="227">
        <f t="shared" si="212"/>
        <v>7.6309134749081325E-2</v>
      </c>
    </row>
    <row r="106" spans="1:48" x14ac:dyDescent="0.25">
      <c r="A106" s="365" t="s">
        <v>186</v>
      </c>
      <c r="B106" s="365" t="s">
        <v>34</v>
      </c>
      <c r="C106" s="328">
        <v>5</v>
      </c>
      <c r="D106" s="328">
        <f>Kennzahlen!H106</f>
        <v>84</v>
      </c>
      <c r="E106" s="223">
        <f>'KiGa - PS'!F107+'KiGa - PS'!L107*Funktional!H106</f>
        <v>1211688.6695258529</v>
      </c>
      <c r="F106" s="223">
        <f t="shared" si="213"/>
        <v>242337.73390517058</v>
      </c>
      <c r="G106" s="224">
        <f t="shared" si="193"/>
        <v>14424.865113403011</v>
      </c>
      <c r="H106" s="223">
        <f>I106-'KiGa - PS'!H107</f>
        <v>610395.88</v>
      </c>
      <c r="I106" s="223">
        <f t="shared" si="214"/>
        <v>1511744.98</v>
      </c>
      <c r="J106" s="365">
        <v>1586251.13</v>
      </c>
      <c r="K106" s="365">
        <v>27600.5</v>
      </c>
      <c r="L106" s="365">
        <v>0</v>
      </c>
      <c r="M106" s="365">
        <v>46905.65</v>
      </c>
      <c r="N106" s="365"/>
      <c r="O106" s="365"/>
      <c r="P106" s="365">
        <v>911530.55</v>
      </c>
      <c r="Q106" s="27">
        <f t="shared" si="215"/>
        <v>864624.9</v>
      </c>
      <c r="R106" s="223">
        <f>(Q106-'KiGa - PS'!H107)*'KiGa - PS'!L107+'KiGa - PS'!F107</f>
        <v>693011.19473201339</v>
      </c>
      <c r="S106" s="226">
        <f t="shared" si="194"/>
        <v>0.57193833049804477</v>
      </c>
      <c r="T106" s="223">
        <f t="shared" si="195"/>
        <v>138602.23894640268</v>
      </c>
      <c r="U106" s="224">
        <f t="shared" si="196"/>
        <v>8250.1332706192079</v>
      </c>
      <c r="V106" s="365">
        <v>65938.149999999994</v>
      </c>
      <c r="W106" s="223">
        <f>V106*'KiGa - PS'!L107</f>
        <v>52850.5206245144</v>
      </c>
      <c r="X106" s="226">
        <f t="shared" si="197"/>
        <v>4.36172442259408E-2</v>
      </c>
      <c r="Y106" s="223">
        <f t="shared" si="198"/>
        <v>10570.10412490288</v>
      </c>
      <c r="Z106" s="224">
        <f t="shared" si="199"/>
        <v>629.17286457755233</v>
      </c>
      <c r="AA106" s="365">
        <v>196077.75</v>
      </c>
      <c r="AB106" s="365">
        <v>13367</v>
      </c>
      <c r="AC106" s="225">
        <f>Artengliederung!AE106</f>
        <v>143000</v>
      </c>
      <c r="AD106" s="223">
        <f>AC106*'KiGa - PS'!L107</f>
        <v>114616.87125443405</v>
      </c>
      <c r="AE106" s="226">
        <f t="shared" si="200"/>
        <v>9.4592673957481915E-2</v>
      </c>
      <c r="AF106" s="223">
        <f t="shared" si="201"/>
        <v>22923.374250886809</v>
      </c>
      <c r="AG106" s="224">
        <f t="shared" si="202"/>
        <v>1364.4865625527864</v>
      </c>
      <c r="AH106" s="225">
        <f t="shared" si="192"/>
        <v>182710.75</v>
      </c>
      <c r="AI106" s="223">
        <f>AH106*'KiGa - PS'!L107</f>
        <v>146445.69587098662</v>
      </c>
      <c r="AJ106" s="226">
        <f t="shared" si="203"/>
        <v>0.12086082799494398</v>
      </c>
      <c r="AK106" s="223">
        <f t="shared" si="204"/>
        <v>29289.139174197324</v>
      </c>
      <c r="AL106" s="224">
        <f t="shared" si="205"/>
        <v>1743.4011413212693</v>
      </c>
      <c r="AM106" s="365">
        <v>5271.9</v>
      </c>
      <c r="AN106" s="223">
        <f>AM106*'KiGa - PS'!L107</f>
        <v>4225.5152696940613</v>
      </c>
      <c r="AO106" s="226">
        <f t="shared" si="206"/>
        <v>3.4872945303248168E-3</v>
      </c>
      <c r="AP106" s="223">
        <f t="shared" si="207"/>
        <v>845.10305393881231</v>
      </c>
      <c r="AQ106" s="224">
        <f t="shared" si="208"/>
        <v>50.303753210643585</v>
      </c>
      <c r="AR106" s="223">
        <f>Artengliederung!X106*'KiGa - PS'!L107</f>
        <v>124842.33927932306</v>
      </c>
      <c r="AS106" s="226">
        <f t="shared" si="209"/>
        <v>0.10303169652331175</v>
      </c>
      <c r="AT106" s="223">
        <f t="shared" si="210"/>
        <v>24968.467855864612</v>
      </c>
      <c r="AU106" s="223">
        <f t="shared" si="211"/>
        <v>1486.218324753846</v>
      </c>
      <c r="AV106" s="227">
        <f t="shared" si="212"/>
        <v>6.2471932269951971E-2</v>
      </c>
    </row>
    <row r="107" spans="1:48" x14ac:dyDescent="0.25">
      <c r="A107" s="365" t="s">
        <v>187</v>
      </c>
      <c r="B107" s="365" t="s">
        <v>34</v>
      </c>
      <c r="C107" s="328">
        <v>2</v>
      </c>
      <c r="D107" s="328">
        <f>Kennzahlen!H107</f>
        <v>50</v>
      </c>
      <c r="E107" s="223">
        <f>'KiGa - PS'!F108+'KiGa - PS'!L108*Funktional!H107</f>
        <v>468067.89671632036</v>
      </c>
      <c r="F107" s="223">
        <f t="shared" si="213"/>
        <v>234033.94835816018</v>
      </c>
      <c r="G107" s="224">
        <f t="shared" si="193"/>
        <v>9361.3579343264064</v>
      </c>
      <c r="H107" s="223">
        <f>I107-'KiGa - PS'!H108</f>
        <v>253423.00000000006</v>
      </c>
      <c r="I107" s="223">
        <f t="shared" si="214"/>
        <v>605961.95000000007</v>
      </c>
      <c r="J107" s="365">
        <v>641107.9</v>
      </c>
      <c r="K107" s="365">
        <v>11638.7</v>
      </c>
      <c r="L107" s="365">
        <v>0</v>
      </c>
      <c r="M107" s="365">
        <v>23507.25</v>
      </c>
      <c r="N107" s="365"/>
      <c r="O107" s="365"/>
      <c r="P107" s="365">
        <v>352919.15</v>
      </c>
      <c r="Q107" s="27">
        <f t="shared" si="215"/>
        <v>329411.90000000002</v>
      </c>
      <c r="R107" s="223">
        <f>(Q107-'KiGa - PS'!H108)*'KiGa - PS'!L108+'KiGa - PS'!F108</f>
        <v>254450.19309599695</v>
      </c>
      <c r="S107" s="226">
        <f t="shared" si="194"/>
        <v>0.54361812651767982</v>
      </c>
      <c r="T107" s="223">
        <f t="shared" si="195"/>
        <v>127225.09654799847</v>
      </c>
      <c r="U107" s="224">
        <f t="shared" si="196"/>
        <v>5089.0038619199386</v>
      </c>
      <c r="V107" s="365">
        <v>32019.4</v>
      </c>
      <c r="W107" s="223">
        <f>V107*'KiGa - PS'!L108</f>
        <v>24732.993898574896</v>
      </c>
      <c r="X107" s="226">
        <f t="shared" si="197"/>
        <v>5.2840611526845861E-2</v>
      </c>
      <c r="Y107" s="223">
        <f t="shared" si="198"/>
        <v>12366.496949287448</v>
      </c>
      <c r="Z107" s="224">
        <f t="shared" si="199"/>
        <v>494.65987797149791</v>
      </c>
      <c r="AA107" s="365">
        <v>90645.4</v>
      </c>
      <c r="AB107" s="365">
        <v>15061.95</v>
      </c>
      <c r="AC107" s="225">
        <f>Artengliederung!AE107</f>
        <v>61280</v>
      </c>
      <c r="AD107" s="223">
        <f>AC107*'KiGa - PS'!L108</f>
        <v>47334.986480217296</v>
      </c>
      <c r="AE107" s="226">
        <f t="shared" si="200"/>
        <v>0.10112846194385637</v>
      </c>
      <c r="AF107" s="223">
        <f t="shared" si="201"/>
        <v>23667.493240108648</v>
      </c>
      <c r="AG107" s="224">
        <f t="shared" si="202"/>
        <v>946.69972960434598</v>
      </c>
      <c r="AH107" s="225">
        <f t="shared" si="192"/>
        <v>75583.45</v>
      </c>
      <c r="AI107" s="223">
        <f>AH107*'KiGa - PS'!L108</f>
        <v>58383.511486262723</v>
      </c>
      <c r="AJ107" s="226">
        <f t="shared" si="203"/>
        <v>0.12473299684905956</v>
      </c>
      <c r="AK107" s="223">
        <f t="shared" si="204"/>
        <v>29191.755743131362</v>
      </c>
      <c r="AL107" s="224">
        <f t="shared" si="205"/>
        <v>1167.6702297252546</v>
      </c>
      <c r="AM107" s="365">
        <v>3462.6</v>
      </c>
      <c r="AN107" s="223">
        <f>AM107*'KiGa - PS'!L108</f>
        <v>2674.6430187075784</v>
      </c>
      <c r="AO107" s="226">
        <f t="shared" si="206"/>
        <v>5.7142201750456437E-3</v>
      </c>
      <c r="AP107" s="223">
        <f t="shared" si="207"/>
        <v>1337.3215093537892</v>
      </c>
      <c r="AQ107" s="224">
        <f t="shared" si="208"/>
        <v>53.492860374151569</v>
      </c>
      <c r="AR107" s="223">
        <f>Artengliederung!X107*'KiGa - PS'!L108</f>
        <v>58099.640606179826</v>
      </c>
      <c r="AS107" s="226">
        <f t="shared" si="209"/>
        <v>0.12412652312575069</v>
      </c>
      <c r="AT107" s="223">
        <f t="shared" si="210"/>
        <v>29049.820303089913</v>
      </c>
      <c r="AU107" s="223">
        <f t="shared" si="211"/>
        <v>1161.9928121235964</v>
      </c>
      <c r="AV107" s="227">
        <f t="shared" si="212"/>
        <v>4.7839059861762054E-2</v>
      </c>
    </row>
    <row r="108" spans="1:48" x14ac:dyDescent="0.25">
      <c r="A108" s="365" t="s">
        <v>188</v>
      </c>
      <c r="B108" s="365" t="s">
        <v>34</v>
      </c>
      <c r="C108" s="328">
        <v>3</v>
      </c>
      <c r="D108" s="328">
        <f>Kennzahlen!H108</f>
        <v>65</v>
      </c>
      <c r="E108" s="223">
        <f>'KiGa - PS'!F109+'KiGa - PS'!L109*Funktional!H108</f>
        <v>636445.03129136492</v>
      </c>
      <c r="F108" s="223">
        <f t="shared" si="213"/>
        <v>212148.34376378832</v>
      </c>
      <c r="G108" s="224">
        <f t="shared" si="193"/>
        <v>9791.4620198671528</v>
      </c>
      <c r="H108" s="223">
        <f>I108-'KiGa - PS'!H109</f>
        <v>287501.99999999988</v>
      </c>
      <c r="I108" s="223">
        <f t="shared" si="214"/>
        <v>775346.24999999988</v>
      </c>
      <c r="J108" s="365">
        <v>782767.1</v>
      </c>
      <c r="K108" s="365">
        <v>3449.3</v>
      </c>
      <c r="L108" s="365">
        <v>0</v>
      </c>
      <c r="M108" s="365">
        <v>3971.55</v>
      </c>
      <c r="N108" s="365"/>
      <c r="O108" s="365"/>
      <c r="P108" s="365">
        <v>489651.45</v>
      </c>
      <c r="Q108" s="27">
        <f t="shared" si="215"/>
        <v>485679.9</v>
      </c>
      <c r="R108" s="223">
        <f>(Q108-'KiGa - PS'!H109)*'KiGa - PS'!L109+'KiGa - PS'!F109</f>
        <v>398671.63754656329</v>
      </c>
      <c r="S108" s="226">
        <f t="shared" si="194"/>
        <v>0.62640388084678311</v>
      </c>
      <c r="T108" s="223">
        <f t="shared" si="195"/>
        <v>132890.54584885444</v>
      </c>
      <c r="U108" s="224">
        <f t="shared" si="196"/>
        <v>6133.4098084086663</v>
      </c>
      <c r="V108" s="365">
        <v>23412.75</v>
      </c>
      <c r="W108" s="223">
        <f>V108*'KiGa - PS'!L109</f>
        <v>19218.418102063311</v>
      </c>
      <c r="X108" s="226">
        <f t="shared" si="197"/>
        <v>3.0196508979052909E-2</v>
      </c>
      <c r="Y108" s="223">
        <f t="shared" si="198"/>
        <v>6406.1393673544371</v>
      </c>
      <c r="Z108" s="224">
        <f t="shared" si="199"/>
        <v>295.66797080097405</v>
      </c>
      <c r="AA108" s="365">
        <v>136100.75</v>
      </c>
      <c r="AB108" s="365">
        <v>4685</v>
      </c>
      <c r="AC108" s="225">
        <f>Artengliederung!AE108</f>
        <v>56943</v>
      </c>
      <c r="AD108" s="223">
        <f>AC108*'KiGa - PS'!L109</f>
        <v>46741.812985906872</v>
      </c>
      <c r="AE108" s="226">
        <f t="shared" si="200"/>
        <v>7.3442026707422656E-2</v>
      </c>
      <c r="AF108" s="223">
        <f t="shared" si="201"/>
        <v>15580.604328635623</v>
      </c>
      <c r="AG108" s="224">
        <f t="shared" si="202"/>
        <v>719.10481516779805</v>
      </c>
      <c r="AH108" s="225">
        <f t="shared" si="192"/>
        <v>131415.75</v>
      </c>
      <c r="AI108" s="223">
        <f>AH108*'KiGa - PS'!L109</f>
        <v>107872.96787845198</v>
      </c>
      <c r="AJ108" s="226">
        <f t="shared" si="203"/>
        <v>0.16949298458591888</v>
      </c>
      <c r="AK108" s="223">
        <f t="shared" si="204"/>
        <v>35957.655959483993</v>
      </c>
      <c r="AL108" s="224">
        <f t="shared" si="205"/>
        <v>1659.5841212069536</v>
      </c>
      <c r="AM108" s="365">
        <v>7464.35</v>
      </c>
      <c r="AN108" s="223">
        <f>AM108*'KiGa - PS'!L109</f>
        <v>6127.1315484142733</v>
      </c>
      <c r="AO108" s="226">
        <f t="shared" si="206"/>
        <v>9.6271182068656432E-3</v>
      </c>
      <c r="AP108" s="223">
        <f t="shared" si="207"/>
        <v>2042.3771828047577</v>
      </c>
      <c r="AQ108" s="224">
        <f t="shared" si="208"/>
        <v>94.263562283296508</v>
      </c>
      <c r="AR108" s="223">
        <f>Artengliederung!X108*'KiGa - PS'!L109</f>
        <v>3001.201493406963</v>
      </c>
      <c r="AS108" s="226">
        <f t="shared" si="209"/>
        <v>4.7155706240921396E-3</v>
      </c>
      <c r="AT108" s="223">
        <f t="shared" si="210"/>
        <v>1000.400497802321</v>
      </c>
      <c r="AU108" s="223">
        <f t="shared" si="211"/>
        <v>46.172330667799429</v>
      </c>
      <c r="AV108" s="227">
        <f t="shared" si="212"/>
        <v>8.6121910049864664E-2</v>
      </c>
    </row>
    <row r="109" spans="1:48" x14ac:dyDescent="0.25">
      <c r="A109" s="365" t="s">
        <v>189</v>
      </c>
      <c r="B109" s="365" t="s">
        <v>34</v>
      </c>
      <c r="C109" s="328">
        <v>14</v>
      </c>
      <c r="D109" s="328">
        <f>Kennzahlen!H109</f>
        <v>310</v>
      </c>
      <c r="E109" s="223">
        <f>'KiGa - PS'!F110+'KiGa - PS'!L110*Funktional!H109</f>
        <v>3247830.0737528307</v>
      </c>
      <c r="F109" s="223">
        <f t="shared" si="213"/>
        <v>231987.86241091648</v>
      </c>
      <c r="G109" s="224">
        <f t="shared" si="193"/>
        <v>10476.871205654294</v>
      </c>
      <c r="H109" s="223">
        <f>I109-'KiGa - PS'!H110</f>
        <v>1484564.4</v>
      </c>
      <c r="I109" s="223">
        <f t="shared" si="214"/>
        <v>3874630.15</v>
      </c>
      <c r="J109" s="365">
        <v>4182925.35</v>
      </c>
      <c r="K109" s="365">
        <v>248972.45</v>
      </c>
      <c r="L109" s="365">
        <v>-81.95</v>
      </c>
      <c r="M109" s="365">
        <v>59404.7</v>
      </c>
      <c r="N109" s="365"/>
      <c r="O109" s="365"/>
      <c r="P109" s="365">
        <v>2542917.15</v>
      </c>
      <c r="Q109" s="27">
        <f t="shared" si="215"/>
        <v>2483512.4499999997</v>
      </c>
      <c r="R109" s="223">
        <f>(Q109-'KiGa - PS'!H110)*'KiGa - PS'!L110+'KiGa - PS'!F110</f>
        <v>2081753.8994398145</v>
      </c>
      <c r="S109" s="226">
        <f t="shared" si="194"/>
        <v>0.64096761596716523</v>
      </c>
      <c r="T109" s="223">
        <f t="shared" si="195"/>
        <v>148696.70710284388</v>
      </c>
      <c r="U109" s="224">
        <f t="shared" si="196"/>
        <v>6715.3351594832729</v>
      </c>
      <c r="V109" s="365">
        <v>288054.59999999998</v>
      </c>
      <c r="W109" s="223">
        <f>V109*'KiGa - PS'!L110</f>
        <v>241455.92135105905</v>
      </c>
      <c r="X109" s="226">
        <f t="shared" si="197"/>
        <v>7.4343766720547502E-2</v>
      </c>
      <c r="Y109" s="223">
        <f t="shared" si="198"/>
        <v>17246.851525075646</v>
      </c>
      <c r="Z109" s="224">
        <f t="shared" si="199"/>
        <v>778.89006887438404</v>
      </c>
      <c r="AA109" s="365">
        <v>625811.75</v>
      </c>
      <c r="AB109" s="365">
        <v>403469.8</v>
      </c>
      <c r="AC109" s="225">
        <f>Artengliederung!AE109</f>
        <v>237980</v>
      </c>
      <c r="AD109" s="223">
        <f>AC109*'KiGa - PS'!L110</f>
        <v>199481.90434426334</v>
      </c>
      <c r="AE109" s="226">
        <f t="shared" si="200"/>
        <v>6.1420055795518964E-2</v>
      </c>
      <c r="AF109" s="223">
        <f t="shared" si="201"/>
        <v>14248.707453161667</v>
      </c>
      <c r="AG109" s="224">
        <f t="shared" si="202"/>
        <v>643.49001401375267</v>
      </c>
      <c r="AH109" s="225">
        <f t="shared" si="192"/>
        <v>222341.95</v>
      </c>
      <c r="AI109" s="223">
        <f>AH109*'KiGa - PS'!L110</f>
        <v>186373.6263619505</v>
      </c>
      <c r="AJ109" s="226">
        <f t="shared" si="203"/>
        <v>5.7384044771344178E-2</v>
      </c>
      <c r="AK109" s="223">
        <f t="shared" si="204"/>
        <v>13312.401882996464</v>
      </c>
      <c r="AL109" s="224">
        <f t="shared" si="205"/>
        <v>601.20524632887259</v>
      </c>
      <c r="AM109" s="365">
        <v>24184.2</v>
      </c>
      <c r="AN109" s="223">
        <f>AM109*'KiGa - PS'!L110</f>
        <v>20271.914745115275</v>
      </c>
      <c r="AO109" s="226">
        <f t="shared" si="206"/>
        <v>6.241679609084754E-3</v>
      </c>
      <c r="AP109" s="223">
        <f t="shared" si="207"/>
        <v>1447.9939103653767</v>
      </c>
      <c r="AQ109" s="224">
        <f t="shared" si="208"/>
        <v>65.393273371339603</v>
      </c>
      <c r="AR109" s="223">
        <f>Artengliederung!X109*'KiGa - PS'!L110</f>
        <v>111850.35373074569</v>
      </c>
      <c r="AS109" s="226">
        <f t="shared" si="209"/>
        <v>3.4438486986945065E-2</v>
      </c>
      <c r="AT109" s="223">
        <f t="shared" si="210"/>
        <v>7989.3109807675492</v>
      </c>
      <c r="AU109" s="223">
        <f t="shared" si="211"/>
        <v>360.80759267982478</v>
      </c>
      <c r="AV109" s="227">
        <f t="shared" si="212"/>
        <v>0.12520435014939432</v>
      </c>
    </row>
    <row r="110" spans="1:48" x14ac:dyDescent="0.25">
      <c r="A110" s="365" t="s">
        <v>190</v>
      </c>
      <c r="B110" s="365" t="s">
        <v>34</v>
      </c>
      <c r="C110" s="328">
        <v>3</v>
      </c>
      <c r="D110" s="328">
        <f>Kennzahlen!H110</f>
        <v>64</v>
      </c>
      <c r="E110" s="223">
        <f>'KiGa - PS'!F111+'KiGa - PS'!L111*Funktional!H110</f>
        <v>601630.65470111533</v>
      </c>
      <c r="F110" s="223">
        <f t="shared" si="213"/>
        <v>200543.55156703843</v>
      </c>
      <c r="G110" s="224">
        <f t="shared" si="193"/>
        <v>9400.478979704927</v>
      </c>
      <c r="H110" s="223">
        <f>I110-'KiGa - PS'!H111</f>
        <v>211880.65000000002</v>
      </c>
      <c r="I110" s="223">
        <f t="shared" si="214"/>
        <v>728143.25</v>
      </c>
      <c r="J110" s="365">
        <v>774275.75</v>
      </c>
      <c r="K110" s="365">
        <v>46132.5</v>
      </c>
      <c r="L110" s="365">
        <v>0</v>
      </c>
      <c r="M110" s="365">
        <v>0</v>
      </c>
      <c r="N110" s="365"/>
      <c r="O110" s="365"/>
      <c r="P110" s="365">
        <v>517750.7</v>
      </c>
      <c r="Q110" s="27">
        <f t="shared" si="215"/>
        <v>517750.7</v>
      </c>
      <c r="R110" s="223">
        <f>(Q110-'KiGa - PS'!H111)*'KiGa - PS'!L111+'KiGa - PS'!F111</f>
        <v>427793.147314022</v>
      </c>
      <c r="S110" s="226">
        <f t="shared" si="194"/>
        <v>0.71105610056812307</v>
      </c>
      <c r="T110" s="223">
        <f t="shared" si="195"/>
        <v>142597.71577134068</v>
      </c>
      <c r="U110" s="224">
        <f t="shared" si="196"/>
        <v>6684.2679267815938</v>
      </c>
      <c r="V110" s="365">
        <v>33078</v>
      </c>
      <c r="W110" s="223">
        <f>V110*'KiGa - PS'!L111</f>
        <v>27330.801729197505</v>
      </c>
      <c r="X110" s="226">
        <f t="shared" si="197"/>
        <v>4.5427874254138863E-2</v>
      </c>
      <c r="Y110" s="223">
        <f t="shared" si="198"/>
        <v>9110.2672430658349</v>
      </c>
      <c r="Z110" s="224">
        <f t="shared" si="199"/>
        <v>427.04377701871101</v>
      </c>
      <c r="AA110" s="365">
        <v>93483.8</v>
      </c>
      <c r="AB110" s="365">
        <v>2712.5</v>
      </c>
      <c r="AC110" s="225">
        <f>Artengliederung!AE110</f>
        <v>26450</v>
      </c>
      <c r="AD110" s="223">
        <f>AC110*'KiGa - PS'!L111</f>
        <v>21854.395844285445</v>
      </c>
      <c r="AE110" s="226">
        <f t="shared" si="200"/>
        <v>3.6325269787229365E-2</v>
      </c>
      <c r="AF110" s="223">
        <f t="shared" si="201"/>
        <v>7284.7986147618149</v>
      </c>
      <c r="AG110" s="224">
        <f t="shared" si="202"/>
        <v>341.47493506696009</v>
      </c>
      <c r="AH110" s="225">
        <f t="shared" si="192"/>
        <v>90771.3</v>
      </c>
      <c r="AI110" s="223">
        <f>AH110*'KiGa - PS'!L111</f>
        <v>75000.072646517481</v>
      </c>
      <c r="AJ110" s="226">
        <f t="shared" si="203"/>
        <v>0.12466132179347948</v>
      </c>
      <c r="AK110" s="223">
        <f t="shared" si="204"/>
        <v>25000.024215505826</v>
      </c>
      <c r="AL110" s="224">
        <f t="shared" si="205"/>
        <v>1171.8761351018356</v>
      </c>
      <c r="AM110" s="365">
        <v>5400.35</v>
      </c>
      <c r="AN110" s="223">
        <f>AM110*'KiGa - PS'!L111</f>
        <v>4462.0562040713394</v>
      </c>
      <c r="AO110" s="226">
        <f t="shared" si="206"/>
        <v>7.4166038070118756E-3</v>
      </c>
      <c r="AP110" s="223">
        <f t="shared" si="207"/>
        <v>1487.3520680237798</v>
      </c>
      <c r="AQ110" s="224">
        <f t="shared" si="208"/>
        <v>69.719628188614678</v>
      </c>
      <c r="AR110" s="223">
        <f>Artengliederung!X110*'KiGa - PS'!L111</f>
        <v>31965.792717775799</v>
      </c>
      <c r="AS110" s="226">
        <f t="shared" si="209"/>
        <v>5.3131921500336639E-2</v>
      </c>
      <c r="AT110" s="223">
        <f t="shared" si="210"/>
        <v>10655.2642392586</v>
      </c>
      <c r="AU110" s="223">
        <f t="shared" si="211"/>
        <v>499.46551121524686</v>
      </c>
      <c r="AV110" s="227">
        <f t="shared" si="212"/>
        <v>2.1980908289680696E-2</v>
      </c>
    </row>
    <row r="111" spans="1:48" x14ac:dyDescent="0.25">
      <c r="A111" s="365" t="s">
        <v>191</v>
      </c>
      <c r="B111" s="365" t="s">
        <v>34</v>
      </c>
      <c r="C111" s="328">
        <v>4</v>
      </c>
      <c r="D111" s="328">
        <f>Kennzahlen!H111</f>
        <v>94</v>
      </c>
      <c r="E111" s="223">
        <f>'KiGa - PS'!F112+'KiGa - PS'!L112*Funktional!H111</f>
        <v>825556.18705140508</v>
      </c>
      <c r="F111" s="223">
        <f t="shared" si="213"/>
        <v>206389.04676285127</v>
      </c>
      <c r="G111" s="224">
        <f t="shared" si="193"/>
        <v>8782.5126282064375</v>
      </c>
      <c r="H111" s="223">
        <f>I111-'KiGa - PS'!H112</f>
        <v>403393.14999999991</v>
      </c>
      <c r="I111" s="223">
        <f t="shared" si="214"/>
        <v>1091862.45</v>
      </c>
      <c r="J111" s="365">
        <v>1120125.8</v>
      </c>
      <c r="K111" s="365">
        <v>12498.35</v>
      </c>
      <c r="L111" s="365">
        <v>115.9</v>
      </c>
      <c r="M111" s="365">
        <v>15649.1</v>
      </c>
      <c r="N111" s="365"/>
      <c r="O111" s="365"/>
      <c r="P111" s="365">
        <v>691791.1</v>
      </c>
      <c r="Q111" s="27">
        <f t="shared" si="215"/>
        <v>676142</v>
      </c>
      <c r="R111" s="223">
        <f>(Q111-'KiGa - PS'!H112)*'KiGa - PS'!L112+'KiGa - PS'!F112</f>
        <v>511230.33988879382</v>
      </c>
      <c r="S111" s="226">
        <f t="shared" si="194"/>
        <v>0.61925565807304761</v>
      </c>
      <c r="T111" s="223">
        <f t="shared" si="195"/>
        <v>127807.58497219846</v>
      </c>
      <c r="U111" s="224">
        <f t="shared" si="196"/>
        <v>5438.6206371148282</v>
      </c>
      <c r="V111" s="365">
        <v>55246.8</v>
      </c>
      <c r="W111" s="223">
        <f>V111*'KiGa - PS'!L112</f>
        <v>41772.054304817946</v>
      </c>
      <c r="X111" s="226">
        <f t="shared" si="197"/>
        <v>5.0598681180033259E-2</v>
      </c>
      <c r="Y111" s="223">
        <f t="shared" si="198"/>
        <v>10443.013576204487</v>
      </c>
      <c r="Z111" s="224">
        <f t="shared" si="199"/>
        <v>444.38355643423347</v>
      </c>
      <c r="AA111" s="365">
        <v>122576</v>
      </c>
      <c r="AB111" s="365">
        <v>19177.2</v>
      </c>
      <c r="AC111" s="225">
        <f>Artengliederung!AE111</f>
        <v>87817.1</v>
      </c>
      <c r="AD111" s="223">
        <f>AC111*'KiGa - PS'!L112</f>
        <v>66398.427964907081</v>
      </c>
      <c r="AE111" s="226">
        <f t="shared" si="200"/>
        <v>8.0428720668981712E-2</v>
      </c>
      <c r="AF111" s="223">
        <f t="shared" si="201"/>
        <v>16599.60699122677</v>
      </c>
      <c r="AG111" s="224">
        <f t="shared" si="202"/>
        <v>706.36625494582006</v>
      </c>
      <c r="AH111" s="225">
        <f t="shared" si="192"/>
        <v>103398.8</v>
      </c>
      <c r="AI111" s="223">
        <f>AH111*'KiGa - PS'!L112</f>
        <v>78179.736901558281</v>
      </c>
      <c r="AJ111" s="226">
        <f t="shared" si="203"/>
        <v>9.4699474279017481E-2</v>
      </c>
      <c r="AK111" s="223">
        <f t="shared" si="204"/>
        <v>19544.93422538957</v>
      </c>
      <c r="AL111" s="224">
        <f t="shared" si="205"/>
        <v>831.69932873998175</v>
      </c>
      <c r="AM111" s="365">
        <v>5580.35</v>
      </c>
      <c r="AN111" s="223">
        <f>AM111*'KiGa - PS'!L112</f>
        <v>4219.2974659146021</v>
      </c>
      <c r="AO111" s="226">
        <f t="shared" si="206"/>
        <v>5.1108543937929182E-3</v>
      </c>
      <c r="AP111" s="223">
        <f t="shared" si="207"/>
        <v>1054.8243664786505</v>
      </c>
      <c r="AQ111" s="224">
        <f t="shared" si="208"/>
        <v>44.886143254410662</v>
      </c>
      <c r="AR111" s="223">
        <f>Artengliederung!X111*'KiGa - PS'!L112</f>
        <v>43210.570597483427</v>
      </c>
      <c r="AS111" s="226">
        <f t="shared" si="209"/>
        <v>5.2341162570431837E-2</v>
      </c>
      <c r="AT111" s="223">
        <f t="shared" si="210"/>
        <v>10802.642649370857</v>
      </c>
      <c r="AU111" s="223">
        <f t="shared" si="211"/>
        <v>459.68692124982368</v>
      </c>
      <c r="AV111" s="227">
        <f t="shared" si="212"/>
        <v>9.7565448834695201E-2</v>
      </c>
    </row>
    <row r="112" spans="1:48" x14ac:dyDescent="0.25">
      <c r="A112" s="365" t="s">
        <v>192</v>
      </c>
      <c r="B112" s="365" t="s">
        <v>34</v>
      </c>
      <c r="C112" s="328">
        <v>1</v>
      </c>
      <c r="D112" s="328">
        <f>Kennzahlen!H112</f>
        <v>20</v>
      </c>
      <c r="E112" s="223">
        <f>'KiGa - PS'!F113+'KiGa - PS'!L113*Funktional!H112</f>
        <v>241527.33442594134</v>
      </c>
      <c r="F112" s="223">
        <f t="shared" si="213"/>
        <v>241527.33442594134</v>
      </c>
      <c r="G112" s="224">
        <f t="shared" si="193"/>
        <v>12076.366721297067</v>
      </c>
      <c r="H112" s="223">
        <f>I112-'KiGa - PS'!H113</f>
        <v>104162.49999999994</v>
      </c>
      <c r="I112" s="223">
        <f t="shared" si="214"/>
        <v>332454.94999999995</v>
      </c>
      <c r="J112" s="365">
        <v>342320.85</v>
      </c>
      <c r="K112" s="365">
        <v>0</v>
      </c>
      <c r="L112" s="365">
        <v>0</v>
      </c>
      <c r="M112" s="365">
        <v>9865.9</v>
      </c>
      <c r="N112" s="365"/>
      <c r="O112" s="365"/>
      <c r="P112" s="365">
        <v>237158.1</v>
      </c>
      <c r="Q112" s="27">
        <f t="shared" si="215"/>
        <v>227292.2</v>
      </c>
      <c r="R112" s="223">
        <f>(Q112-'KiGa - PS'!H113)*'KiGa - PS'!L113+'KiGa - PS'!F113</f>
        <v>165126.97194554619</v>
      </c>
      <c r="S112" s="226">
        <f t="shared" si="194"/>
        <v>0.68367819459448587</v>
      </c>
      <c r="T112" s="223">
        <f t="shared" si="195"/>
        <v>165126.97194554619</v>
      </c>
      <c r="U112" s="224">
        <f t="shared" si="196"/>
        <v>8256.3485972773087</v>
      </c>
      <c r="V112" s="365">
        <v>18444.55</v>
      </c>
      <c r="W112" s="223">
        <f>V112*'KiGa - PS'!L113</f>
        <v>13399.899734342946</v>
      </c>
      <c r="X112" s="226">
        <f t="shared" si="197"/>
        <v>5.5479847720721266E-2</v>
      </c>
      <c r="Y112" s="223">
        <f t="shared" si="198"/>
        <v>13399.899734342946</v>
      </c>
      <c r="Z112" s="224">
        <f t="shared" si="199"/>
        <v>669.9949867171473</v>
      </c>
      <c r="AA112" s="365">
        <v>6786</v>
      </c>
      <c r="AB112" s="365">
        <v>18840</v>
      </c>
      <c r="AC112" s="225">
        <f>Artengliederung!AE112</f>
        <v>35570</v>
      </c>
      <c r="AD112" s="223">
        <f>AC112*'KiGa - PS'!L113</f>
        <v>25841.478027416153</v>
      </c>
      <c r="AE112" s="226">
        <f t="shared" si="200"/>
        <v>0.10699193981019085</v>
      </c>
      <c r="AF112" s="223">
        <f t="shared" si="201"/>
        <v>25841.478027416153</v>
      </c>
      <c r="AG112" s="224">
        <f t="shared" si="202"/>
        <v>1292.0739013708076</v>
      </c>
      <c r="AH112" s="225">
        <f t="shared" si="192"/>
        <v>-12054</v>
      </c>
      <c r="AI112" s="223">
        <f>AH112*'KiGa - PS'!L113</f>
        <v>-8757.1879713937105</v>
      </c>
      <c r="AJ112" s="226">
        <f t="shared" si="203"/>
        <v>-3.625754406724882E-2</v>
      </c>
      <c r="AK112" s="223">
        <f t="shared" si="204"/>
        <v>-8757.1879713937105</v>
      </c>
      <c r="AL112" s="224">
        <f t="shared" si="205"/>
        <v>-437.85939856968554</v>
      </c>
      <c r="AM112" s="365">
        <v>1977.15</v>
      </c>
      <c r="AN112" s="223">
        <f>AM112*'KiGa - PS'!L113</f>
        <v>1436.3924172590905</v>
      </c>
      <c r="AO112" s="226">
        <f t="shared" si="206"/>
        <v>5.9471215573719104E-3</v>
      </c>
      <c r="AP112" s="223">
        <f t="shared" si="207"/>
        <v>1436.3924172590905</v>
      </c>
      <c r="AQ112" s="224">
        <f t="shared" si="208"/>
        <v>71.819620862954523</v>
      </c>
      <c r="AR112" s="223">
        <f>Artengliederung!X112*'KiGa - PS'!L113</f>
        <v>14858.087044512424</v>
      </c>
      <c r="AS112" s="226">
        <f t="shared" si="209"/>
        <v>6.1517207068205793E-2</v>
      </c>
      <c r="AT112" s="223">
        <f t="shared" si="210"/>
        <v>14858.087044512424</v>
      </c>
      <c r="AU112" s="223">
        <f t="shared" si="211"/>
        <v>742.90435222562121</v>
      </c>
      <c r="AV112" s="227">
        <f t="shared" si="212"/>
        <v>0.12264323331627316</v>
      </c>
    </row>
    <row r="113" spans="1:48" x14ac:dyDescent="0.25">
      <c r="A113" s="365" t="s">
        <v>193</v>
      </c>
      <c r="B113" s="365" t="s">
        <v>34</v>
      </c>
      <c r="C113" s="328">
        <v>15</v>
      </c>
      <c r="D113" s="328">
        <f>Kennzahlen!H113</f>
        <v>256</v>
      </c>
      <c r="E113" s="223">
        <f>'KiGa - PS'!F114+'KiGa - PS'!L114*Funktional!H113</f>
        <v>2925785.4328185953</v>
      </c>
      <c r="F113" s="223">
        <f t="shared" si="213"/>
        <v>195052.36218790634</v>
      </c>
      <c r="G113" s="224">
        <f t="shared" si="193"/>
        <v>11428.849346947638</v>
      </c>
      <c r="H113" s="223">
        <f>I113-'KiGa - PS'!H114</f>
        <v>1125804.1499999999</v>
      </c>
      <c r="I113" s="223">
        <f t="shared" si="214"/>
        <v>3456008.55</v>
      </c>
      <c r="J113" s="365">
        <v>3816651.15</v>
      </c>
      <c r="K113" s="365">
        <v>266668.5</v>
      </c>
      <c r="L113" s="365">
        <v>0</v>
      </c>
      <c r="M113" s="365">
        <v>93974.1</v>
      </c>
      <c r="N113" s="365"/>
      <c r="O113" s="365"/>
      <c r="P113" s="365">
        <v>2350856.85</v>
      </c>
      <c r="Q113" s="27">
        <f t="shared" si="215"/>
        <v>2256882.75</v>
      </c>
      <c r="R113" s="223">
        <f>(Q113-'KiGa - PS'!H114)*'KiGa - PS'!L114+'KiGa - PS'!F114</f>
        <v>1910630.3060302243</v>
      </c>
      <c r="S113" s="226">
        <f t="shared" si="194"/>
        <v>0.65303158755206203</v>
      </c>
      <c r="T113" s="223">
        <f t="shared" si="195"/>
        <v>127375.35373534828</v>
      </c>
      <c r="U113" s="224">
        <f t="shared" si="196"/>
        <v>7463.3996329305637</v>
      </c>
      <c r="V113" s="365">
        <v>133145.45000000001</v>
      </c>
      <c r="W113" s="223">
        <f>V113*'KiGa - PS'!L114</f>
        <v>112718.1870126093</v>
      </c>
      <c r="X113" s="226">
        <f t="shared" si="197"/>
        <v>3.8525787211955834E-2</v>
      </c>
      <c r="Y113" s="223">
        <f t="shared" si="198"/>
        <v>7514.5458008406194</v>
      </c>
      <c r="Z113" s="224">
        <f t="shared" si="199"/>
        <v>440.30541801800507</v>
      </c>
      <c r="AA113" s="365">
        <v>406749.05</v>
      </c>
      <c r="AB113" s="365">
        <v>34082</v>
      </c>
      <c r="AC113" s="225">
        <f>Artengliederung!AE113</f>
        <v>204309</v>
      </c>
      <c r="AD113" s="223">
        <f>AC113*'KiGa - PS'!L114</f>
        <v>172963.77811152532</v>
      </c>
      <c r="AE113" s="226">
        <f t="shared" si="200"/>
        <v>5.911704124690316E-2</v>
      </c>
      <c r="AF113" s="223">
        <f t="shared" si="201"/>
        <v>11530.918540768354</v>
      </c>
      <c r="AG113" s="224">
        <f t="shared" si="202"/>
        <v>675.63975824814577</v>
      </c>
      <c r="AH113" s="225">
        <f t="shared" si="192"/>
        <v>372667.05</v>
      </c>
      <c r="AI113" s="223">
        <f>AH113*'KiGa - PS'!L114</f>
        <v>315492.2247462261</v>
      </c>
      <c r="AJ113" s="226">
        <f t="shared" si="203"/>
        <v>0.10783163427069645</v>
      </c>
      <c r="AK113" s="223">
        <f t="shared" si="204"/>
        <v>21032.814983081738</v>
      </c>
      <c r="AL113" s="224">
        <f t="shared" si="205"/>
        <v>1232.3915029149457</v>
      </c>
      <c r="AM113" s="365">
        <v>19161.7</v>
      </c>
      <c r="AN113" s="223">
        <f>AM113*'KiGa - PS'!L114</f>
        <v>16221.899314467864</v>
      </c>
      <c r="AO113" s="226">
        <f t="shared" si="206"/>
        <v>5.5444596628674431E-3</v>
      </c>
      <c r="AP113" s="223">
        <f t="shared" si="207"/>
        <v>1081.4599542978576</v>
      </c>
      <c r="AQ113" s="224">
        <f t="shared" si="208"/>
        <v>63.366794197140095</v>
      </c>
      <c r="AR113" s="223">
        <f>Artengliederung!X113*'KiGa - PS'!L114</f>
        <v>144977.51600364115</v>
      </c>
      <c r="AS113" s="226">
        <f t="shared" si="209"/>
        <v>4.9551656925154314E-2</v>
      </c>
      <c r="AT113" s="223">
        <f t="shared" si="210"/>
        <v>9665.1677335760778</v>
      </c>
      <c r="AU113" s="223">
        <f t="shared" si="211"/>
        <v>566.31842188922326</v>
      </c>
      <c r="AV113" s="227">
        <f t="shared" si="212"/>
        <v>8.6397833130360785E-2</v>
      </c>
    </row>
    <row r="114" spans="1:48" x14ac:dyDescent="0.25">
      <c r="A114" s="365" t="s">
        <v>194</v>
      </c>
      <c r="B114" s="365" t="s">
        <v>34</v>
      </c>
      <c r="C114" s="328">
        <v>13.5</v>
      </c>
      <c r="D114" s="328">
        <f>Kennzahlen!H114</f>
        <v>300</v>
      </c>
      <c r="E114" s="223">
        <f>'KiGa - PS'!F115+'KiGa - PS'!L115*Funktional!H114</f>
        <v>2836509.8325158642</v>
      </c>
      <c r="F114" s="223">
        <f t="shared" si="213"/>
        <v>210111.83944561958</v>
      </c>
      <c r="G114" s="224">
        <f t="shared" si="193"/>
        <v>9455.0327750528813</v>
      </c>
      <c r="H114" s="223">
        <f>I114-'KiGa - PS'!H115</f>
        <v>1185327.3000000003</v>
      </c>
      <c r="I114" s="223">
        <f t="shared" si="214"/>
        <v>3568528.3000000003</v>
      </c>
      <c r="J114" s="365">
        <v>3873405.85</v>
      </c>
      <c r="K114" s="365">
        <v>196074</v>
      </c>
      <c r="L114" s="365">
        <v>0</v>
      </c>
      <c r="M114" s="365">
        <v>108803.55</v>
      </c>
      <c r="N114" s="365"/>
      <c r="O114" s="365"/>
      <c r="P114" s="365">
        <v>2430130.75</v>
      </c>
      <c r="Q114" s="27">
        <f t="shared" si="215"/>
        <v>2321327.2000000002</v>
      </c>
      <c r="R114" s="223">
        <f>(Q114-'KiGa - PS'!H115)*'KiGa - PS'!L115+'KiGa - PS'!F115</f>
        <v>1845149.2810878141</v>
      </c>
      <c r="S114" s="226">
        <f t="shared" si="194"/>
        <v>0.65049987133351295</v>
      </c>
      <c r="T114" s="223">
        <f t="shared" si="195"/>
        <v>136677.72452502328</v>
      </c>
      <c r="U114" s="224">
        <f t="shared" si="196"/>
        <v>6150.4976036260468</v>
      </c>
      <c r="V114" s="365">
        <v>185531.45</v>
      </c>
      <c r="W114" s="223">
        <f>V114*'KiGa - PS'!L115</f>
        <v>147473.05833778184</v>
      </c>
      <c r="X114" s="226">
        <f t="shared" si="197"/>
        <v>5.1991026664969985E-2</v>
      </c>
      <c r="Y114" s="223">
        <f t="shared" si="198"/>
        <v>10923.930247243099</v>
      </c>
      <c r="Z114" s="224">
        <f t="shared" si="199"/>
        <v>491.57686112593944</v>
      </c>
      <c r="AA114" s="365">
        <v>355030.8</v>
      </c>
      <c r="AB114" s="365">
        <v>20195.25</v>
      </c>
      <c r="AC114" s="225">
        <f>Artengliederung!AE114</f>
        <v>304602.95</v>
      </c>
      <c r="AD114" s="223">
        <f>AC114*'KiGa - PS'!L115</f>
        <v>242119.21275455152</v>
      </c>
      <c r="AE114" s="226">
        <f t="shared" si="200"/>
        <v>8.5358143299578138E-2</v>
      </c>
      <c r="AF114" s="223">
        <f t="shared" si="201"/>
        <v>17934.756500337149</v>
      </c>
      <c r="AG114" s="224">
        <f t="shared" si="202"/>
        <v>807.06404251517176</v>
      </c>
      <c r="AH114" s="225">
        <f t="shared" si="192"/>
        <v>334835.55</v>
      </c>
      <c r="AI114" s="223">
        <f>AH114*'KiGa - PS'!L115</f>
        <v>266150.14650461287</v>
      </c>
      <c r="AJ114" s="226">
        <f t="shared" si="203"/>
        <v>9.3830151213877153E-2</v>
      </c>
      <c r="AK114" s="223">
        <f t="shared" si="204"/>
        <v>19714.825667008361</v>
      </c>
      <c r="AL114" s="224">
        <f t="shared" si="205"/>
        <v>887.16715501537624</v>
      </c>
      <c r="AM114" s="365">
        <v>39872.6</v>
      </c>
      <c r="AN114" s="223">
        <f>AM114*'KiGa - PS'!L115</f>
        <v>31693.463646616459</v>
      </c>
      <c r="AO114" s="226">
        <f t="shared" si="206"/>
        <v>1.1173401651319395E-2</v>
      </c>
      <c r="AP114" s="223">
        <f t="shared" si="207"/>
        <v>2347.6639738234412</v>
      </c>
      <c r="AQ114" s="224">
        <f t="shared" si="208"/>
        <v>105.64487882205486</v>
      </c>
      <c r="AR114" s="223">
        <f>Artengliederung!X114*'KiGa - PS'!L115</f>
        <v>212818.22304316756</v>
      </c>
      <c r="AS114" s="226">
        <f t="shared" si="209"/>
        <v>7.5028198599405807E-2</v>
      </c>
      <c r="AT114" s="223">
        <f t="shared" si="210"/>
        <v>15764.312818012411</v>
      </c>
      <c r="AU114" s="223">
        <f t="shared" si="211"/>
        <v>709.39407681055854</v>
      </c>
      <c r="AV114" s="227">
        <f t="shared" si="212"/>
        <v>3.2119207237336578E-2</v>
      </c>
    </row>
    <row r="115" spans="1:48" x14ac:dyDescent="0.25">
      <c r="A115" s="365" t="s">
        <v>195</v>
      </c>
      <c r="B115" s="365" t="s">
        <v>34</v>
      </c>
      <c r="C115" s="328">
        <v>5</v>
      </c>
      <c r="D115" s="328">
        <f>Kennzahlen!H115</f>
        <v>102</v>
      </c>
      <c r="E115" s="223">
        <f>'KiGa - PS'!F116+'KiGa - PS'!L116*Funktional!H115</f>
        <v>1320379.6279580165</v>
      </c>
      <c r="F115" s="223">
        <f t="shared" si="213"/>
        <v>264075.92559160327</v>
      </c>
      <c r="G115" s="224">
        <f t="shared" si="193"/>
        <v>12944.898313313886</v>
      </c>
      <c r="H115" s="223">
        <f>I115-'KiGa - PS'!H116</f>
        <v>763350.46</v>
      </c>
      <c r="I115" s="223">
        <f t="shared" si="214"/>
        <v>1582234.16</v>
      </c>
      <c r="J115" s="365">
        <v>1671046.76</v>
      </c>
      <c r="K115" s="365">
        <v>55364.6</v>
      </c>
      <c r="L115" s="365">
        <v>0</v>
      </c>
      <c r="M115" s="365">
        <v>33448</v>
      </c>
      <c r="N115" s="365"/>
      <c r="O115" s="365"/>
      <c r="P115" s="365">
        <v>821669.65</v>
      </c>
      <c r="Q115" s="27">
        <f t="shared" si="215"/>
        <v>788221.65</v>
      </c>
      <c r="R115" s="223">
        <f>(Q115-'KiGa - PS'!H116)*'KiGa - PS'!L116+'KiGa - PS'!F116</f>
        <v>657773.56808896991</v>
      </c>
      <c r="S115" s="226">
        <f t="shared" si="194"/>
        <v>0.49817003698112561</v>
      </c>
      <c r="T115" s="223">
        <f t="shared" si="195"/>
        <v>131554.71361779398</v>
      </c>
      <c r="U115" s="224">
        <f t="shared" si="196"/>
        <v>6448.7604714604895</v>
      </c>
      <c r="V115" s="365">
        <v>66302.350000000006</v>
      </c>
      <c r="W115" s="223">
        <f>V115*'KiGa - PS'!L116</f>
        <v>55329.52987549088</v>
      </c>
      <c r="X115" s="226">
        <f t="shared" si="197"/>
        <v>4.1904258975169653E-2</v>
      </c>
      <c r="Y115" s="223">
        <f t="shared" si="198"/>
        <v>11065.905975098176</v>
      </c>
      <c r="Z115" s="224">
        <f t="shared" si="199"/>
        <v>542.44637132834191</v>
      </c>
      <c r="AA115" s="365">
        <v>256172.56</v>
      </c>
      <c r="AB115" s="365">
        <v>34074</v>
      </c>
      <c r="AC115" s="225">
        <f>Artengliederung!AE115</f>
        <v>173600</v>
      </c>
      <c r="AD115" s="223">
        <f>AC115*'KiGa - PS'!L116</f>
        <v>144869.77288716336</v>
      </c>
      <c r="AE115" s="226">
        <f t="shared" si="200"/>
        <v>0.10971827330538737</v>
      </c>
      <c r="AF115" s="223">
        <f t="shared" si="201"/>
        <v>28973.954577432673</v>
      </c>
      <c r="AG115" s="224">
        <f t="shared" si="202"/>
        <v>1420.2918910506212</v>
      </c>
      <c r="AH115" s="225">
        <f t="shared" si="192"/>
        <v>222098.56</v>
      </c>
      <c r="AI115" s="223">
        <f>AH115*'KiGa - PS'!L116</f>
        <v>185341.98125441259</v>
      </c>
      <c r="AJ115" s="226">
        <f t="shared" si="203"/>
        <v>0.14037022181343881</v>
      </c>
      <c r="AK115" s="223">
        <f t="shared" si="204"/>
        <v>37068.396250882521</v>
      </c>
      <c r="AL115" s="224">
        <f t="shared" si="205"/>
        <v>1817.0782475922804</v>
      </c>
      <c r="AM115" s="365">
        <v>5519.15</v>
      </c>
      <c r="AN115" s="223">
        <f>AM115*'KiGa - PS'!L116</f>
        <v>4605.7488884227396</v>
      </c>
      <c r="AO115" s="226">
        <f t="shared" si="206"/>
        <v>3.4882005075658334E-3</v>
      </c>
      <c r="AP115" s="223">
        <f t="shared" si="207"/>
        <v>921.14977768454787</v>
      </c>
      <c r="AQ115" s="224">
        <f t="shared" si="208"/>
        <v>45.154400866889603</v>
      </c>
      <c r="AR115" s="223">
        <f>Artengliederung!X115*'KiGa - PS'!L116</f>
        <v>127785.4875273986</v>
      </c>
      <c r="AS115" s="226">
        <f t="shared" si="209"/>
        <v>9.677935407487348E-2</v>
      </c>
      <c r="AT115" s="223">
        <f t="shared" si="210"/>
        <v>25557.09750547972</v>
      </c>
      <c r="AU115" s="223">
        <f t="shared" si="211"/>
        <v>1252.7988973274373</v>
      </c>
      <c r="AV115" s="227">
        <f t="shared" si="212"/>
        <v>0.10956965434243932</v>
      </c>
    </row>
    <row r="116" spans="1:48" x14ac:dyDescent="0.25">
      <c r="A116" s="365" t="s">
        <v>196</v>
      </c>
      <c r="B116" s="365" t="s">
        <v>34</v>
      </c>
      <c r="C116" s="328">
        <v>6</v>
      </c>
      <c r="D116" s="328">
        <f>Kennzahlen!H116</f>
        <v>130</v>
      </c>
      <c r="E116" s="223">
        <f>'KiGa - PS'!F117+'KiGa - PS'!L117*Funktional!H116</f>
        <v>1248033.1538363472</v>
      </c>
      <c r="F116" s="223">
        <f t="shared" si="213"/>
        <v>208005.52563939118</v>
      </c>
      <c r="G116" s="224">
        <f t="shared" si="193"/>
        <v>9600.2550295103629</v>
      </c>
      <c r="H116" s="223">
        <f>I116-'KiGa - PS'!H117</f>
        <v>515363.92999999993</v>
      </c>
      <c r="I116" s="223">
        <f t="shared" si="214"/>
        <v>1375967.01</v>
      </c>
      <c r="J116" s="365">
        <v>1462694.26</v>
      </c>
      <c r="K116" s="365">
        <v>71124.25</v>
      </c>
      <c r="L116" s="365">
        <v>0</v>
      </c>
      <c r="M116" s="365">
        <v>15603</v>
      </c>
      <c r="N116" s="365"/>
      <c r="O116" s="365"/>
      <c r="P116" s="365">
        <v>879998.18</v>
      </c>
      <c r="Q116" s="27">
        <f t="shared" si="215"/>
        <v>864395.18</v>
      </c>
      <c r="R116" s="223">
        <f>(Q116-'KiGa - PS'!H117)*'KiGa - PS'!L117+'KiGa - PS'!F117</f>
        <v>784025.95034334227</v>
      </c>
      <c r="S116" s="226">
        <f t="shared" si="194"/>
        <v>0.62820923301060838</v>
      </c>
      <c r="T116" s="223">
        <f t="shared" si="195"/>
        <v>130670.99172389037</v>
      </c>
      <c r="U116" s="224">
        <f t="shared" si="196"/>
        <v>6030.9688487949406</v>
      </c>
      <c r="V116" s="365">
        <v>75328.55</v>
      </c>
      <c r="W116" s="223">
        <f>V116*'KiGa - PS'!L117</f>
        <v>68324.696120744193</v>
      </c>
      <c r="X116" s="226">
        <f t="shared" si="197"/>
        <v>5.4745898304640321E-2</v>
      </c>
      <c r="Y116" s="223">
        <f t="shared" si="198"/>
        <v>11387.449353457365</v>
      </c>
      <c r="Z116" s="224">
        <f t="shared" si="199"/>
        <v>525.57458554418611</v>
      </c>
      <c r="AA116" s="365">
        <v>178749.73</v>
      </c>
      <c r="AB116" s="365">
        <v>18997.95</v>
      </c>
      <c r="AC116" s="225">
        <f>Artengliederung!AE116</f>
        <v>60247</v>
      </c>
      <c r="AD116" s="223">
        <f>AC116*'KiGa - PS'!L117</f>
        <v>54645.389658854117</v>
      </c>
      <c r="AE116" s="226">
        <f t="shared" si="200"/>
        <v>4.3785206739804038E-2</v>
      </c>
      <c r="AF116" s="223">
        <f t="shared" si="201"/>
        <v>9107.5649431423535</v>
      </c>
      <c r="AG116" s="224">
        <f t="shared" si="202"/>
        <v>420.34915122195474</v>
      </c>
      <c r="AH116" s="225">
        <f t="shared" si="192"/>
        <v>159751.78</v>
      </c>
      <c r="AI116" s="223">
        <f>AH116*'KiGa - PS'!L117</f>
        <v>144898.47240187126</v>
      </c>
      <c r="AJ116" s="226">
        <f t="shared" si="203"/>
        <v>0.11610146089185672</v>
      </c>
      <c r="AK116" s="223">
        <f t="shared" si="204"/>
        <v>24149.745400311876</v>
      </c>
      <c r="AL116" s="224">
        <f t="shared" si="205"/>
        <v>1114.6036338605481</v>
      </c>
      <c r="AM116" s="365">
        <v>1367.8</v>
      </c>
      <c r="AN116" s="223">
        <f>AM116*'KiGa - PS'!L117</f>
        <v>1240.625491317089</v>
      </c>
      <c r="AO116" s="226">
        <f t="shared" si="206"/>
        <v>9.9406453066051359E-4</v>
      </c>
      <c r="AP116" s="223">
        <f t="shared" si="207"/>
        <v>206.77091521951482</v>
      </c>
      <c r="AQ116" s="224">
        <f t="shared" si="208"/>
        <v>9.543273010131454</v>
      </c>
      <c r="AR116" s="223">
        <f>Artengliederung!X116*'KiGa - PS'!L117</f>
        <v>126542.89309175841</v>
      </c>
      <c r="AS116" s="226">
        <f t="shared" si="209"/>
        <v>0.10139385536576202</v>
      </c>
      <c r="AT116" s="223">
        <f t="shared" si="210"/>
        <v>21090.482181959735</v>
      </c>
      <c r="AU116" s="223">
        <f t="shared" si="211"/>
        <v>973.40686993660313</v>
      </c>
      <c r="AV116" s="227">
        <f t="shared" si="212"/>
        <v>5.4770281156668002E-2</v>
      </c>
    </row>
    <row r="117" spans="1:48" x14ac:dyDescent="0.25">
      <c r="A117" s="365" t="s">
        <v>197</v>
      </c>
      <c r="B117" s="365" t="s">
        <v>34</v>
      </c>
      <c r="C117" s="328">
        <v>3</v>
      </c>
      <c r="D117" s="328">
        <f>Kennzahlen!H117</f>
        <v>73</v>
      </c>
      <c r="E117" s="223">
        <f>'KiGa - PS'!F118+'KiGa - PS'!L118*Funktional!H117</f>
        <v>729832.82253283937</v>
      </c>
      <c r="F117" s="223">
        <f t="shared" si="213"/>
        <v>243277.60751094646</v>
      </c>
      <c r="G117" s="224">
        <f t="shared" si="193"/>
        <v>9997.7098977101286</v>
      </c>
      <c r="H117" s="223">
        <f>I117-'KiGa - PS'!H118</f>
        <v>317712.75</v>
      </c>
      <c r="I117" s="223">
        <f>J117-K117-L117-M117</f>
        <v>970758.5</v>
      </c>
      <c r="J117" s="365">
        <v>1013383.85</v>
      </c>
      <c r="K117" s="365">
        <v>37765.5</v>
      </c>
      <c r="L117" s="365">
        <v>0</v>
      </c>
      <c r="M117" s="365">
        <v>4859.8500000000004</v>
      </c>
      <c r="N117" s="365"/>
      <c r="O117" s="365"/>
      <c r="P117" s="365">
        <v>653045.75</v>
      </c>
      <c r="Q117" s="27">
        <f t="shared" si="215"/>
        <v>648185.9</v>
      </c>
      <c r="R117" s="223">
        <f>(Q117-'KiGa - PS'!H118)*'KiGa - PS'!L118+'KiGa - PS'!F118</f>
        <v>487317.23175536329</v>
      </c>
      <c r="S117" s="226">
        <f t="shared" si="194"/>
        <v>0.66771076431470866</v>
      </c>
      <c r="T117" s="223">
        <f t="shared" si="195"/>
        <v>162439.07725178776</v>
      </c>
      <c r="U117" s="224">
        <f t="shared" si="196"/>
        <v>6675.5785171967573</v>
      </c>
      <c r="V117" s="365">
        <v>32730.25</v>
      </c>
      <c r="W117" s="223">
        <f>V117*'KiGa - PS'!L118</f>
        <v>24607.161039234234</v>
      </c>
      <c r="X117" s="226">
        <f t="shared" si="197"/>
        <v>3.3716161125552854E-2</v>
      </c>
      <c r="Y117" s="223">
        <f t="shared" si="198"/>
        <v>8202.3870130780779</v>
      </c>
      <c r="Z117" s="224">
        <f t="shared" si="199"/>
        <v>337.08439779772925</v>
      </c>
      <c r="AA117" s="365">
        <v>136472.35</v>
      </c>
      <c r="AB117" s="365">
        <v>36640</v>
      </c>
      <c r="AC117" s="225">
        <f>Artengliederung!AE117</f>
        <v>33500</v>
      </c>
      <c r="AD117" s="223">
        <f>AC117*'KiGa - PS'!L118</f>
        <v>25185.872237894513</v>
      </c>
      <c r="AE117" s="226">
        <f t="shared" si="200"/>
        <v>3.4509097782816224E-2</v>
      </c>
      <c r="AF117" s="223">
        <f t="shared" si="201"/>
        <v>8395.2907459648377</v>
      </c>
      <c r="AG117" s="224">
        <f t="shared" si="202"/>
        <v>345.01194846430838</v>
      </c>
      <c r="AH117" s="225">
        <f t="shared" ref="AH117:AH132" si="216">AA117-AB117</f>
        <v>99832.35</v>
      </c>
      <c r="AI117" s="223">
        <f>AH117*'KiGa - PS'!L118</f>
        <v>75055.666039067713</v>
      </c>
      <c r="AJ117" s="226">
        <f t="shared" si="203"/>
        <v>0.10283953218024876</v>
      </c>
      <c r="AK117" s="223">
        <f t="shared" si="204"/>
        <v>25018.555346355904</v>
      </c>
      <c r="AL117" s="224">
        <f t="shared" si="205"/>
        <v>1028.1598087543523</v>
      </c>
      <c r="AM117" s="365">
        <v>3413.2</v>
      </c>
      <c r="AN117" s="223">
        <f>AM117*'KiGa - PS'!L118</f>
        <v>2566.1020633546727</v>
      </c>
      <c r="AO117" s="226">
        <f t="shared" si="206"/>
        <v>3.5160135090241285E-3</v>
      </c>
      <c r="AP117" s="223">
        <f t="shared" si="207"/>
        <v>855.36735445155762</v>
      </c>
      <c r="AQ117" s="224">
        <f t="shared" si="208"/>
        <v>35.152083059653052</v>
      </c>
      <c r="AR117" s="223">
        <f>Artengliederung!X117*'KiGa - PS'!L118</f>
        <v>18325.541367124737</v>
      </c>
      <c r="AS117" s="226">
        <f t="shared" si="209"/>
        <v>2.5109231595705831E-2</v>
      </c>
      <c r="AT117" s="223">
        <f t="shared" si="210"/>
        <v>6108.513789041579</v>
      </c>
      <c r="AU117" s="223">
        <f t="shared" si="211"/>
        <v>251.03481324828408</v>
      </c>
      <c r="AV117" s="227">
        <f t="shared" si="212"/>
        <v>0.13259919949194351</v>
      </c>
    </row>
    <row r="118" spans="1:48" x14ac:dyDescent="0.25">
      <c r="A118" s="365" t="s">
        <v>198</v>
      </c>
      <c r="B118" s="365" t="s">
        <v>34</v>
      </c>
      <c r="C118" s="328">
        <v>6.5</v>
      </c>
      <c r="D118" s="328">
        <f>Kennzahlen!H118</f>
        <v>124</v>
      </c>
      <c r="E118" s="223">
        <f>'KiGa - PS'!F119+'KiGa - PS'!L119*Funktional!H118</f>
        <v>1276342.9158494165</v>
      </c>
      <c r="F118" s="223">
        <f t="shared" si="213"/>
        <v>196360.44859221793</v>
      </c>
      <c r="G118" s="224">
        <f t="shared" ref="G118:G129" si="217">E118/D118</f>
        <v>10293.088031043682</v>
      </c>
      <c r="H118" s="223">
        <f>I118-'KiGa - PS'!H119</f>
        <v>544946.69999999972</v>
      </c>
      <c r="I118" s="223">
        <f t="shared" si="214"/>
        <v>1479077.2999999998</v>
      </c>
      <c r="J118" s="365">
        <v>1507035</v>
      </c>
      <c r="K118" s="365">
        <v>27958.1</v>
      </c>
      <c r="L118" s="365">
        <v>0</v>
      </c>
      <c r="M118" s="365">
        <v>-0.4</v>
      </c>
      <c r="N118" s="365"/>
      <c r="O118" s="365"/>
      <c r="P118" s="365">
        <v>951540</v>
      </c>
      <c r="Q118" s="27">
        <f t="shared" si="215"/>
        <v>951540.4</v>
      </c>
      <c r="R118" s="223">
        <f>(Q118-'KiGa - PS'!H119)*'KiGa - PS'!L119+'KiGa - PS'!F119</f>
        <v>821114.52098177711</v>
      </c>
      <c r="S118" s="226">
        <f t="shared" ref="S118:S132" si="218">R118/$E118</f>
        <v>0.64333378654381357</v>
      </c>
      <c r="T118" s="223">
        <f t="shared" ref="T118:T132" si="219">R118/C118</f>
        <v>126325.3109202734</v>
      </c>
      <c r="U118" s="224">
        <f t="shared" ref="U118:U132" si="220">R118/D118</f>
        <v>6621.891298240138</v>
      </c>
      <c r="V118" s="365">
        <v>52144.65</v>
      </c>
      <c r="W118" s="223">
        <f>V118*'KiGa - PS'!L119</f>
        <v>44997.279470753339</v>
      </c>
      <c r="X118" s="226">
        <f t="shared" ref="X118:X132" si="221">W118/$E118</f>
        <v>3.5254851115624583E-2</v>
      </c>
      <c r="Y118" s="223">
        <f t="shared" ref="Y118:Y132" si="222">W118/C118</f>
        <v>6922.6583801158986</v>
      </c>
      <c r="Z118" s="224">
        <f t="shared" ref="Z118:Z129" si="223">W118/D118</f>
        <v>362.88128605446241</v>
      </c>
      <c r="AA118" s="365">
        <v>157475.5</v>
      </c>
      <c r="AB118" s="365">
        <v>1170</v>
      </c>
      <c r="AC118" s="225">
        <f>Artengliederung!AE118</f>
        <v>159604.04999999999</v>
      </c>
      <c r="AD118" s="223">
        <f>AC118*'KiGa - PS'!L119</f>
        <v>137727.41868080597</v>
      </c>
      <c r="AE118" s="226">
        <f t="shared" ref="AE118:AE129" si="224">AD118/$E118</f>
        <v>0.10790784903534115</v>
      </c>
      <c r="AF118" s="223">
        <f t="shared" ref="AF118:AF132" si="225">AD118/C118</f>
        <v>21188.83364320092</v>
      </c>
      <c r="AG118" s="224">
        <f t="shared" ref="AG118:AG132" si="226">AD118/D118</f>
        <v>1110.7049893613384</v>
      </c>
      <c r="AH118" s="225">
        <f t="shared" si="216"/>
        <v>156305.5</v>
      </c>
      <c r="AI118" s="223">
        <f>AH118*'KiGa - PS'!L119</f>
        <v>134880.99481568745</v>
      </c>
      <c r="AJ118" s="226">
        <f t="shared" ref="AJ118:AJ132" si="227">AI118/$E118</f>
        <v>0.10567770866336736</v>
      </c>
      <c r="AK118" s="223">
        <f t="shared" ref="AK118:AK132" si="228">AI118/C118</f>
        <v>20750.92227933653</v>
      </c>
      <c r="AL118" s="224">
        <f t="shared" ref="AL118:AL132" si="229">AI118/D118</f>
        <v>1087.7499581910279</v>
      </c>
      <c r="AM118" s="365">
        <v>7443.1</v>
      </c>
      <c r="AN118" s="223">
        <f>AM118*'KiGa - PS'!L119</f>
        <v>6422.8880782355272</v>
      </c>
      <c r="AO118" s="226">
        <f t="shared" ref="AO118:AO132" si="230">AN118/$E118</f>
        <v>5.032258963071099E-3</v>
      </c>
      <c r="AP118" s="223">
        <f t="shared" ref="AP118:AP132" si="231">AN118/C118</f>
        <v>988.13662742085035</v>
      </c>
      <c r="AQ118" s="224">
        <f t="shared" ref="AQ118:AQ129" si="232">AN118/$D118</f>
        <v>51.797484501899412</v>
      </c>
      <c r="AR118" s="223">
        <f>Artengliederung!X118*'KiGa - PS'!L119</f>
        <v>101335.16621263932</v>
      </c>
      <c r="AS118" s="226">
        <f t="shared" ref="AS118:AS132" si="233">AR118/E118</f>
        <v>7.9394937641190225E-2</v>
      </c>
      <c r="AT118" s="223">
        <f t="shared" ref="AT118:AT132" si="234">AR118/C118</f>
        <v>15590.02557117528</v>
      </c>
      <c r="AU118" s="223">
        <f t="shared" ref="AU118:AU132" si="235">AR118/D118</f>
        <v>817.21908235999456</v>
      </c>
      <c r="AV118" s="227">
        <f t="shared" ref="AV118:AV132" si="236">1-S118-X118-AJ118-AE118-AO118-AS118</f>
        <v>2.3398608037592028E-2</v>
      </c>
    </row>
    <row r="119" spans="1:48" x14ac:dyDescent="0.25">
      <c r="A119" s="365" t="s">
        <v>199</v>
      </c>
      <c r="B119" s="365" t="s">
        <v>34</v>
      </c>
      <c r="C119" s="328">
        <v>3</v>
      </c>
      <c r="D119" s="328">
        <f>Kennzahlen!H119</f>
        <v>60</v>
      </c>
      <c r="E119" s="223">
        <f>'KiGa - PS'!F120+'KiGa - PS'!L120*Funktional!H119</f>
        <v>672538.90775321331</v>
      </c>
      <c r="F119" s="223">
        <f t="shared" ref="F119:F134" si="237">E119/C119</f>
        <v>224179.63591773776</v>
      </c>
      <c r="G119" s="224">
        <f t="shared" si="217"/>
        <v>11208.981795886888</v>
      </c>
      <c r="H119" s="223">
        <f>I119-'KiGa - PS'!H120</f>
        <v>243945.84999999986</v>
      </c>
      <c r="I119" s="223">
        <f t="shared" si="214"/>
        <v>796970.09999999986</v>
      </c>
      <c r="J119" s="365">
        <v>862303.2</v>
      </c>
      <c r="K119" s="365">
        <v>14516.8</v>
      </c>
      <c r="L119" s="365">
        <v>0</v>
      </c>
      <c r="M119" s="365">
        <v>50816.3</v>
      </c>
      <c r="N119" s="365"/>
      <c r="O119" s="365"/>
      <c r="P119" s="365">
        <v>591027.25</v>
      </c>
      <c r="Q119" s="27">
        <f t="shared" si="215"/>
        <v>540210.94999999995</v>
      </c>
      <c r="R119" s="223">
        <f>(Q119-'KiGa - PS'!H120)*'KiGa - PS'!L120+'KiGa - PS'!F120</f>
        <v>455867.64455696108</v>
      </c>
      <c r="S119" s="226">
        <f t="shared" si="218"/>
        <v>0.67783088725662355</v>
      </c>
      <c r="T119" s="223">
        <f t="shared" si="219"/>
        <v>151955.88151898704</v>
      </c>
      <c r="U119" s="224">
        <f t="shared" si="220"/>
        <v>7597.7940759493513</v>
      </c>
      <c r="V119" s="365">
        <v>38790.9</v>
      </c>
      <c r="W119" s="223">
        <f>V119*'KiGa - PS'!L120</f>
        <v>32734.464588777078</v>
      </c>
      <c r="X119" s="226">
        <f t="shared" si="221"/>
        <v>4.8672967781350905E-2</v>
      </c>
      <c r="Y119" s="223">
        <f t="shared" si="222"/>
        <v>10911.488196259026</v>
      </c>
      <c r="Z119" s="224">
        <f t="shared" si="223"/>
        <v>545.57440981295133</v>
      </c>
      <c r="AA119" s="365">
        <v>53074.2</v>
      </c>
      <c r="AB119" s="365">
        <v>11200</v>
      </c>
      <c r="AC119" s="225">
        <f>Artengliederung!AE119</f>
        <v>71284</v>
      </c>
      <c r="AD119" s="223">
        <f>AC119*'KiGa - PS'!L120</f>
        <v>60154.406671316858</v>
      </c>
      <c r="AE119" s="226">
        <f t="shared" si="224"/>
        <v>8.9443757049354811E-2</v>
      </c>
      <c r="AF119" s="223">
        <f t="shared" si="225"/>
        <v>20051.468890438951</v>
      </c>
      <c r="AG119" s="224">
        <f t="shared" si="226"/>
        <v>1002.5734445219476</v>
      </c>
      <c r="AH119" s="225">
        <f t="shared" si="216"/>
        <v>41874.199999999997</v>
      </c>
      <c r="AI119" s="223">
        <f>AH119*'KiGa - PS'!L120</f>
        <v>35336.367990517596</v>
      </c>
      <c r="AJ119" s="226">
        <f t="shared" si="227"/>
        <v>5.2541745292577484E-2</v>
      </c>
      <c r="AK119" s="223">
        <f t="shared" si="228"/>
        <v>11778.789330172533</v>
      </c>
      <c r="AL119" s="224">
        <f t="shared" si="229"/>
        <v>588.93946650862665</v>
      </c>
      <c r="AM119" s="365">
        <v>2717.05</v>
      </c>
      <c r="AN119" s="223">
        <f>AM119*'KiGa - PS'!L120</f>
        <v>2292.8361293740741</v>
      </c>
      <c r="AO119" s="226">
        <f t="shared" si="230"/>
        <v>3.4092245116849437E-3</v>
      </c>
      <c r="AP119" s="223">
        <f t="shared" si="231"/>
        <v>764.27870979135798</v>
      </c>
      <c r="AQ119" s="224">
        <f t="shared" si="232"/>
        <v>38.213935489567902</v>
      </c>
      <c r="AR119" s="223">
        <f>Artengliederung!X119*'KiGa - PS'!L120</f>
        <v>22330.901556306078</v>
      </c>
      <c r="AS119" s="226">
        <f t="shared" si="233"/>
        <v>3.3203880547087034E-2</v>
      </c>
      <c r="AT119" s="223">
        <f t="shared" si="234"/>
        <v>7443.6338521020261</v>
      </c>
      <c r="AU119" s="223">
        <f t="shared" si="235"/>
        <v>372.18169260510132</v>
      </c>
      <c r="AV119" s="227">
        <f t="shared" si="236"/>
        <v>9.4897537561321299E-2</v>
      </c>
    </row>
    <row r="120" spans="1:48" x14ac:dyDescent="0.25">
      <c r="A120" s="365" t="s">
        <v>200</v>
      </c>
      <c r="B120" s="365" t="s">
        <v>34</v>
      </c>
      <c r="C120" s="328">
        <v>1.5</v>
      </c>
      <c r="D120" s="328">
        <f>Kennzahlen!H120</f>
        <v>35</v>
      </c>
      <c r="E120" s="223">
        <f>I120</f>
        <v>273549.34999999998</v>
      </c>
      <c r="F120" s="223">
        <f t="shared" si="237"/>
        <v>182366.23333333331</v>
      </c>
      <c r="G120" s="224">
        <f t="shared" si="217"/>
        <v>7815.6957142857136</v>
      </c>
      <c r="H120" s="223">
        <f>I120-'KiGa - PS'!H121</f>
        <v>44908.699999999983</v>
      </c>
      <c r="I120" s="223">
        <f t="shared" ref="I120:I135" si="238">J120-K120-L120-M120</f>
        <v>273549.34999999998</v>
      </c>
      <c r="J120" s="365">
        <v>290846.09999999998</v>
      </c>
      <c r="K120" s="365">
        <v>1729.9</v>
      </c>
      <c r="L120" s="365">
        <v>0</v>
      </c>
      <c r="M120" s="365">
        <v>15566.85</v>
      </c>
      <c r="N120" s="365"/>
      <c r="O120" s="365"/>
      <c r="P120" s="365">
        <v>232040.5</v>
      </c>
      <c r="Q120" s="27">
        <f t="shared" ref="Q120:Q135" si="239">P120-M120</f>
        <v>216473.65</v>
      </c>
      <c r="R120" s="223">
        <f>Q120</f>
        <v>216473.65</v>
      </c>
      <c r="S120" s="226">
        <f t="shared" si="218"/>
        <v>0.79135135945305668</v>
      </c>
      <c r="T120" s="223">
        <f t="shared" si="219"/>
        <v>144315.76666666666</v>
      </c>
      <c r="U120" s="224">
        <f t="shared" si="220"/>
        <v>6184.9614285714288</v>
      </c>
      <c r="V120" s="365">
        <v>13727.85</v>
      </c>
      <c r="W120" s="223">
        <f>V120*'KiGa - PS'!L121</f>
        <v>13727.85</v>
      </c>
      <c r="X120" s="226">
        <f t="shared" si="221"/>
        <v>5.0184180660637658E-2</v>
      </c>
      <c r="Y120" s="223">
        <f t="shared" si="222"/>
        <v>9151.9</v>
      </c>
      <c r="Z120" s="224">
        <f t="shared" si="223"/>
        <v>392.22428571428571</v>
      </c>
      <c r="AA120" s="365">
        <v>24517.45</v>
      </c>
      <c r="AB120" s="365">
        <v>14739.2</v>
      </c>
      <c r="AC120" s="225">
        <f>Artengliederung!AE120</f>
        <v>6725.3</v>
      </c>
      <c r="AD120" s="223">
        <f>AC120*'KiGa - PS'!L121</f>
        <v>6725.3</v>
      </c>
      <c r="AE120" s="226">
        <f t="shared" si="224"/>
        <v>2.4585326194341169E-2</v>
      </c>
      <c r="AF120" s="223">
        <f t="shared" si="225"/>
        <v>4483.5333333333338</v>
      </c>
      <c r="AG120" s="224">
        <f t="shared" si="226"/>
        <v>192.15142857142857</v>
      </c>
      <c r="AH120" s="225">
        <f t="shared" si="216"/>
        <v>9778.25</v>
      </c>
      <c r="AI120" s="223">
        <f>AH120*'KiGa - PS'!L121</f>
        <v>9778.25</v>
      </c>
      <c r="AJ120" s="226">
        <f t="shared" si="227"/>
        <v>3.574583525787943E-2</v>
      </c>
      <c r="AK120" s="223">
        <f t="shared" si="228"/>
        <v>6518.833333333333</v>
      </c>
      <c r="AL120" s="224">
        <f t="shared" si="229"/>
        <v>279.37857142857143</v>
      </c>
      <c r="AM120" s="365">
        <v>2027.5</v>
      </c>
      <c r="AN120" s="223">
        <f>AM120*'KiGa - PS'!L121</f>
        <v>2027.5</v>
      </c>
      <c r="AO120" s="226">
        <f t="shared" si="230"/>
        <v>7.4118253251195818E-3</v>
      </c>
      <c r="AP120" s="223">
        <f t="shared" si="231"/>
        <v>1351.6666666666667</v>
      </c>
      <c r="AQ120" s="224">
        <f t="shared" si="232"/>
        <v>57.928571428571431</v>
      </c>
      <c r="AR120" s="223">
        <f>Artengliederung!X120*'KiGa - PS'!L121</f>
        <v>692.2</v>
      </c>
      <c r="AS120" s="226">
        <f t="shared" si="233"/>
        <v>2.5304392059421824E-3</v>
      </c>
      <c r="AT120" s="223">
        <f t="shared" si="234"/>
        <v>461.4666666666667</v>
      </c>
      <c r="AU120" s="223">
        <f t="shared" si="235"/>
        <v>19.777142857142859</v>
      </c>
      <c r="AV120" s="227">
        <f t="shared" si="236"/>
        <v>8.8191033903023297E-2</v>
      </c>
    </row>
    <row r="121" spans="1:48" x14ac:dyDescent="0.25">
      <c r="A121" s="365" t="s">
        <v>201</v>
      </c>
      <c r="B121" s="365" t="s">
        <v>34</v>
      </c>
      <c r="C121" s="328">
        <v>5</v>
      </c>
      <c r="D121" s="328">
        <f>Kennzahlen!H121</f>
        <v>113</v>
      </c>
      <c r="E121" s="223">
        <f>'KiGa - PS'!F122+'KiGa - PS'!L122*Funktional!H121</f>
        <v>1044318.1497581545</v>
      </c>
      <c r="F121" s="223">
        <f t="shared" si="237"/>
        <v>208863.62995163089</v>
      </c>
      <c r="G121" s="224">
        <f t="shared" si="217"/>
        <v>9241.7535376827836</v>
      </c>
      <c r="H121" s="223">
        <f>I121-'KiGa - PS'!H122</f>
        <v>441117.5</v>
      </c>
      <c r="I121" s="223">
        <f t="shared" si="238"/>
        <v>1185435.55</v>
      </c>
      <c r="J121" s="365">
        <v>1263893.8500000001</v>
      </c>
      <c r="K121" s="365">
        <v>50856.1</v>
      </c>
      <c r="L121" s="365">
        <v>0</v>
      </c>
      <c r="M121" s="365">
        <v>27602.2</v>
      </c>
      <c r="N121" s="365"/>
      <c r="O121" s="365"/>
      <c r="P121" s="365">
        <v>744318.05</v>
      </c>
      <c r="Q121" s="27">
        <f t="shared" si="239"/>
        <v>716715.85000000009</v>
      </c>
      <c r="R121" s="223">
        <f>(Q121-'KiGa - PS'!H122)*'KiGa - PS'!L122+'KiGa - PS'!F122</f>
        <v>631396.08928915882</v>
      </c>
      <c r="S121" s="226">
        <f t="shared" si="218"/>
        <v>0.60460127925132667</v>
      </c>
      <c r="T121" s="223">
        <f t="shared" si="219"/>
        <v>126279.21785783177</v>
      </c>
      <c r="U121" s="224">
        <f t="shared" si="220"/>
        <v>5587.5760114084851</v>
      </c>
      <c r="V121" s="365">
        <v>44773.599999999999</v>
      </c>
      <c r="W121" s="223">
        <f>V121*'KiGa - PS'!L122</f>
        <v>39443.631591790632</v>
      </c>
      <c r="X121" s="226">
        <f t="shared" si="221"/>
        <v>3.7769746318135976E-2</v>
      </c>
      <c r="Y121" s="223">
        <f t="shared" si="222"/>
        <v>7888.7263183581263</v>
      </c>
      <c r="Z121" s="224">
        <f t="shared" si="223"/>
        <v>349.05868665301443</v>
      </c>
      <c r="AA121" s="365">
        <v>242982.8</v>
      </c>
      <c r="AB121" s="365">
        <v>20750</v>
      </c>
      <c r="AC121" s="225">
        <f>Artengliederung!AE121</f>
        <v>73468</v>
      </c>
      <c r="AD121" s="223">
        <f>AC121*'KiGa - PS'!L122</f>
        <v>64722.17391019874</v>
      </c>
      <c r="AE121" s="226">
        <f t="shared" si="224"/>
        <v>6.1975532959172686E-2</v>
      </c>
      <c r="AF121" s="223">
        <f t="shared" si="225"/>
        <v>12944.434782039749</v>
      </c>
      <c r="AG121" s="224">
        <f t="shared" si="226"/>
        <v>572.76260097521015</v>
      </c>
      <c r="AH121" s="225">
        <f t="shared" si="216"/>
        <v>222232.8</v>
      </c>
      <c r="AI121" s="223">
        <f>AH121*'KiGa - PS'!L122</f>
        <v>195777.61651535926</v>
      </c>
      <c r="AJ121" s="226">
        <f t="shared" si="227"/>
        <v>0.18746932298428201</v>
      </c>
      <c r="AK121" s="223">
        <f t="shared" si="228"/>
        <v>39155.523303071852</v>
      </c>
      <c r="AL121" s="224">
        <f t="shared" si="229"/>
        <v>1732.5452788969847</v>
      </c>
      <c r="AM121" s="365">
        <v>4773.2</v>
      </c>
      <c r="AN121" s="223">
        <f>AM121*'KiGa - PS'!L122</f>
        <v>4204.9855788664536</v>
      </c>
      <c r="AO121" s="226">
        <f t="shared" si="230"/>
        <v>4.0265369129515302E-3</v>
      </c>
      <c r="AP121" s="223">
        <f t="shared" si="231"/>
        <v>840.99711577329072</v>
      </c>
      <c r="AQ121" s="224">
        <f t="shared" si="232"/>
        <v>37.212261759880121</v>
      </c>
      <c r="AR121" s="223">
        <f>Artengliederung!X121*'KiGa - PS'!L122</f>
        <v>44463.899141653892</v>
      </c>
      <c r="AS121" s="226">
        <f t="shared" si="233"/>
        <v>4.2576966752852989E-2</v>
      </c>
      <c r="AT121" s="223">
        <f t="shared" si="234"/>
        <v>8892.7798283307784</v>
      </c>
      <c r="AU121" s="223">
        <f t="shared" si="235"/>
        <v>393.48583311198132</v>
      </c>
      <c r="AV121" s="227">
        <f t="shared" si="236"/>
        <v>6.1580614821278155E-2</v>
      </c>
    </row>
    <row r="122" spans="1:48" x14ac:dyDescent="0.25">
      <c r="A122" s="365" t="s">
        <v>202</v>
      </c>
      <c r="B122" s="365" t="s">
        <v>34</v>
      </c>
      <c r="C122" s="328">
        <v>33</v>
      </c>
      <c r="D122" s="328">
        <f>Kennzahlen!H122</f>
        <v>694</v>
      </c>
      <c r="E122" s="223">
        <f>'KiGa - PS'!F123+'KiGa - PS'!L123*Funktional!H122</f>
        <v>6293347.3341393759</v>
      </c>
      <c r="F122" s="223">
        <f t="shared" si="237"/>
        <v>190707.49497392049</v>
      </c>
      <c r="G122" s="224">
        <f t="shared" si="217"/>
        <v>9068.2238244083219</v>
      </c>
      <c r="H122" s="223">
        <f>I122-'KiGa - PS'!H123</f>
        <v>1791477.2500000009</v>
      </c>
      <c r="I122" s="223">
        <f t="shared" si="238"/>
        <v>7591082.1500000004</v>
      </c>
      <c r="J122" s="365">
        <v>8890333</v>
      </c>
      <c r="K122" s="365">
        <v>1114278.1000000001</v>
      </c>
      <c r="L122" s="365">
        <v>4434.3500000000004</v>
      </c>
      <c r="M122" s="365">
        <v>180538.4</v>
      </c>
      <c r="N122" s="365"/>
      <c r="O122" s="365"/>
      <c r="P122" s="365">
        <v>6150453.4000000004</v>
      </c>
      <c r="Q122" s="27">
        <f t="shared" si="239"/>
        <v>5969915</v>
      </c>
      <c r="R122" s="223">
        <f>(Q122-'KiGa - PS'!H123)*'KiGa - PS'!L123+'KiGa - PS'!F123</f>
        <v>4949327.1061871815</v>
      </c>
      <c r="S122" s="226">
        <f t="shared" si="218"/>
        <v>0.78643793889122904</v>
      </c>
      <c r="T122" s="223">
        <f t="shared" si="219"/>
        <v>149979.60927839944</v>
      </c>
      <c r="U122" s="224">
        <f t="shared" si="220"/>
        <v>7131.5952538720194</v>
      </c>
      <c r="V122" s="365">
        <v>429311.75</v>
      </c>
      <c r="W122" s="223">
        <f>V122*'KiGa - PS'!L123</f>
        <v>355918.68247364572</v>
      </c>
      <c r="X122" s="226">
        <f t="shared" si="221"/>
        <v>5.6554749575460722E-2</v>
      </c>
      <c r="Y122" s="223">
        <f t="shared" si="222"/>
        <v>10785.414620413507</v>
      </c>
      <c r="Z122" s="224">
        <f t="shared" si="223"/>
        <v>512.8511274836394</v>
      </c>
      <c r="AA122" s="365">
        <v>799995.95</v>
      </c>
      <c r="AB122" s="365">
        <v>285745.7</v>
      </c>
      <c r="AC122" s="225">
        <f>Artengliederung!AE122</f>
        <v>70000</v>
      </c>
      <c r="AD122" s="223">
        <f>AC122*'KiGa - PS'!L123</f>
        <v>58033.137395273254</v>
      </c>
      <c r="AE122" s="226">
        <f t="shared" si="224"/>
        <v>9.221346656089079E-3</v>
      </c>
      <c r="AF122" s="223">
        <f t="shared" si="225"/>
        <v>1758.5799210688865</v>
      </c>
      <c r="AG122" s="224">
        <f t="shared" si="226"/>
        <v>83.621235439875008</v>
      </c>
      <c r="AH122" s="225">
        <f t="shared" si="216"/>
        <v>514250.24999999994</v>
      </c>
      <c r="AI122" s="223">
        <f>AH122*'KiGa - PS'!L123</f>
        <v>426336.50591148023</v>
      </c>
      <c r="AJ122" s="226">
        <f t="shared" si="227"/>
        <v>6.7743997474721027E-2</v>
      </c>
      <c r="AK122" s="223">
        <f t="shared" si="228"/>
        <v>12919.288057923643</v>
      </c>
      <c r="AL122" s="224">
        <f t="shared" si="229"/>
        <v>614.31773186092255</v>
      </c>
      <c r="AM122" s="365">
        <v>34963.199999999997</v>
      </c>
      <c r="AN122" s="223">
        <f>AM122*'KiGa - PS'!L123</f>
        <v>28986.05984826311</v>
      </c>
      <c r="AO122" s="226">
        <f t="shared" si="230"/>
        <v>4.6058255343739097E-3</v>
      </c>
      <c r="AP122" s="223">
        <f t="shared" si="231"/>
        <v>878.36544994736698</v>
      </c>
      <c r="AQ122" s="224">
        <f t="shared" si="232"/>
        <v>41.766656841877683</v>
      </c>
      <c r="AR122" s="223">
        <f>Artengliederung!X122*'KiGa - PS'!L123</f>
        <v>0</v>
      </c>
      <c r="AS122" s="226">
        <f t="shared" si="233"/>
        <v>0</v>
      </c>
      <c r="AT122" s="223">
        <f t="shared" si="234"/>
        <v>0</v>
      </c>
      <c r="AU122" s="223">
        <f t="shared" si="235"/>
        <v>0</v>
      </c>
      <c r="AV122" s="227">
        <f t="shared" si="236"/>
        <v>7.5436141868126222E-2</v>
      </c>
    </row>
    <row r="123" spans="1:48" x14ac:dyDescent="0.25">
      <c r="A123" s="365" t="s">
        <v>203</v>
      </c>
      <c r="B123" s="365" t="s">
        <v>34</v>
      </c>
      <c r="C123" s="328">
        <v>7</v>
      </c>
      <c r="D123" s="328">
        <f>Kennzahlen!H123</f>
        <v>132</v>
      </c>
      <c r="E123" s="223">
        <f>'KiGa - PS'!F124+'KiGa - PS'!L124*Funktional!H123</f>
        <v>1660204.6194130699</v>
      </c>
      <c r="F123" s="223">
        <f t="shared" si="237"/>
        <v>237172.08848758141</v>
      </c>
      <c r="G123" s="224">
        <f t="shared" si="217"/>
        <v>12577.307722826286</v>
      </c>
      <c r="H123" s="223">
        <f>I123-'KiGa - PS'!H124</f>
        <v>526857.30000000005</v>
      </c>
      <c r="I123" s="223">
        <f t="shared" si="238"/>
        <v>1936493.95</v>
      </c>
      <c r="J123" s="365">
        <v>2050687.35</v>
      </c>
      <c r="K123" s="365">
        <v>86034.55</v>
      </c>
      <c r="L123" s="365">
        <v>3286.25</v>
      </c>
      <c r="M123" s="365">
        <v>24872.6</v>
      </c>
      <c r="N123" s="365"/>
      <c r="O123" s="365"/>
      <c r="P123" s="365">
        <v>1413193.85</v>
      </c>
      <c r="Q123" s="27">
        <f t="shared" si="239"/>
        <v>1388321.25</v>
      </c>
      <c r="R123" s="223">
        <f>(Q123-'KiGa - PS'!H124)*'KiGa - PS'!L124+'KiGa - PS'!F124</f>
        <v>1190242.4753143834</v>
      </c>
      <c r="S123" s="226">
        <f t="shared" si="218"/>
        <v>0.71692516777550486</v>
      </c>
      <c r="T123" s="223">
        <f t="shared" si="219"/>
        <v>170034.6393306262</v>
      </c>
      <c r="U123" s="224">
        <f t="shared" si="220"/>
        <v>9016.9884493513891</v>
      </c>
      <c r="V123" s="365">
        <v>79215.149999999994</v>
      </c>
      <c r="W123" s="223">
        <f>V123*'KiGa - PS'!L124</f>
        <v>67913.126171914584</v>
      </c>
      <c r="X123" s="226">
        <f t="shared" si="221"/>
        <v>4.0906479465117877E-2</v>
      </c>
      <c r="Y123" s="223">
        <f t="shared" si="222"/>
        <v>9701.8751674163686</v>
      </c>
      <c r="Z123" s="224">
        <f t="shared" si="223"/>
        <v>514.49338009026201</v>
      </c>
      <c r="AA123" s="365">
        <v>264480.25</v>
      </c>
      <c r="AB123" s="365">
        <v>17423.95</v>
      </c>
      <c r="AC123" s="225">
        <f>Artengliederung!AE123</f>
        <v>50987</v>
      </c>
      <c r="AD123" s="223">
        <f>AC123*'KiGa - PS'!L124</f>
        <v>43712.428293418736</v>
      </c>
      <c r="AE123" s="226">
        <f t="shared" si="224"/>
        <v>2.6329542625217087E-2</v>
      </c>
      <c r="AF123" s="223">
        <f t="shared" si="225"/>
        <v>6244.6326133455341</v>
      </c>
      <c r="AG123" s="224">
        <f t="shared" si="226"/>
        <v>331.1547597986268</v>
      </c>
      <c r="AH123" s="225">
        <f t="shared" si="216"/>
        <v>247056.3</v>
      </c>
      <c r="AI123" s="223">
        <f>AH123*'KiGa - PS'!L124</f>
        <v>211807.5352185331</v>
      </c>
      <c r="AJ123" s="226">
        <f t="shared" si="227"/>
        <v>0.12757917472450664</v>
      </c>
      <c r="AK123" s="223">
        <f t="shared" si="228"/>
        <v>30258.2193169333</v>
      </c>
      <c r="AL123" s="224">
        <f t="shared" si="229"/>
        <v>1604.6025395343418</v>
      </c>
      <c r="AM123" s="365">
        <v>4836.05</v>
      </c>
      <c r="AN123" s="223">
        <f>AM123*'KiGa - PS'!L124</f>
        <v>4146.0664257239623</v>
      </c>
      <c r="AO123" s="226">
        <f t="shared" si="230"/>
        <v>2.4973225452111537E-3</v>
      </c>
      <c r="AP123" s="223">
        <f t="shared" si="231"/>
        <v>592.29520367485179</v>
      </c>
      <c r="AQ123" s="224">
        <f t="shared" si="232"/>
        <v>31.409594134272442</v>
      </c>
      <c r="AR123" s="223">
        <f>Artengliederung!X123*'KiGa - PS'!L124</f>
        <v>65081.681856633055</v>
      </c>
      <c r="AS123" s="226">
        <f t="shared" si="233"/>
        <v>3.9201000343946336E-2</v>
      </c>
      <c r="AT123" s="223">
        <f t="shared" si="234"/>
        <v>9297.3831223761499</v>
      </c>
      <c r="AU123" s="223">
        <f t="shared" si="235"/>
        <v>493.04304436843222</v>
      </c>
      <c r="AV123" s="227">
        <f t="shared" si="236"/>
        <v>4.656131252049605E-2</v>
      </c>
    </row>
    <row r="124" spans="1:48" x14ac:dyDescent="0.25">
      <c r="A124" s="365" t="s">
        <v>204</v>
      </c>
      <c r="B124" s="365" t="s">
        <v>34</v>
      </c>
      <c r="C124" s="328">
        <v>8</v>
      </c>
      <c r="D124" s="328">
        <f>Kennzahlen!H124</f>
        <v>163</v>
      </c>
      <c r="E124" s="223">
        <f>'KiGa - PS'!F125+'KiGa - PS'!L125*Funktional!H124</f>
        <v>1470541.5560100416</v>
      </c>
      <c r="F124" s="223">
        <f t="shared" si="237"/>
        <v>183817.6945012552</v>
      </c>
      <c r="G124" s="224">
        <f t="shared" si="217"/>
        <v>9021.7273374849174</v>
      </c>
      <c r="H124" s="223">
        <f>I124-'KiGa - PS'!H125</f>
        <v>553093.30000000005</v>
      </c>
      <c r="I124" s="223">
        <f t="shared" si="238"/>
        <v>1740920.3499999999</v>
      </c>
      <c r="J124" s="365">
        <v>1892614.15</v>
      </c>
      <c r="K124" s="365">
        <v>46621.7</v>
      </c>
      <c r="L124" s="365">
        <v>0</v>
      </c>
      <c r="M124" s="365">
        <v>105072.1</v>
      </c>
      <c r="N124" s="365"/>
      <c r="O124" s="365"/>
      <c r="P124" s="365">
        <v>1215494.8500000001</v>
      </c>
      <c r="Q124" s="27">
        <f t="shared" si="239"/>
        <v>1110422.75</v>
      </c>
      <c r="R124" s="223">
        <f>(Q124-'KiGa - PS'!H125)*'KiGa - PS'!L125+'KiGa - PS'!F125</f>
        <v>937965.25419095112</v>
      </c>
      <c r="S124" s="226">
        <f t="shared" si="218"/>
        <v>0.6378366190044249</v>
      </c>
      <c r="T124" s="223">
        <f t="shared" si="219"/>
        <v>117245.65677386889</v>
      </c>
      <c r="U124" s="224">
        <f t="shared" si="220"/>
        <v>5754.3880625211723</v>
      </c>
      <c r="V124" s="365">
        <v>88428.85</v>
      </c>
      <c r="W124" s="223">
        <f>V124*'KiGa - PS'!L125</f>
        <v>74695.145401211834</v>
      </c>
      <c r="X124" s="226">
        <f t="shared" si="221"/>
        <v>5.0794311181439185E-2</v>
      </c>
      <c r="Y124" s="223">
        <f t="shared" si="222"/>
        <v>9336.8931751514792</v>
      </c>
      <c r="Z124" s="224">
        <f t="shared" si="223"/>
        <v>458.25242577430572</v>
      </c>
      <c r="AA124" s="365">
        <v>227528.45</v>
      </c>
      <c r="AB124" s="365">
        <v>7408.2</v>
      </c>
      <c r="AC124" s="225">
        <f>Artengliederung!AE124</f>
        <v>90031</v>
      </c>
      <c r="AD124" s="223">
        <f>AC124*'KiGa - PS'!L125</f>
        <v>76048.468747659863</v>
      </c>
      <c r="AE124" s="226">
        <f t="shared" si="224"/>
        <v>5.1714600268760146E-2</v>
      </c>
      <c r="AF124" s="223">
        <f t="shared" si="225"/>
        <v>9506.0585934574829</v>
      </c>
      <c r="AG124" s="224">
        <f t="shared" si="226"/>
        <v>466.55502299177829</v>
      </c>
      <c r="AH124" s="225">
        <f t="shared" si="216"/>
        <v>220120.25</v>
      </c>
      <c r="AI124" s="223">
        <f>AH124*'KiGa - PS'!L125</f>
        <v>185933.8222706854</v>
      </c>
      <c r="AJ124" s="226">
        <f t="shared" si="227"/>
        <v>0.12643901256022427</v>
      </c>
      <c r="AK124" s="223">
        <f t="shared" si="228"/>
        <v>23241.727783835675</v>
      </c>
      <c r="AL124" s="224">
        <f t="shared" si="229"/>
        <v>1140.6982961391743</v>
      </c>
      <c r="AM124" s="365">
        <v>10383.9</v>
      </c>
      <c r="AN124" s="223">
        <f>AM124*'KiGa - PS'!L125</f>
        <v>8771.1976389113224</v>
      </c>
      <c r="AO124" s="226">
        <f t="shared" si="230"/>
        <v>5.9646037223931589E-3</v>
      </c>
      <c r="AP124" s="223">
        <f t="shared" si="231"/>
        <v>1096.3997048639153</v>
      </c>
      <c r="AQ124" s="224">
        <f t="shared" si="232"/>
        <v>53.811028459578665</v>
      </c>
      <c r="AR124" s="223">
        <f>Artengliederung!X124*'KiGa - PS'!L125</f>
        <v>76366.07295342366</v>
      </c>
      <c r="AS124" s="226">
        <f t="shared" si="233"/>
        <v>5.1930577984225422E-2</v>
      </c>
      <c r="AT124" s="223">
        <f t="shared" si="234"/>
        <v>9545.7591191779575</v>
      </c>
      <c r="AU124" s="223">
        <f t="shared" si="235"/>
        <v>468.5035150516789</v>
      </c>
      <c r="AV124" s="227">
        <f t="shared" si="236"/>
        <v>7.5320275278532911E-2</v>
      </c>
    </row>
    <row r="125" spans="1:48" x14ac:dyDescent="0.25">
      <c r="A125" s="365" t="s">
        <v>205</v>
      </c>
      <c r="B125" s="365" t="s">
        <v>34</v>
      </c>
      <c r="C125" s="328">
        <v>2</v>
      </c>
      <c r="D125" s="328">
        <f>Kennzahlen!H125</f>
        <v>38</v>
      </c>
      <c r="E125" s="223">
        <f>'KiGa - PS'!F126+'KiGa - PS'!L126*Funktional!H125</f>
        <v>372838.0424302445</v>
      </c>
      <c r="F125" s="223">
        <f t="shared" si="237"/>
        <v>186419.02121512225</v>
      </c>
      <c r="G125" s="224">
        <f t="shared" si="217"/>
        <v>9811.5274323748545</v>
      </c>
      <c r="H125" s="223">
        <f>I125-'KiGa - PS'!H126</f>
        <v>121454.75</v>
      </c>
      <c r="I125" s="223">
        <f t="shared" si="238"/>
        <v>458713</v>
      </c>
      <c r="J125" s="365">
        <v>469849.1</v>
      </c>
      <c r="K125" s="365">
        <v>4097.6000000000004</v>
      </c>
      <c r="L125" s="365">
        <v>0</v>
      </c>
      <c r="M125" s="365">
        <v>7038.5</v>
      </c>
      <c r="N125" s="365"/>
      <c r="O125" s="365"/>
      <c r="P125" s="365">
        <v>337546.2</v>
      </c>
      <c r="Q125" s="27">
        <f t="shared" si="239"/>
        <v>330507.7</v>
      </c>
      <c r="R125" s="223">
        <f>(Q125-'KiGa - PS'!H126)*'KiGa - PS'!L126+'KiGa - PS'!F126</f>
        <v>268633.86011759535</v>
      </c>
      <c r="S125" s="226">
        <f t="shared" si="218"/>
        <v>0.72051086409149068</v>
      </c>
      <c r="T125" s="223">
        <f t="shared" si="219"/>
        <v>134316.93005879768</v>
      </c>
      <c r="U125" s="224">
        <f t="shared" si="220"/>
        <v>7069.3121083577726</v>
      </c>
      <c r="V125" s="365">
        <v>17584.3</v>
      </c>
      <c r="W125" s="223">
        <f>V125*'KiGa - PS'!L126</f>
        <v>14292.370151938463</v>
      </c>
      <c r="X125" s="226">
        <f t="shared" si="221"/>
        <v>3.8333990970388893E-2</v>
      </c>
      <c r="Y125" s="223">
        <f t="shared" si="222"/>
        <v>7146.1850759692315</v>
      </c>
      <c r="Z125" s="224">
        <f t="shared" si="223"/>
        <v>376.11500399838059</v>
      </c>
      <c r="AA125" s="365">
        <v>61639.55</v>
      </c>
      <c r="AB125" s="365">
        <v>9440</v>
      </c>
      <c r="AC125" s="225">
        <f>Artengliederung!AE125</f>
        <v>6500</v>
      </c>
      <c r="AD125" s="223">
        <f>AC125*'KiGa - PS'!L126</f>
        <v>5283.1449638370595</v>
      </c>
      <c r="AE125" s="226">
        <f t="shared" si="224"/>
        <v>1.4170080202653946E-2</v>
      </c>
      <c r="AF125" s="223">
        <f t="shared" si="225"/>
        <v>2641.5724819185298</v>
      </c>
      <c r="AG125" s="224">
        <f t="shared" si="226"/>
        <v>139.03013062729104</v>
      </c>
      <c r="AH125" s="225">
        <f t="shared" si="216"/>
        <v>52199.55</v>
      </c>
      <c r="AI125" s="223">
        <f>AH125*'KiGa - PS'!L126</f>
        <v>42427.352261086278</v>
      </c>
      <c r="AJ125" s="226">
        <f t="shared" si="227"/>
        <v>0.11379566308345306</v>
      </c>
      <c r="AK125" s="223">
        <f t="shared" si="228"/>
        <v>21213.676130543139</v>
      </c>
      <c r="AL125" s="224">
        <f t="shared" si="229"/>
        <v>1116.5092700285863</v>
      </c>
      <c r="AM125" s="365">
        <v>1285.05</v>
      </c>
      <c r="AN125" s="223">
        <f>AM125*'KiGa - PS'!L126</f>
        <v>1044.4777593505867</v>
      </c>
      <c r="AO125" s="226">
        <f t="shared" si="230"/>
        <v>2.8014248560646851E-3</v>
      </c>
      <c r="AP125" s="223">
        <f t="shared" si="231"/>
        <v>522.23887967529333</v>
      </c>
      <c r="AQ125" s="224">
        <f t="shared" si="232"/>
        <v>27.486256825015438</v>
      </c>
      <c r="AR125" s="223">
        <f>Artengliederung!X125*'KiGa - PS'!L126</f>
        <v>14382.752570396722</v>
      </c>
      <c r="AS125" s="226">
        <f t="shared" si="233"/>
        <v>3.8576408342471218E-2</v>
      </c>
      <c r="AT125" s="223">
        <f t="shared" si="234"/>
        <v>7191.3762851983611</v>
      </c>
      <c r="AU125" s="223">
        <f t="shared" si="235"/>
        <v>378.49348869465058</v>
      </c>
      <c r="AV125" s="227">
        <f t="shared" si="236"/>
        <v>7.1811568453477526E-2</v>
      </c>
    </row>
    <row r="126" spans="1:48" x14ac:dyDescent="0.25">
      <c r="A126" s="365" t="s">
        <v>206</v>
      </c>
      <c r="B126" s="365" t="s">
        <v>34</v>
      </c>
      <c r="C126" s="328">
        <v>6</v>
      </c>
      <c r="D126" s="328">
        <f>Kennzahlen!H126</f>
        <v>131</v>
      </c>
      <c r="E126" s="223">
        <f>'KiGa - PS'!F127+'KiGa - PS'!L127*Funktional!H126</f>
        <v>1439747.585931815</v>
      </c>
      <c r="F126" s="223">
        <f t="shared" si="237"/>
        <v>239957.93098863584</v>
      </c>
      <c r="G126" s="224">
        <f t="shared" si="217"/>
        <v>10990.439587265762</v>
      </c>
      <c r="H126" s="223">
        <f>I126-'KiGa - PS'!H127</f>
        <v>508111.00000000023</v>
      </c>
      <c r="I126" s="223">
        <f t="shared" si="238"/>
        <v>1540944.6500000001</v>
      </c>
      <c r="J126" s="365">
        <v>1589779.85</v>
      </c>
      <c r="K126" s="365">
        <v>10291.5</v>
      </c>
      <c r="L126" s="365">
        <v>0</v>
      </c>
      <c r="M126" s="365">
        <v>38543.699999999997</v>
      </c>
      <c r="N126" s="365"/>
      <c r="O126" s="365"/>
      <c r="P126" s="365">
        <v>1104946.2</v>
      </c>
      <c r="Q126" s="27">
        <f t="shared" si="239"/>
        <v>1066402.5</v>
      </c>
      <c r="R126" s="223">
        <f>(Q126-'KiGa - PS'!H127)*'KiGa - PS'!L127+'KiGa - PS'!F127</f>
        <v>996369.61328017339</v>
      </c>
      <c r="S126" s="226">
        <f t="shared" si="218"/>
        <v>0.69204464936492027</v>
      </c>
      <c r="T126" s="223">
        <f t="shared" si="219"/>
        <v>166061.60221336223</v>
      </c>
      <c r="U126" s="224">
        <f t="shared" si="220"/>
        <v>7605.8749105356746</v>
      </c>
      <c r="V126" s="365">
        <v>37947.85</v>
      </c>
      <c r="W126" s="223">
        <f>V126*'KiGa - PS'!L127</f>
        <v>35455.735174396184</v>
      </c>
      <c r="X126" s="226">
        <f t="shared" si="221"/>
        <v>2.4626355008922608E-2</v>
      </c>
      <c r="Y126" s="223">
        <f t="shared" si="222"/>
        <v>5909.2891957326974</v>
      </c>
      <c r="Z126" s="224">
        <f t="shared" si="223"/>
        <v>270.65446698012357</v>
      </c>
      <c r="AA126" s="365">
        <v>280650</v>
      </c>
      <c r="AB126" s="365">
        <v>64117.3</v>
      </c>
      <c r="AC126" s="225">
        <f>Artengliederung!AE126</f>
        <v>75740</v>
      </c>
      <c r="AD126" s="223">
        <f>AC126*'KiGa - PS'!L127</f>
        <v>70765.995494046889</v>
      </c>
      <c r="AE126" s="226">
        <f t="shared" si="224"/>
        <v>4.9151668101771205E-2</v>
      </c>
      <c r="AF126" s="223">
        <f t="shared" si="225"/>
        <v>11794.332582341149</v>
      </c>
      <c r="AG126" s="224">
        <f t="shared" si="226"/>
        <v>540.1984388858541</v>
      </c>
      <c r="AH126" s="225">
        <f t="shared" si="216"/>
        <v>216532.7</v>
      </c>
      <c r="AI126" s="223">
        <f>AH126*'KiGa - PS'!L127</f>
        <v>202312.54386735949</v>
      </c>
      <c r="AJ126" s="226">
        <f t="shared" si="227"/>
        <v>0.14051945344045941</v>
      </c>
      <c r="AK126" s="223">
        <f t="shared" si="228"/>
        <v>33718.757311226582</v>
      </c>
      <c r="AL126" s="224">
        <f t="shared" si="229"/>
        <v>1544.3705638729732</v>
      </c>
      <c r="AM126" s="365">
        <v>5344.55</v>
      </c>
      <c r="AN126" s="223">
        <f>AM126*'KiGa - PS'!L127</f>
        <v>4993.5622025047305</v>
      </c>
      <c r="AO126" s="226">
        <f t="shared" si="230"/>
        <v>3.4683594897454619E-3</v>
      </c>
      <c r="AP126" s="223">
        <f t="shared" si="231"/>
        <v>832.26036708412175</v>
      </c>
      <c r="AQ126" s="224">
        <f t="shared" si="232"/>
        <v>38.11879543896741</v>
      </c>
      <c r="AR126" s="223">
        <f>Artengliederung!X126*'KiGa - PS'!L127</f>
        <v>27735.897579072876</v>
      </c>
      <c r="AS126" s="226">
        <f t="shared" si="233"/>
        <v>1.9264416797838909E-2</v>
      </c>
      <c r="AT126" s="223">
        <f t="shared" si="234"/>
        <v>4622.6495965121458</v>
      </c>
      <c r="AU126" s="223">
        <f t="shared" si="235"/>
        <v>211.72440900055631</v>
      </c>
      <c r="AV126" s="227">
        <f t="shared" si="236"/>
        <v>7.092509779634211E-2</v>
      </c>
    </row>
    <row r="127" spans="1:48" x14ac:dyDescent="0.25">
      <c r="A127" s="365" t="s">
        <v>207</v>
      </c>
      <c r="B127" s="365" t="s">
        <v>34</v>
      </c>
      <c r="C127" s="328">
        <v>2</v>
      </c>
      <c r="D127" s="328">
        <f>Kennzahlen!H127</f>
        <v>41</v>
      </c>
      <c r="E127" s="223">
        <f>I127</f>
        <v>453417.64999999997</v>
      </c>
      <c r="F127" s="223">
        <f t="shared" si="237"/>
        <v>226708.82499999998</v>
      </c>
      <c r="G127" s="224">
        <f t="shared" si="217"/>
        <v>11058.96707317073</v>
      </c>
      <c r="H127" s="223">
        <f>I127-'KiGa - PS'!H128</f>
        <v>162999.89999999997</v>
      </c>
      <c r="I127" s="223">
        <f t="shared" si="238"/>
        <v>453417.64999999997</v>
      </c>
      <c r="J127" s="365">
        <v>473056.85</v>
      </c>
      <c r="K127" s="365">
        <v>2787</v>
      </c>
      <c r="L127" s="365">
        <v>0</v>
      </c>
      <c r="M127" s="365">
        <v>16852.2</v>
      </c>
      <c r="N127" s="365"/>
      <c r="O127" s="365"/>
      <c r="P127" s="365">
        <v>313827.20000000001</v>
      </c>
      <c r="Q127" s="27">
        <f t="shared" si="239"/>
        <v>296975</v>
      </c>
      <c r="R127" s="223">
        <f>Q127</f>
        <v>296975</v>
      </c>
      <c r="S127" s="226">
        <f t="shared" si="218"/>
        <v>0.65497009214352375</v>
      </c>
      <c r="T127" s="223">
        <f t="shared" si="219"/>
        <v>148487.5</v>
      </c>
      <c r="U127" s="224">
        <f t="shared" si="220"/>
        <v>7243.292682926829</v>
      </c>
      <c r="V127" s="365">
        <v>19017.55</v>
      </c>
      <c r="W127" s="223">
        <f>V127*'KiGa - PS'!L128</f>
        <v>19017.55</v>
      </c>
      <c r="X127" s="226">
        <f t="shared" si="221"/>
        <v>4.1942676911672937E-2</v>
      </c>
      <c r="Y127" s="223">
        <f t="shared" si="222"/>
        <v>9508.7749999999996</v>
      </c>
      <c r="Z127" s="224">
        <f t="shared" si="223"/>
        <v>463.84268292682924</v>
      </c>
      <c r="AA127" s="365">
        <v>59493.05</v>
      </c>
      <c r="AB127" s="365">
        <v>100</v>
      </c>
      <c r="AC127" s="225">
        <f>Artengliederung!AE127</f>
        <v>34771.25</v>
      </c>
      <c r="AD127" s="223">
        <f>AC127*'KiGa - PS'!L128</f>
        <v>34771.25</v>
      </c>
      <c r="AE127" s="226">
        <f t="shared" si="224"/>
        <v>7.6687023542202207E-2</v>
      </c>
      <c r="AF127" s="223">
        <f t="shared" si="225"/>
        <v>17385.625</v>
      </c>
      <c r="AG127" s="224">
        <f t="shared" si="226"/>
        <v>848.07926829268297</v>
      </c>
      <c r="AH127" s="225">
        <f t="shared" si="216"/>
        <v>59393.05</v>
      </c>
      <c r="AI127" s="223">
        <f>AH127*'KiGa - PS'!L128</f>
        <v>59393.05</v>
      </c>
      <c r="AJ127" s="226">
        <f t="shared" si="227"/>
        <v>0.13098971775800966</v>
      </c>
      <c r="AK127" s="223">
        <f t="shared" si="228"/>
        <v>29696.525000000001</v>
      </c>
      <c r="AL127" s="224">
        <f t="shared" si="229"/>
        <v>1448.6109756097562</v>
      </c>
      <c r="AM127" s="365">
        <v>939.8</v>
      </c>
      <c r="AN127" s="223">
        <f>AM127*'KiGa - PS'!L128</f>
        <v>939.8</v>
      </c>
      <c r="AO127" s="226">
        <f t="shared" si="230"/>
        <v>2.0727027278272031E-3</v>
      </c>
      <c r="AP127" s="223">
        <f t="shared" si="231"/>
        <v>469.9</v>
      </c>
      <c r="AQ127" s="224">
        <f t="shared" si="232"/>
        <v>22.921951219512195</v>
      </c>
      <c r="AR127" s="223">
        <f>Artengliederung!X127*'KiGa - PS'!L128</f>
        <v>23070</v>
      </c>
      <c r="AS127" s="226">
        <f t="shared" si="233"/>
        <v>5.0880242531361544E-2</v>
      </c>
      <c r="AT127" s="223">
        <f t="shared" si="234"/>
        <v>11535</v>
      </c>
      <c r="AU127" s="223">
        <f t="shared" si="235"/>
        <v>562.68292682926824</v>
      </c>
      <c r="AV127" s="227">
        <f t="shared" si="236"/>
        <v>4.2457544385402723E-2</v>
      </c>
    </row>
    <row r="128" spans="1:48" x14ac:dyDescent="0.25">
      <c r="A128" s="365" t="s">
        <v>208</v>
      </c>
      <c r="B128" s="365" t="s">
        <v>34</v>
      </c>
      <c r="C128" s="328">
        <v>5</v>
      </c>
      <c r="D128" s="328">
        <f>Kennzahlen!H128</f>
        <v>97</v>
      </c>
      <c r="E128" s="223">
        <f>'KiGa - PS'!F129+'KiGa - PS'!L129*Funktional!H128</f>
        <v>1119159.2356540146</v>
      </c>
      <c r="F128" s="223">
        <f t="shared" si="237"/>
        <v>223831.84713080293</v>
      </c>
      <c r="G128" s="224">
        <f t="shared" si="217"/>
        <v>11537.724078907368</v>
      </c>
      <c r="H128" s="223">
        <f>I128-'KiGa - PS'!H129</f>
        <v>414440.12</v>
      </c>
      <c r="I128" s="223">
        <f t="shared" si="238"/>
        <v>1287953.95</v>
      </c>
      <c r="J128" s="365">
        <v>1349670.5</v>
      </c>
      <c r="K128" s="365">
        <v>38825</v>
      </c>
      <c r="L128" s="365">
        <v>0</v>
      </c>
      <c r="M128" s="365">
        <v>22891.55</v>
      </c>
      <c r="N128" s="365"/>
      <c r="O128" s="365"/>
      <c r="P128" s="365">
        <v>873513.83</v>
      </c>
      <c r="Q128" s="27">
        <f t="shared" si="239"/>
        <v>850622.27999999991</v>
      </c>
      <c r="R128" s="223">
        <f>(Q128-'KiGa - PS'!H129)*'KiGa - PS'!L129+'KiGa - PS'!F129</f>
        <v>739142.71602263045</v>
      </c>
      <c r="S128" s="226">
        <f t="shared" si="218"/>
        <v>0.66044463779159179</v>
      </c>
      <c r="T128" s="223">
        <f t="shared" si="219"/>
        <v>147828.5432045261</v>
      </c>
      <c r="U128" s="224">
        <f t="shared" si="220"/>
        <v>7620.0280002333038</v>
      </c>
      <c r="V128" s="365">
        <v>48592.75</v>
      </c>
      <c r="W128" s="223">
        <f>V128*'KiGa - PS'!L129</f>
        <v>42224.355108602002</v>
      </c>
      <c r="X128" s="226">
        <f t="shared" si="221"/>
        <v>3.7728639288695069E-2</v>
      </c>
      <c r="Y128" s="223">
        <f t="shared" si="222"/>
        <v>8444.8710217204007</v>
      </c>
      <c r="Z128" s="224">
        <f t="shared" si="223"/>
        <v>435.30262998558766</v>
      </c>
      <c r="AA128" s="365">
        <v>225578.15</v>
      </c>
      <c r="AB128" s="365">
        <v>18952.2</v>
      </c>
      <c r="AC128" s="225">
        <f>Artengliederung!AE128</f>
        <v>87249</v>
      </c>
      <c r="AD128" s="223">
        <f>AC128*'KiGa - PS'!L129</f>
        <v>75814.452955850735</v>
      </c>
      <c r="AE128" s="226">
        <f t="shared" si="224"/>
        <v>6.7742328830933757E-2</v>
      </c>
      <c r="AF128" s="223">
        <f t="shared" si="225"/>
        <v>15162.890591170148</v>
      </c>
      <c r="AG128" s="224">
        <f t="shared" si="226"/>
        <v>781.59229851392513</v>
      </c>
      <c r="AH128" s="225">
        <f t="shared" si="216"/>
        <v>206625.94999999998</v>
      </c>
      <c r="AI128" s="223">
        <f>AH128*'KiGa - PS'!L129</f>
        <v>179546.27979384252</v>
      </c>
      <c r="AJ128" s="226">
        <f t="shared" si="227"/>
        <v>0.16042961008039147</v>
      </c>
      <c r="AK128" s="223">
        <f t="shared" si="228"/>
        <v>35909.255958768503</v>
      </c>
      <c r="AL128" s="224">
        <f t="shared" si="229"/>
        <v>1850.9925751942528</v>
      </c>
      <c r="AM128" s="365">
        <v>5217.2</v>
      </c>
      <c r="AN128" s="223">
        <f>AM128*'KiGa - PS'!L129</f>
        <v>4533.4521193511036</v>
      </c>
      <c r="AO128" s="226">
        <f t="shared" si="230"/>
        <v>4.0507659454749921E-3</v>
      </c>
      <c r="AP128" s="223">
        <f t="shared" si="231"/>
        <v>906.69042387022068</v>
      </c>
      <c r="AQ128" s="224">
        <f t="shared" si="232"/>
        <v>46.736619787124781</v>
      </c>
      <c r="AR128" s="223">
        <f>Artengliederung!X128*'KiGa - PS'!L129</f>
        <v>41142.04251041566</v>
      </c>
      <c r="AS128" s="226">
        <f t="shared" si="233"/>
        <v>3.6761562787240958E-2</v>
      </c>
      <c r="AT128" s="223">
        <f t="shared" si="234"/>
        <v>8228.4085020831317</v>
      </c>
      <c r="AU128" s="223">
        <f t="shared" si="235"/>
        <v>424.14476814861507</v>
      </c>
      <c r="AV128" s="227">
        <f t="shared" si="236"/>
        <v>3.2842455275671957E-2</v>
      </c>
    </row>
    <row r="129" spans="1:48" x14ac:dyDescent="0.25">
      <c r="A129" s="365" t="s">
        <v>209</v>
      </c>
      <c r="B129" s="365" t="s">
        <v>34</v>
      </c>
      <c r="C129" s="328">
        <v>2.5</v>
      </c>
      <c r="D129" s="328">
        <f>Kennzahlen!H129</f>
        <v>57</v>
      </c>
      <c r="E129" s="223">
        <f>I129</f>
        <v>461429.35000000003</v>
      </c>
      <c r="F129" s="223">
        <f t="shared" si="237"/>
        <v>184571.74000000002</v>
      </c>
      <c r="G129" s="224">
        <f t="shared" si="217"/>
        <v>8095.2517543859658</v>
      </c>
      <c r="H129" s="223">
        <f>I129-'KiGa - PS'!H130</f>
        <v>87725.20000000007</v>
      </c>
      <c r="I129" s="223">
        <f t="shared" si="238"/>
        <v>461429.35000000003</v>
      </c>
      <c r="J129" s="365">
        <v>533887.30000000005</v>
      </c>
      <c r="K129" s="365">
        <v>7003.5</v>
      </c>
      <c r="L129" s="365">
        <v>0</v>
      </c>
      <c r="M129" s="365">
        <v>65454.45</v>
      </c>
      <c r="N129" s="365"/>
      <c r="O129" s="365"/>
      <c r="P129" s="365">
        <v>374591.5</v>
      </c>
      <c r="Q129" s="27">
        <f t="shared" si="239"/>
        <v>309137.05</v>
      </c>
      <c r="R129" s="223">
        <f>Q129</f>
        <v>309137.05</v>
      </c>
      <c r="S129" s="226">
        <f t="shared" si="218"/>
        <v>0.66995532468838392</v>
      </c>
      <c r="T129" s="223">
        <f t="shared" si="219"/>
        <v>123654.81999999999</v>
      </c>
      <c r="U129" s="224">
        <f t="shared" si="220"/>
        <v>5423.4570175438594</v>
      </c>
      <c r="V129" s="365">
        <v>27019.3</v>
      </c>
      <c r="W129" s="223">
        <f>V129*'KiGa - PS'!L130</f>
        <v>27019.3</v>
      </c>
      <c r="X129" s="226">
        <f t="shared" si="221"/>
        <v>5.8555659712586548E-2</v>
      </c>
      <c r="Y129" s="223">
        <f t="shared" si="222"/>
        <v>10807.72</v>
      </c>
      <c r="Z129" s="224">
        <f t="shared" si="223"/>
        <v>474.02280701754387</v>
      </c>
      <c r="AA129" s="365">
        <v>27796.799999999999</v>
      </c>
      <c r="AB129" s="365">
        <v>22399.3</v>
      </c>
      <c r="AC129" s="225">
        <f>Artengliederung!AE129</f>
        <v>23079.5</v>
      </c>
      <c r="AD129" s="223">
        <f>AC129*'KiGa - PS'!L130</f>
        <v>23079.5</v>
      </c>
      <c r="AE129" s="226">
        <f t="shared" si="224"/>
        <v>5.0017407865364433E-2</v>
      </c>
      <c r="AF129" s="223">
        <f t="shared" si="225"/>
        <v>9231.7999999999993</v>
      </c>
      <c r="AG129" s="224">
        <f t="shared" si="226"/>
        <v>404.90350877192981</v>
      </c>
      <c r="AH129" s="225">
        <f t="shared" si="216"/>
        <v>5397.5</v>
      </c>
      <c r="AI129" s="223">
        <f>AH129*'KiGa - PS'!L130</f>
        <v>5397.5</v>
      </c>
      <c r="AJ129" s="226">
        <f t="shared" si="227"/>
        <v>1.1697348684040145E-2</v>
      </c>
      <c r="AK129" s="223">
        <f t="shared" si="228"/>
        <v>2159</v>
      </c>
      <c r="AL129" s="224">
        <f t="shared" si="229"/>
        <v>94.692982456140356</v>
      </c>
      <c r="AM129" s="365">
        <v>3373.7</v>
      </c>
      <c r="AN129" s="223">
        <f>AM129*'KiGa - PS'!L130</f>
        <v>3373.7</v>
      </c>
      <c r="AO129" s="226">
        <f t="shared" si="230"/>
        <v>7.3114118120141246E-3</v>
      </c>
      <c r="AP129" s="223">
        <f t="shared" si="231"/>
        <v>1349.48</v>
      </c>
      <c r="AQ129" s="224">
        <f t="shared" si="232"/>
        <v>59.187719298245611</v>
      </c>
      <c r="AR129" s="223">
        <f>Artengliederung!X129*'KiGa - PS'!L130</f>
        <v>22816.95</v>
      </c>
      <c r="AS129" s="226">
        <f t="shared" si="233"/>
        <v>4.9448415017380232E-2</v>
      </c>
      <c r="AT129" s="223">
        <f t="shared" si="234"/>
        <v>9126.7800000000007</v>
      </c>
      <c r="AU129" s="223">
        <f t="shared" si="235"/>
        <v>400.29736842105262</v>
      </c>
      <c r="AV129" s="227">
        <f t="shared" si="236"/>
        <v>0.15301443222023062</v>
      </c>
    </row>
    <row r="130" spans="1:48" ht="39" customHeight="1" x14ac:dyDescent="0.25">
      <c r="A130" s="365" t="s">
        <v>88</v>
      </c>
      <c r="B130" s="365" t="s">
        <v>35</v>
      </c>
      <c r="C130" s="328">
        <v>3</v>
      </c>
      <c r="D130" s="328">
        <f>Kennzahlen!D8</f>
        <v>47</v>
      </c>
      <c r="E130" s="223">
        <f>'KiGa - PS'!C131+H130*'KiGa - PS'!L131</f>
        <v>702349.49292804068</v>
      </c>
      <c r="F130" s="223">
        <f t="shared" si="237"/>
        <v>234116.49764268022</v>
      </c>
      <c r="G130" s="224">
        <f>E130/D130</f>
        <v>14943.606232511504</v>
      </c>
      <c r="H130" s="223">
        <f>I130-'KiGa - PS'!H131</f>
        <v>2737960.4599999995</v>
      </c>
      <c r="I130" s="223">
        <f t="shared" si="238"/>
        <v>4930319.8099999996</v>
      </c>
      <c r="J130" s="365">
        <v>5330346.26</v>
      </c>
      <c r="K130" s="365">
        <v>361376.65</v>
      </c>
      <c r="L130" s="365">
        <v>61.55</v>
      </c>
      <c r="M130" s="365">
        <v>38588.25</v>
      </c>
      <c r="N130" s="365"/>
      <c r="O130" s="365"/>
      <c r="P130" s="365">
        <v>2242916.25</v>
      </c>
      <c r="Q130" s="27">
        <f t="shared" si="239"/>
        <v>2204328</v>
      </c>
      <c r="R130" s="223">
        <f>(Q130-'KiGa - PS'!H131)*'KiGa - PS'!L131+'KiGa - PS'!C131</f>
        <v>314017.89593991515</v>
      </c>
      <c r="S130" s="226">
        <f t="shared" si="218"/>
        <v>0.44709635174761619</v>
      </c>
      <c r="T130" s="223">
        <f t="shared" si="219"/>
        <v>104672.63197997172</v>
      </c>
      <c r="U130" s="224">
        <f t="shared" si="220"/>
        <v>6681.2318285088331</v>
      </c>
      <c r="V130" s="365">
        <v>208427.6</v>
      </c>
      <c r="W130" s="223">
        <f>V130*'KiGa - PS'!L131</f>
        <v>29691.586918011413</v>
      </c>
      <c r="X130" s="226">
        <f t="shared" si="221"/>
        <v>4.2274661286120514E-2</v>
      </c>
      <c r="Y130" s="223">
        <f t="shared" si="222"/>
        <v>9897.1956393371383</v>
      </c>
      <c r="Z130" s="224">
        <f>W130/D130</f>
        <v>631.73589187258324</v>
      </c>
      <c r="AA130" s="365">
        <v>667906.25</v>
      </c>
      <c r="AB130" s="365">
        <v>132545</v>
      </c>
      <c r="AC130" s="225">
        <f>Artengliederung!AE130</f>
        <v>525885.6</v>
      </c>
      <c r="AD130" s="223">
        <f>AC130*'KiGa - PS'!L131</f>
        <v>74915.116814330642</v>
      </c>
      <c r="AE130" s="226">
        <f>AD130/$E130</f>
        <v>0.10666358781297801</v>
      </c>
      <c r="AF130" s="223">
        <f t="shared" si="225"/>
        <v>24971.705604776882</v>
      </c>
      <c r="AG130" s="224">
        <f t="shared" si="226"/>
        <v>1593.9386556240563</v>
      </c>
      <c r="AH130" s="225">
        <f t="shared" si="216"/>
        <v>535361.25</v>
      </c>
      <c r="AI130" s="223">
        <f>AH130*'KiGa - PS'!L131</f>
        <v>76264.972042619294</v>
      </c>
      <c r="AJ130" s="226">
        <f t="shared" si="227"/>
        <v>0.10858550167762851</v>
      </c>
      <c r="AK130" s="223">
        <f t="shared" si="228"/>
        <v>25421.657347539764</v>
      </c>
      <c r="AL130" s="224">
        <f t="shared" si="229"/>
        <v>1622.6589796301978</v>
      </c>
      <c r="AM130" s="365">
        <v>10633.35</v>
      </c>
      <c r="AN130" s="223">
        <f>AM130*'KiGa - PS'!L131</f>
        <v>1514.775565974164</v>
      </c>
      <c r="AO130" s="226">
        <f t="shared" si="230"/>
        <v>2.1567262185371301E-3</v>
      </c>
      <c r="AP130" s="223">
        <f t="shared" si="231"/>
        <v>504.92518865805465</v>
      </c>
      <c r="AQ130" s="224">
        <f>AN130/D130</f>
        <v>32.229267361152424</v>
      </c>
      <c r="AR130" s="223">
        <f>Artengliederung!X130*'KiGa - PS'!L131</f>
        <v>84472.305228442579</v>
      </c>
      <c r="AS130" s="226">
        <f t="shared" si="233"/>
        <v>0.1202710418089491</v>
      </c>
      <c r="AT130" s="223">
        <f t="shared" si="234"/>
        <v>28157.435076147525</v>
      </c>
      <c r="AU130" s="223">
        <f t="shared" si="235"/>
        <v>1797.2830899668634</v>
      </c>
      <c r="AV130" s="227">
        <f t="shared" si="236"/>
        <v>0.17295212944817051</v>
      </c>
    </row>
    <row r="131" spans="1:48" ht="13.9" customHeight="1" x14ac:dyDescent="0.25">
      <c r="A131" s="365" t="s">
        <v>89</v>
      </c>
      <c r="B131" s="365" t="s">
        <v>35</v>
      </c>
      <c r="C131" s="328">
        <v>1</v>
      </c>
      <c r="D131" s="328">
        <f>Kennzahlen!D9</f>
        <v>20</v>
      </c>
      <c r="E131" s="223">
        <f>'KiGa - PS'!C132+H131*'KiGa - PS'!L132</f>
        <v>359877.24692656391</v>
      </c>
      <c r="F131" s="223">
        <f t="shared" si="237"/>
        <v>359877.24692656391</v>
      </c>
      <c r="G131" s="224">
        <f t="shared" ref="G131:G146" si="240">E131/D131</f>
        <v>17993.862346328195</v>
      </c>
      <c r="H131" s="223">
        <f>I131-'KiGa - PS'!H132</f>
        <v>815147.62999999989</v>
      </c>
      <c r="I131" s="223">
        <f t="shared" si="238"/>
        <v>1409213.18</v>
      </c>
      <c r="J131" s="365">
        <v>1519433.63</v>
      </c>
      <c r="K131" s="365">
        <v>52164.25</v>
      </c>
      <c r="L131" s="365">
        <v>0</v>
      </c>
      <c r="M131" s="365">
        <v>58056.2</v>
      </c>
      <c r="N131" s="365"/>
      <c r="O131" s="365"/>
      <c r="P131" s="365">
        <v>609267.65</v>
      </c>
      <c r="Q131" s="27">
        <f t="shared" si="239"/>
        <v>551211.45000000007</v>
      </c>
      <c r="R131" s="223">
        <f>(Q131-'KiGa - PS'!H132)*'KiGa - PS'!L132+'KiGa - PS'!C132</f>
        <v>140765.40151320424</v>
      </c>
      <c r="S131" s="226">
        <f t="shared" si="218"/>
        <v>0.3911483782744638</v>
      </c>
      <c r="T131" s="223">
        <f t="shared" si="219"/>
        <v>140765.40151320424</v>
      </c>
      <c r="U131" s="224">
        <f t="shared" si="220"/>
        <v>7038.2700756602117</v>
      </c>
      <c r="V131" s="365">
        <v>56203.5</v>
      </c>
      <c r="W131" s="223">
        <f>V131*'KiGa - PS'!L132</f>
        <v>14352.946122485979</v>
      </c>
      <c r="X131" s="226">
        <f t="shared" si="221"/>
        <v>3.9882894084200947E-2</v>
      </c>
      <c r="Y131" s="223">
        <f t="shared" si="222"/>
        <v>14352.946122485979</v>
      </c>
      <c r="Z131" s="224">
        <f t="shared" ref="Z131:Z146" si="241">W131/D131</f>
        <v>717.64730612429889</v>
      </c>
      <c r="AA131" s="365">
        <v>259655.75</v>
      </c>
      <c r="AB131" s="365">
        <v>126984.4</v>
      </c>
      <c r="AC131" s="225">
        <f>Artengliederung!AE131</f>
        <v>110400</v>
      </c>
      <c r="AD131" s="223">
        <f>AC131*'KiGa - PS'!L132</f>
        <v>28193.355430221462</v>
      </c>
      <c r="AE131" s="226">
        <f t="shared" ref="AE131:AE146" si="242">AD131/$E131</f>
        <v>7.8341589169638612E-2</v>
      </c>
      <c r="AF131" s="223">
        <f t="shared" si="225"/>
        <v>28193.355430221462</v>
      </c>
      <c r="AG131" s="224">
        <f t="shared" si="226"/>
        <v>1409.6677715110732</v>
      </c>
      <c r="AH131" s="225">
        <f t="shared" si="216"/>
        <v>132671.35</v>
      </c>
      <c r="AI131" s="223">
        <f>AH131*'KiGa - PS'!L132</f>
        <v>33880.892445265512</v>
      </c>
      <c r="AJ131" s="226">
        <f t="shared" si="227"/>
        <v>9.4145691995301956E-2</v>
      </c>
      <c r="AK131" s="223">
        <f t="shared" si="228"/>
        <v>33880.892445265512</v>
      </c>
      <c r="AL131" s="224">
        <f t="shared" si="229"/>
        <v>1694.0446222632756</v>
      </c>
      <c r="AM131" s="365">
        <v>2865.2</v>
      </c>
      <c r="AN131" s="223">
        <f>AM131*'KiGa - PS'!L132</f>
        <v>731.69929328505918</v>
      </c>
      <c r="AO131" s="226">
        <f t="shared" si="230"/>
        <v>2.0331913160221791E-3</v>
      </c>
      <c r="AP131" s="223">
        <f t="shared" si="231"/>
        <v>731.69929328505918</v>
      </c>
      <c r="AQ131" s="224">
        <f t="shared" ref="AQ131:AQ146" si="243">AN131/D131</f>
        <v>36.584964664252958</v>
      </c>
      <c r="AR131" s="223">
        <f>Artengliederung!X131*'KiGa - PS'!L132</f>
        <v>31671.927724831879</v>
      </c>
      <c r="AS131" s="226">
        <f t="shared" si="233"/>
        <v>8.8007585906910116E-2</v>
      </c>
      <c r="AT131" s="223">
        <f t="shared" si="234"/>
        <v>31671.927724831879</v>
      </c>
      <c r="AU131" s="223">
        <f t="shared" si="235"/>
        <v>1583.596386241594</v>
      </c>
      <c r="AV131" s="227">
        <f t="shared" si="236"/>
        <v>0.30644066925346231</v>
      </c>
    </row>
    <row r="132" spans="1:48" x14ac:dyDescent="0.25">
      <c r="A132" s="365" t="s">
        <v>90</v>
      </c>
      <c r="B132" s="365" t="s">
        <v>35</v>
      </c>
      <c r="C132" s="328">
        <v>1</v>
      </c>
      <c r="D132" s="328">
        <f>Kennzahlen!D10</f>
        <v>20</v>
      </c>
      <c r="E132" s="223">
        <f>'KiGa - PS'!C133+H132*'KiGa - PS'!L133</f>
        <v>172710.20117210949</v>
      </c>
      <c r="F132" s="223">
        <f t="shared" si="237"/>
        <v>172710.20117210949</v>
      </c>
      <c r="G132" s="224">
        <f t="shared" si="240"/>
        <v>8635.5100586054741</v>
      </c>
      <c r="H132" s="223">
        <f>I132-'KiGa - PS'!H133</f>
        <v>591982.15000000014</v>
      </c>
      <c r="I132" s="223">
        <f t="shared" si="238"/>
        <v>1134341.9000000001</v>
      </c>
      <c r="J132" s="365">
        <v>1169357</v>
      </c>
      <c r="K132" s="365">
        <v>21477.4</v>
      </c>
      <c r="L132" s="365">
        <v>0</v>
      </c>
      <c r="M132" s="365">
        <v>13537.7</v>
      </c>
      <c r="N132" s="365"/>
      <c r="O132" s="365"/>
      <c r="P132" s="365">
        <v>542359.75</v>
      </c>
      <c r="Q132" s="27">
        <f t="shared" si="239"/>
        <v>528822.05000000005</v>
      </c>
      <c r="R132" s="223">
        <f>(Q132-'KiGa - PS'!H133)*'KiGa - PS'!L133+'KiGa - PS'!C133</f>
        <v>80516.255848212371</v>
      </c>
      <c r="S132" s="226">
        <f t="shared" si="218"/>
        <v>0.46619282070070756</v>
      </c>
      <c r="T132" s="223">
        <f t="shared" si="219"/>
        <v>80516.255848212371</v>
      </c>
      <c r="U132" s="224">
        <f t="shared" si="220"/>
        <v>4025.8127924106184</v>
      </c>
      <c r="V132" s="365">
        <v>38431.4</v>
      </c>
      <c r="W132" s="223">
        <f>V132*'KiGa - PS'!L133</f>
        <v>5851.4058462671683</v>
      </c>
      <c r="X132" s="226">
        <f t="shared" si="221"/>
        <v>3.3879908694195278E-2</v>
      </c>
      <c r="Y132" s="223">
        <f t="shared" si="222"/>
        <v>5851.4058462671683</v>
      </c>
      <c r="Z132" s="224">
        <f t="shared" si="241"/>
        <v>292.57029231335844</v>
      </c>
      <c r="AA132" s="365">
        <v>279205.75</v>
      </c>
      <c r="AB132" s="365">
        <v>274886.95</v>
      </c>
      <c r="AC132" s="225">
        <f>Artengliederung!AE132</f>
        <v>97546.25</v>
      </c>
      <c r="AD132" s="223">
        <f>AC132*'KiGa - PS'!L133</f>
        <v>14851.988153734674</v>
      </c>
      <c r="AE132" s="226">
        <f t="shared" si="242"/>
        <v>8.5993693788442432E-2</v>
      </c>
      <c r="AF132" s="223">
        <f t="shared" si="225"/>
        <v>14851.988153734674</v>
      </c>
      <c r="AG132" s="224">
        <f t="shared" si="226"/>
        <v>742.59940768673368</v>
      </c>
      <c r="AH132" s="225">
        <f t="shared" si="216"/>
        <v>4318.7999999999884</v>
      </c>
      <c r="AI132" s="223">
        <f>AH132*'KiGa - PS'!L133</f>
        <v>657.56260684904998</v>
      </c>
      <c r="AJ132" s="226">
        <f t="shared" si="227"/>
        <v>3.8073177055348022E-3</v>
      </c>
      <c r="AK132" s="223">
        <f t="shared" si="228"/>
        <v>657.56260684904998</v>
      </c>
      <c r="AL132" s="224">
        <f t="shared" si="229"/>
        <v>32.878130342452501</v>
      </c>
      <c r="AM132" s="365">
        <v>5594.8</v>
      </c>
      <c r="AN132" s="223">
        <f>AM132*'KiGa - PS'!L133</f>
        <v>851.84108381936528</v>
      </c>
      <c r="AO132" s="226">
        <f t="shared" si="230"/>
        <v>4.9321990133662516E-3</v>
      </c>
      <c r="AP132" s="223">
        <f t="shared" si="231"/>
        <v>851.84108381936528</v>
      </c>
      <c r="AQ132" s="224">
        <f t="shared" si="243"/>
        <v>42.592054190968263</v>
      </c>
      <c r="AR132" s="223">
        <f>Artengliederung!X132*'KiGa - PS'!L133</f>
        <v>11825.149275798951</v>
      </c>
      <c r="AS132" s="226">
        <f t="shared" si="233"/>
        <v>6.8468157616323605E-2</v>
      </c>
      <c r="AT132" s="223">
        <f t="shared" si="234"/>
        <v>11825.149275798951</v>
      </c>
      <c r="AU132" s="223">
        <f t="shared" si="235"/>
        <v>591.25746378994756</v>
      </c>
      <c r="AV132" s="227">
        <f t="shared" si="236"/>
        <v>0.33672590248142997</v>
      </c>
    </row>
    <row r="133" spans="1:48" x14ac:dyDescent="0.25">
      <c r="A133" s="365" t="s">
        <v>91</v>
      </c>
      <c r="B133" s="365" t="s">
        <v>35</v>
      </c>
      <c r="C133" s="328">
        <v>0</v>
      </c>
      <c r="D133" s="328"/>
      <c r="E133" s="223"/>
      <c r="F133" s="223"/>
      <c r="G133" s="224"/>
      <c r="H133" s="223"/>
      <c r="I133" s="223"/>
      <c r="J133" s="365"/>
      <c r="K133" s="365"/>
      <c r="L133" s="365"/>
      <c r="M133" s="365"/>
      <c r="N133" s="365"/>
      <c r="O133" s="365"/>
      <c r="P133" s="365"/>
      <c r="Q133" s="27"/>
      <c r="R133" s="223"/>
      <c r="S133" s="226"/>
      <c r="T133" s="223"/>
      <c r="U133" s="224"/>
      <c r="V133" s="365"/>
      <c r="W133" s="223"/>
      <c r="X133" s="226"/>
      <c r="Y133" s="223"/>
      <c r="Z133" s="224"/>
      <c r="AA133" s="365"/>
      <c r="AB133" s="365"/>
      <c r="AC133" s="225"/>
      <c r="AD133" s="223"/>
      <c r="AE133" s="226"/>
      <c r="AF133" s="223"/>
      <c r="AG133" s="224"/>
      <c r="AH133" s="225"/>
      <c r="AI133" s="223"/>
      <c r="AJ133" s="226"/>
      <c r="AK133" s="223"/>
      <c r="AL133" s="224"/>
      <c r="AM133" s="365"/>
      <c r="AN133" s="223"/>
      <c r="AO133" s="226"/>
      <c r="AP133" s="223"/>
      <c r="AQ133" s="224"/>
      <c r="AR133" s="223"/>
      <c r="AS133" s="226"/>
      <c r="AT133" s="223"/>
      <c r="AU133" s="223"/>
      <c r="AV133" s="227"/>
    </row>
    <row r="134" spans="1:48" x14ac:dyDescent="0.25">
      <c r="A134" s="365" t="s">
        <v>92</v>
      </c>
      <c r="B134" s="365" t="s">
        <v>35</v>
      </c>
      <c r="C134" s="328">
        <v>2</v>
      </c>
      <c r="D134" s="328">
        <f>Kennzahlen!D12</f>
        <v>34</v>
      </c>
      <c r="E134" s="223">
        <f>'KiGa - PS'!C135+H134*'KiGa - PS'!L135</f>
        <v>378964.40507484367</v>
      </c>
      <c r="F134" s="223">
        <f t="shared" si="237"/>
        <v>189482.20253742184</v>
      </c>
      <c r="G134" s="224">
        <f t="shared" si="240"/>
        <v>11146.011913965991</v>
      </c>
      <c r="H134" s="223">
        <f>I134-'KiGa - PS'!H135</f>
        <v>1174569</v>
      </c>
      <c r="I134" s="223">
        <f t="shared" si="238"/>
        <v>2546879.75</v>
      </c>
      <c r="J134" s="365">
        <v>2577212.5499999998</v>
      </c>
      <c r="K134" s="365">
        <v>63446.55</v>
      </c>
      <c r="L134" s="365">
        <v>0</v>
      </c>
      <c r="M134" s="365">
        <v>-33113.75</v>
      </c>
      <c r="N134" s="365"/>
      <c r="O134" s="365"/>
      <c r="P134" s="365">
        <v>1378604.2</v>
      </c>
      <c r="Q134" s="27">
        <f t="shared" si="239"/>
        <v>1411717.95</v>
      </c>
      <c r="R134" s="223">
        <f>(Q134-'KiGa - PS'!H135)*'KiGa - PS'!L135+'KiGa - PS'!C135</f>
        <v>210057.3664913814</v>
      </c>
      <c r="S134" s="226">
        <f t="shared" ref="S134:S149" si="244">R134/$E134</f>
        <v>0.55429313064348629</v>
      </c>
      <c r="T134" s="223">
        <f t="shared" ref="T134:T149" si="245">R134/C134</f>
        <v>105028.6832456907</v>
      </c>
      <c r="U134" s="224">
        <f t="shared" ref="U134:U149" si="246">R134/D134</f>
        <v>6178.1578379818056</v>
      </c>
      <c r="V134" s="365">
        <v>89591.75</v>
      </c>
      <c r="W134" s="223">
        <f>V134*'KiGa - PS'!L135</f>
        <v>13330.854838499588</v>
      </c>
      <c r="X134" s="226">
        <f t="shared" ref="X134:X149" si="247">W134/$E134</f>
        <v>3.5177063228053855E-2</v>
      </c>
      <c r="Y134" s="223">
        <f t="shared" ref="Y134:Y149" si="248">W134/C134</f>
        <v>6665.4274192497942</v>
      </c>
      <c r="Z134" s="224">
        <f t="shared" si="241"/>
        <v>392.08396583822321</v>
      </c>
      <c r="AA134" s="365">
        <v>214883.95</v>
      </c>
      <c r="AB134" s="365">
        <v>0</v>
      </c>
      <c r="AC134" s="225">
        <f>Artengliederung!AE134</f>
        <v>349562</v>
      </c>
      <c r="AD134" s="223">
        <f>AC134*'KiGa - PS'!L135</f>
        <v>52013.274426000084</v>
      </c>
      <c r="AE134" s="226">
        <f t="shared" si="242"/>
        <v>0.13725108144583581</v>
      </c>
      <c r="AF134" s="223">
        <f t="shared" ref="AF134:AF149" si="249">AD134/C134</f>
        <v>26006.637213000042</v>
      </c>
      <c r="AG134" s="224">
        <f t="shared" ref="AG134:AG149" si="250">AD134/D134</f>
        <v>1529.8021890000025</v>
      </c>
      <c r="AH134" s="225">
        <f t="shared" ref="AH134:AH147" si="251">AA134-AB134</f>
        <v>214883.95</v>
      </c>
      <c r="AI134" s="223">
        <f>AH134*'KiGa - PS'!L135</f>
        <v>31973.778217005514</v>
      </c>
      <c r="AJ134" s="226">
        <f t="shared" ref="AJ134:AJ149" si="252">AI134/$E134</f>
        <v>8.4371454914587155E-2</v>
      </c>
      <c r="AK134" s="223">
        <f t="shared" ref="AK134:AK149" si="253">AI134/C134</f>
        <v>15986.889108502757</v>
      </c>
      <c r="AL134" s="224">
        <f t="shared" ref="AL134:AL149" si="254">AI134/D134</f>
        <v>940.40524167663273</v>
      </c>
      <c r="AM134" s="365">
        <v>16038.35</v>
      </c>
      <c r="AN134" s="223">
        <f>AM134*'KiGa - PS'!L135</f>
        <v>2386.4353101602533</v>
      </c>
      <c r="AO134" s="226">
        <f t="shared" ref="AO134:AO149" si="255">AN134/$E134</f>
        <v>6.2972545130958769E-3</v>
      </c>
      <c r="AP134" s="223">
        <f t="shared" ref="AP134:AP149" si="256">AN134/C134</f>
        <v>1193.2176550801266</v>
      </c>
      <c r="AQ134" s="224">
        <f t="shared" si="243"/>
        <v>70.189273828242747</v>
      </c>
      <c r="AR134" s="223">
        <f>Artengliederung!X134*'KiGa - PS'!L135</f>
        <v>39775.516428449235</v>
      </c>
      <c r="AS134" s="226">
        <f t="shared" ref="AS134:AS149" si="257">AR134/E134</f>
        <v>0.10495844964804481</v>
      </c>
      <c r="AT134" s="223">
        <f t="shared" ref="AT134:AT149" si="258">AR134/C134</f>
        <v>19887.758214224617</v>
      </c>
      <c r="AU134" s="223">
        <f t="shared" ref="AU134:AU149" si="259">AR134/D134</f>
        <v>1169.868130248507</v>
      </c>
      <c r="AV134" s="227">
        <f t="shared" ref="AV134:AV149" si="260">1-S134-X134-AJ134-AE134-AO134-AS134</f>
        <v>7.765156560689622E-2</v>
      </c>
    </row>
    <row r="135" spans="1:48" x14ac:dyDescent="0.25">
      <c r="A135" s="365" t="s">
        <v>93</v>
      </c>
      <c r="B135" s="365" t="s">
        <v>35</v>
      </c>
      <c r="C135" s="328">
        <v>1</v>
      </c>
      <c r="D135" s="328">
        <f>Kennzahlen!D13</f>
        <v>19</v>
      </c>
      <c r="E135" s="223">
        <f>'KiGa - PS'!C136+H135*'KiGa - PS'!L136</f>
        <v>247756.82753156807</v>
      </c>
      <c r="F135" s="223">
        <f t="shared" ref="F135:F150" si="261">E135/C135</f>
        <v>247756.82753156807</v>
      </c>
      <c r="G135" s="224">
        <f t="shared" si="240"/>
        <v>13039.833027977267</v>
      </c>
      <c r="H135" s="223">
        <f>I135-'KiGa - PS'!H136</f>
        <v>556145.65</v>
      </c>
      <c r="I135" s="223">
        <f t="shared" si="238"/>
        <v>942418.6</v>
      </c>
      <c r="J135" s="365">
        <v>1016353.6</v>
      </c>
      <c r="K135" s="365">
        <v>17827.3</v>
      </c>
      <c r="L135" s="365">
        <v>0</v>
      </c>
      <c r="M135" s="365">
        <v>56107.7</v>
      </c>
      <c r="N135" s="365"/>
      <c r="O135" s="365"/>
      <c r="P135" s="365">
        <v>512422.8</v>
      </c>
      <c r="Q135" s="27">
        <f t="shared" si="239"/>
        <v>456315.1</v>
      </c>
      <c r="R135" s="223">
        <f>(Q135-'KiGa - PS'!H136)*'KiGa - PS'!L136+'KiGa - PS'!C136</f>
        <v>119962.80796108038</v>
      </c>
      <c r="S135" s="226">
        <f t="shared" si="244"/>
        <v>0.48419577032966027</v>
      </c>
      <c r="T135" s="223">
        <f t="shared" si="245"/>
        <v>119962.80796108038</v>
      </c>
      <c r="U135" s="224">
        <f t="shared" si="246"/>
        <v>6313.8319979515991</v>
      </c>
      <c r="V135" s="365">
        <v>44095.4</v>
      </c>
      <c r="W135" s="223">
        <f>V135*'KiGa - PS'!L136</f>
        <v>11592.445663461553</v>
      </c>
      <c r="X135" s="226">
        <f t="shared" si="247"/>
        <v>4.6789611325582924E-2</v>
      </c>
      <c r="Y135" s="223">
        <f t="shared" si="248"/>
        <v>11592.445663461553</v>
      </c>
      <c r="Z135" s="224">
        <f t="shared" si="241"/>
        <v>610.12871912955541</v>
      </c>
      <c r="AA135" s="365">
        <v>155227.75</v>
      </c>
      <c r="AB135" s="365">
        <v>2569</v>
      </c>
      <c r="AC135" s="225">
        <f>Artengliederung!AE135</f>
        <v>136193.70000000001</v>
      </c>
      <c r="AD135" s="223">
        <f>AC135*'KiGa - PS'!L136</f>
        <v>35804.597916240324</v>
      </c>
      <c r="AE135" s="226">
        <f t="shared" si="242"/>
        <v>0.14451508066585275</v>
      </c>
      <c r="AF135" s="223">
        <f t="shared" si="249"/>
        <v>35804.597916240324</v>
      </c>
      <c r="AG135" s="224">
        <f t="shared" si="250"/>
        <v>1884.4525219073855</v>
      </c>
      <c r="AH135" s="225">
        <f t="shared" si="251"/>
        <v>152658.75</v>
      </c>
      <c r="AI135" s="223">
        <f>AH135*'KiGa - PS'!L136</f>
        <v>40133.171814451416</v>
      </c>
      <c r="AJ135" s="226">
        <f t="shared" si="252"/>
        <v>0.16198613864369824</v>
      </c>
      <c r="AK135" s="223">
        <f t="shared" si="253"/>
        <v>40133.171814451416</v>
      </c>
      <c r="AL135" s="224">
        <f t="shared" si="254"/>
        <v>2112.2722007606008</v>
      </c>
      <c r="AM135" s="365">
        <v>4808.8500000000004</v>
      </c>
      <c r="AN135" s="223">
        <f>AM135*'KiGa - PS'!L136</f>
        <v>1264.2210373131231</v>
      </c>
      <c r="AO135" s="226">
        <f t="shared" si="255"/>
        <v>5.1026688140492988E-3</v>
      </c>
      <c r="AP135" s="223">
        <f t="shared" si="256"/>
        <v>1264.2210373131231</v>
      </c>
      <c r="AQ135" s="224">
        <f t="shared" si="243"/>
        <v>66.537949332269633</v>
      </c>
      <c r="AR135" s="223">
        <f>Artengliederung!X135*'KiGa - PS'!L136</f>
        <v>20270.835349278281</v>
      </c>
      <c r="AS135" s="226">
        <f t="shared" si="257"/>
        <v>8.1817464128997458E-2</v>
      </c>
      <c r="AT135" s="223">
        <f t="shared" si="258"/>
        <v>20270.835349278281</v>
      </c>
      <c r="AU135" s="223">
        <f t="shared" si="259"/>
        <v>1066.8860710146464</v>
      </c>
      <c r="AV135" s="227">
        <f t="shared" si="260"/>
        <v>7.5593266092159106E-2</v>
      </c>
    </row>
    <row r="136" spans="1:48" x14ac:dyDescent="0.25">
      <c r="A136" s="365" t="s">
        <v>94</v>
      </c>
      <c r="B136" s="365" t="s">
        <v>35</v>
      </c>
      <c r="C136" s="328">
        <v>10.5</v>
      </c>
      <c r="D136" s="328">
        <f>Kennzahlen!D14</f>
        <v>210</v>
      </c>
      <c r="E136" s="223">
        <f>'KiGa - PS'!C137+H136*'KiGa - PS'!L137</f>
        <v>1602517.5718497918</v>
      </c>
      <c r="F136" s="223">
        <f t="shared" si="261"/>
        <v>152620.72112855161</v>
      </c>
      <c r="G136" s="224">
        <f t="shared" si="240"/>
        <v>7631.0360564275798</v>
      </c>
      <c r="H136" s="223">
        <f>I136-'KiGa - PS'!H137</f>
        <v>5770104.5500000007</v>
      </c>
      <c r="I136" s="223">
        <f t="shared" ref="I136:I151" si="262">J136-K136-L136-M136</f>
        <v>12792996.800000001</v>
      </c>
      <c r="J136" s="365">
        <v>13561041.9</v>
      </c>
      <c r="K136" s="365">
        <v>747727.65</v>
      </c>
      <c r="L136" s="365">
        <v>17789.099999999999</v>
      </c>
      <c r="M136" s="365">
        <v>2528.35</v>
      </c>
      <c r="N136" s="365"/>
      <c r="O136" s="365"/>
      <c r="P136" s="365">
        <v>7458345.4500000002</v>
      </c>
      <c r="Q136" s="27">
        <f t="shared" ref="Q136:Q151" si="263">P136-M136</f>
        <v>7455817.1000000006</v>
      </c>
      <c r="R136" s="223">
        <f>(Q136-'KiGa - PS'!H137)*'KiGa - PS'!L137+'KiGa - PS'!C137</f>
        <v>933954.57702671795</v>
      </c>
      <c r="S136" s="226">
        <f t="shared" si="244"/>
        <v>0.58280457789217921</v>
      </c>
      <c r="T136" s="223">
        <f t="shared" si="245"/>
        <v>88948.054954925523</v>
      </c>
      <c r="U136" s="224">
        <f t="shared" si="246"/>
        <v>4447.402747746276</v>
      </c>
      <c r="V136" s="365">
        <v>742737.3</v>
      </c>
      <c r="W136" s="223">
        <f>V136*'KiGa - PS'!L137</f>
        <v>93039.152055308135</v>
      </c>
      <c r="X136" s="226">
        <f t="shared" si="247"/>
        <v>5.8058116609550001E-2</v>
      </c>
      <c r="Y136" s="223">
        <f t="shared" si="248"/>
        <v>8860.8716243150611</v>
      </c>
      <c r="Z136" s="224">
        <f t="shared" si="241"/>
        <v>443.04358121575302</v>
      </c>
      <c r="AA136" s="365">
        <v>1390023.6</v>
      </c>
      <c r="AB136" s="365">
        <v>153265.35</v>
      </c>
      <c r="AC136" s="225">
        <f>Artengliederung!AE136</f>
        <v>821000</v>
      </c>
      <c r="AD136" s="223">
        <f>AC136*'KiGa - PS'!L137</f>
        <v>102842.74646959022</v>
      </c>
      <c r="AE136" s="226">
        <f t="shared" si="242"/>
        <v>6.4175737150188289E-2</v>
      </c>
      <c r="AF136" s="223">
        <f t="shared" si="249"/>
        <v>9794.5472828181155</v>
      </c>
      <c r="AG136" s="224">
        <f t="shared" si="250"/>
        <v>489.72736414090582</v>
      </c>
      <c r="AH136" s="225">
        <f t="shared" si="251"/>
        <v>1236758.25</v>
      </c>
      <c r="AI136" s="223">
        <f>AH136*'KiGa - PS'!L137</f>
        <v>154922.79555289168</v>
      </c>
      <c r="AJ136" s="226">
        <f t="shared" si="252"/>
        <v>9.6674631388948662E-2</v>
      </c>
      <c r="AK136" s="223">
        <f t="shared" si="253"/>
        <v>14754.551957418254</v>
      </c>
      <c r="AL136" s="224">
        <f t="shared" si="254"/>
        <v>737.72759787091275</v>
      </c>
      <c r="AM136" s="365">
        <v>61167.9</v>
      </c>
      <c r="AN136" s="223">
        <f>AM136*'KiGa - PS'!L137</f>
        <v>7662.2105137359904</v>
      </c>
      <c r="AO136" s="226">
        <f t="shared" si="255"/>
        <v>4.7813581880986637E-3</v>
      </c>
      <c r="AP136" s="223">
        <f t="shared" si="256"/>
        <v>729.73433464152288</v>
      </c>
      <c r="AQ136" s="224">
        <f t="shared" si="243"/>
        <v>36.486716732076147</v>
      </c>
      <c r="AR136" s="223">
        <f>Artengliederung!X136*'KiGa - PS'!L137</f>
        <v>114853.3073908912</v>
      </c>
      <c r="AS136" s="226">
        <f t="shared" si="257"/>
        <v>7.1670544778061701E-2</v>
      </c>
      <c r="AT136" s="223">
        <f t="shared" si="258"/>
        <v>10938.410227703924</v>
      </c>
      <c r="AU136" s="223">
        <f t="shared" si="259"/>
        <v>546.92051138519616</v>
      </c>
      <c r="AV136" s="227">
        <f t="shared" si="260"/>
        <v>0.12183503399297346</v>
      </c>
    </row>
    <row r="137" spans="1:48" x14ac:dyDescent="0.25">
      <c r="A137" s="365" t="s">
        <v>95</v>
      </c>
      <c r="B137" s="365" t="s">
        <v>35</v>
      </c>
      <c r="C137" s="328">
        <v>0</v>
      </c>
      <c r="D137" s="328"/>
      <c r="E137" s="223"/>
      <c r="F137" s="223"/>
      <c r="G137" s="224"/>
      <c r="H137" s="223"/>
      <c r="I137" s="223"/>
      <c r="J137" s="365"/>
      <c r="K137" s="365"/>
      <c r="L137" s="365"/>
      <c r="M137" s="365"/>
      <c r="N137" s="365"/>
      <c r="O137" s="365"/>
      <c r="P137" s="365"/>
      <c r="Q137" s="27"/>
      <c r="R137" s="223"/>
      <c r="S137" s="226"/>
      <c r="T137" s="223"/>
      <c r="U137" s="224"/>
      <c r="V137" s="365"/>
      <c r="W137" s="223"/>
      <c r="X137" s="226"/>
      <c r="Y137" s="223"/>
      <c r="Z137" s="224"/>
      <c r="AA137" s="365"/>
      <c r="AB137" s="365"/>
      <c r="AC137" s="225"/>
      <c r="AD137" s="223"/>
      <c r="AE137" s="226"/>
      <c r="AF137" s="223"/>
      <c r="AG137" s="224"/>
      <c r="AH137" s="225"/>
      <c r="AI137" s="223"/>
      <c r="AJ137" s="226"/>
      <c r="AK137" s="223"/>
      <c r="AL137" s="224"/>
      <c r="AM137" s="365"/>
      <c r="AN137" s="223"/>
      <c r="AO137" s="226"/>
      <c r="AP137" s="223"/>
      <c r="AQ137" s="224"/>
      <c r="AR137" s="223"/>
      <c r="AS137" s="226"/>
      <c r="AT137" s="223"/>
      <c r="AU137" s="223"/>
      <c r="AV137" s="227"/>
    </row>
    <row r="138" spans="1:48" x14ac:dyDescent="0.25">
      <c r="A138" s="365" t="s">
        <v>96</v>
      </c>
      <c r="B138" s="365" t="s">
        <v>35</v>
      </c>
      <c r="C138" s="328">
        <v>2</v>
      </c>
      <c r="D138" s="328">
        <f>Kennzahlen!D16</f>
        <v>40</v>
      </c>
      <c r="E138" s="223">
        <f>'KiGa - PS'!C139+H138*'KiGa - PS'!L139</f>
        <v>254492.65801819906</v>
      </c>
      <c r="F138" s="223">
        <f t="shared" si="261"/>
        <v>127246.32900909953</v>
      </c>
      <c r="G138" s="224">
        <f t="shared" si="240"/>
        <v>6362.3164504549768</v>
      </c>
      <c r="H138" s="223">
        <f>I138-'KiGa - PS'!H139</f>
        <v>600825.80000000005</v>
      </c>
      <c r="I138" s="223">
        <f t="shared" si="262"/>
        <v>1615274.3</v>
      </c>
      <c r="J138" s="365">
        <v>1725477.75</v>
      </c>
      <c r="K138" s="365">
        <v>50405.3</v>
      </c>
      <c r="L138" s="365">
        <v>0</v>
      </c>
      <c r="M138" s="365">
        <v>59798.15</v>
      </c>
      <c r="N138" s="365"/>
      <c r="O138" s="365"/>
      <c r="P138" s="365">
        <v>1015210.65</v>
      </c>
      <c r="Q138" s="27">
        <f t="shared" si="263"/>
        <v>955412.5</v>
      </c>
      <c r="R138" s="223">
        <f>(Q138-'KiGa - PS'!H139)*'KiGa - PS'!L139+'KiGa - PS'!C139</f>
        <v>150528.90188917919</v>
      </c>
      <c r="S138" s="226">
        <f t="shared" si="244"/>
        <v>0.59148622620938129</v>
      </c>
      <c r="T138" s="223">
        <f t="shared" si="245"/>
        <v>75264.450944589596</v>
      </c>
      <c r="U138" s="224">
        <f t="shared" si="246"/>
        <v>3763.2225472294799</v>
      </c>
      <c r="V138" s="365">
        <v>86680.4</v>
      </c>
      <c r="W138" s="223">
        <f>V138*'KiGa - PS'!L139</f>
        <v>13656.829303902563</v>
      </c>
      <c r="X138" s="226">
        <f t="shared" si="247"/>
        <v>5.3662959907181083E-2</v>
      </c>
      <c r="Y138" s="223">
        <f t="shared" si="248"/>
        <v>6828.4146519512815</v>
      </c>
      <c r="Z138" s="224">
        <f t="shared" si="241"/>
        <v>341.4207325975641</v>
      </c>
      <c r="AA138" s="365">
        <v>145031.29999999999</v>
      </c>
      <c r="AB138" s="365">
        <v>846.1</v>
      </c>
      <c r="AC138" s="225">
        <f>Artengliederung!AE138</f>
        <v>239038.3</v>
      </c>
      <c r="AD138" s="223">
        <f>AC138*'KiGa - PS'!L139</f>
        <v>37661.400503401601</v>
      </c>
      <c r="AE138" s="226">
        <f t="shared" si="242"/>
        <v>0.1479861965240207</v>
      </c>
      <c r="AF138" s="223">
        <f t="shared" si="249"/>
        <v>18830.7002517008</v>
      </c>
      <c r="AG138" s="224">
        <f t="shared" si="250"/>
        <v>941.53501258504002</v>
      </c>
      <c r="AH138" s="225">
        <f t="shared" si="251"/>
        <v>144185.19999999998</v>
      </c>
      <c r="AI138" s="223">
        <f>AH138*'KiGa - PS'!L139</f>
        <v>22716.93098496375</v>
      </c>
      <c r="AJ138" s="226">
        <f t="shared" si="252"/>
        <v>8.9263600615697283E-2</v>
      </c>
      <c r="AK138" s="223">
        <f t="shared" si="253"/>
        <v>11358.465492481875</v>
      </c>
      <c r="AL138" s="224">
        <f t="shared" si="254"/>
        <v>567.92327462409378</v>
      </c>
      <c r="AM138" s="365">
        <v>3578.8</v>
      </c>
      <c r="AN138" s="223">
        <f>AM138*'KiGa - PS'!L139</f>
        <v>563.85365910640121</v>
      </c>
      <c r="AO138" s="226">
        <f t="shared" si="255"/>
        <v>2.2155989233531423E-3</v>
      </c>
      <c r="AP138" s="223">
        <f t="shared" si="256"/>
        <v>281.92682955320061</v>
      </c>
      <c r="AQ138" s="224">
        <f t="shared" si="243"/>
        <v>14.09634147766003</v>
      </c>
      <c r="AR138" s="223">
        <f>Artengliederung!X138*'KiGa - PS'!L139</f>
        <v>25325.116532147767</v>
      </c>
      <c r="AS138" s="226">
        <f t="shared" si="257"/>
        <v>9.9512169542968668E-2</v>
      </c>
      <c r="AT138" s="223">
        <f t="shared" si="258"/>
        <v>12662.558266073884</v>
      </c>
      <c r="AU138" s="223">
        <f t="shared" si="259"/>
        <v>633.12791330369419</v>
      </c>
      <c r="AV138" s="227">
        <f t="shared" si="260"/>
        <v>1.5873248277397861E-2</v>
      </c>
    </row>
    <row r="139" spans="1:48" x14ac:dyDescent="0.25">
      <c r="A139" s="365" t="s">
        <v>97</v>
      </c>
      <c r="B139" s="365" t="s">
        <v>35</v>
      </c>
      <c r="C139" s="328">
        <v>2</v>
      </c>
      <c r="D139" s="328">
        <f>Kennzahlen!D17</f>
        <v>33</v>
      </c>
      <c r="E139" s="223">
        <f>'KiGa - PS'!C140+H139*'KiGa - PS'!L140</f>
        <v>218336.29068292031</v>
      </c>
      <c r="F139" s="223">
        <f t="shared" si="261"/>
        <v>109168.14534146016</v>
      </c>
      <c r="G139" s="224">
        <f t="shared" si="240"/>
        <v>6616.2512328157673</v>
      </c>
      <c r="H139" s="223">
        <f>I139-'KiGa - PS'!H140</f>
        <v>353189.65000000026</v>
      </c>
      <c r="I139" s="223">
        <f t="shared" si="262"/>
        <v>1289031.7000000002</v>
      </c>
      <c r="J139" s="365">
        <v>1356732.1</v>
      </c>
      <c r="K139" s="365">
        <v>67700.399999999994</v>
      </c>
      <c r="L139" s="365">
        <v>0</v>
      </c>
      <c r="M139" s="365">
        <v>0</v>
      </c>
      <c r="N139" s="365"/>
      <c r="O139" s="365"/>
      <c r="P139" s="365">
        <v>936636.75</v>
      </c>
      <c r="Q139" s="27">
        <f t="shared" si="263"/>
        <v>936636.75</v>
      </c>
      <c r="R139" s="223">
        <f>(Q139-'KiGa - PS'!H140)*'KiGa - PS'!L140+'KiGa - PS'!C140</f>
        <v>158647.60634847515</v>
      </c>
      <c r="S139" s="226">
        <f t="shared" si="244"/>
        <v>0.72662041592925897</v>
      </c>
      <c r="T139" s="223">
        <f t="shared" si="245"/>
        <v>79323.803174237575</v>
      </c>
      <c r="U139" s="224">
        <f t="shared" si="246"/>
        <v>4807.5032226810654</v>
      </c>
      <c r="V139" s="365">
        <v>69187</v>
      </c>
      <c r="W139" s="223">
        <f>V139*'KiGa - PS'!L140</f>
        <v>11718.899499119538</v>
      </c>
      <c r="X139" s="226">
        <f t="shared" si="247"/>
        <v>5.3673621835677116E-2</v>
      </c>
      <c r="Y139" s="223">
        <f t="shared" si="248"/>
        <v>5859.4497495597689</v>
      </c>
      <c r="Z139" s="224">
        <f t="shared" si="241"/>
        <v>355.11816663998599</v>
      </c>
      <c r="AA139" s="365">
        <v>100951.65</v>
      </c>
      <c r="AB139" s="365">
        <v>195</v>
      </c>
      <c r="AC139" s="225">
        <f>Artengliederung!AE139</f>
        <v>42300</v>
      </c>
      <c r="AD139" s="223">
        <f>AC139*'KiGa - PS'!L140</f>
        <v>7164.7773254044314</v>
      </c>
      <c r="AE139" s="226">
        <f t="shared" si="242"/>
        <v>3.2815329522152166E-2</v>
      </c>
      <c r="AF139" s="223">
        <f t="shared" si="249"/>
        <v>3582.3886627022157</v>
      </c>
      <c r="AG139" s="224">
        <f t="shared" si="250"/>
        <v>217.11446440619488</v>
      </c>
      <c r="AH139" s="225">
        <f t="shared" si="251"/>
        <v>100756.65</v>
      </c>
      <c r="AI139" s="223">
        <f>AH139*'KiGa - PS'!L140</f>
        <v>17066.169297960056</v>
      </c>
      <c r="AJ139" s="226">
        <f t="shared" si="252"/>
        <v>7.8164602158348764E-2</v>
      </c>
      <c r="AK139" s="223">
        <f t="shared" si="253"/>
        <v>8533.0846489800279</v>
      </c>
      <c r="AL139" s="224">
        <f t="shared" si="254"/>
        <v>517.15664539272893</v>
      </c>
      <c r="AM139" s="365">
        <v>12701.6</v>
      </c>
      <c r="AN139" s="223">
        <f>AM139*'KiGa - PS'!L140</f>
        <v>2151.3980065332607</v>
      </c>
      <c r="AO139" s="226">
        <f t="shared" si="255"/>
        <v>9.8535978595406127E-3</v>
      </c>
      <c r="AP139" s="223">
        <f t="shared" si="256"/>
        <v>1075.6990032666304</v>
      </c>
      <c r="AQ139" s="224">
        <f t="shared" si="243"/>
        <v>65.193878985856387</v>
      </c>
      <c r="AR139" s="223">
        <f>Artengliederung!X139*'KiGa - PS'!L140</f>
        <v>11558.65747574604</v>
      </c>
      <c r="AS139" s="226">
        <f t="shared" si="257"/>
        <v>5.2939698845265004E-2</v>
      </c>
      <c r="AT139" s="223">
        <f t="shared" si="258"/>
        <v>5779.3287378730201</v>
      </c>
      <c r="AU139" s="223">
        <f t="shared" si="259"/>
        <v>350.26234774988001</v>
      </c>
      <c r="AV139" s="227">
        <f t="shared" si="260"/>
        <v>4.5932733849757365E-2</v>
      </c>
    </row>
    <row r="140" spans="1:48" x14ac:dyDescent="0.25">
      <c r="A140" s="365" t="s">
        <v>98</v>
      </c>
      <c r="B140" s="365" t="s">
        <v>35</v>
      </c>
      <c r="C140" s="328">
        <v>4</v>
      </c>
      <c r="D140" s="328">
        <f>Kennzahlen!D18</f>
        <v>55</v>
      </c>
      <c r="E140" s="223">
        <f>'KiGa - PS'!C141+H140*'KiGa - PS'!L141</f>
        <v>366487.70051684591</v>
      </c>
      <c r="F140" s="223">
        <f t="shared" si="261"/>
        <v>91621.925129211479</v>
      </c>
      <c r="G140" s="224">
        <f t="shared" si="240"/>
        <v>6663.4127366699258</v>
      </c>
      <c r="H140" s="223">
        <f>I140-'KiGa - PS'!H141</f>
        <v>700775.2</v>
      </c>
      <c r="I140" s="223">
        <f t="shared" si="262"/>
        <v>2274222.9</v>
      </c>
      <c r="J140" s="365">
        <v>2449637</v>
      </c>
      <c r="K140" s="365">
        <v>139288.9</v>
      </c>
      <c r="L140" s="365">
        <v>0</v>
      </c>
      <c r="M140" s="365">
        <v>36125.199999999997</v>
      </c>
      <c r="N140" s="365"/>
      <c r="O140" s="365"/>
      <c r="P140" s="365">
        <v>1587865.3</v>
      </c>
      <c r="Q140" s="27">
        <f t="shared" si="263"/>
        <v>1551740.1</v>
      </c>
      <c r="R140" s="223">
        <f>(Q140-'KiGa - PS'!H141)*'KiGa - PS'!L141+'KiGa - PS'!C141</f>
        <v>250060.65194787219</v>
      </c>
      <c r="S140" s="226">
        <f t="shared" si="244"/>
        <v>0.68231662780284208</v>
      </c>
      <c r="T140" s="223">
        <f t="shared" si="245"/>
        <v>62515.162986968047</v>
      </c>
      <c r="U140" s="224">
        <f t="shared" si="246"/>
        <v>4546.5573081431303</v>
      </c>
      <c r="V140" s="365">
        <v>104350.7</v>
      </c>
      <c r="W140" s="223">
        <f>V140*'KiGa - PS'!L141</f>
        <v>16815.96297808945</v>
      </c>
      <c r="X140" s="226">
        <f t="shared" si="247"/>
        <v>4.5884112766606991E-2</v>
      </c>
      <c r="Y140" s="223">
        <f t="shared" si="248"/>
        <v>4203.9907445223625</v>
      </c>
      <c r="Z140" s="224">
        <f t="shared" si="241"/>
        <v>305.74478141980819</v>
      </c>
      <c r="AA140" s="365">
        <v>198619.8</v>
      </c>
      <c r="AB140" s="365">
        <v>19300</v>
      </c>
      <c r="AC140" s="225">
        <f>Artengliederung!AE140</f>
        <v>278800.8</v>
      </c>
      <c r="AD140" s="223">
        <f>AC140*'KiGa - PS'!L141</f>
        <v>44928.341937923957</v>
      </c>
      <c r="AE140" s="226">
        <f t="shared" si="242"/>
        <v>0.12259167735933006</v>
      </c>
      <c r="AF140" s="223">
        <f t="shared" si="249"/>
        <v>11232.085484480989</v>
      </c>
      <c r="AG140" s="224">
        <f t="shared" si="250"/>
        <v>816.87894432589007</v>
      </c>
      <c r="AH140" s="225">
        <f t="shared" si="251"/>
        <v>179319.8</v>
      </c>
      <c r="AI140" s="223">
        <f>AH140*'KiGa - PS'!L141</f>
        <v>28897.124006244372</v>
      </c>
      <c r="AJ140" s="226">
        <f t="shared" si="252"/>
        <v>7.8848823481638478E-2</v>
      </c>
      <c r="AK140" s="223">
        <f t="shared" si="253"/>
        <v>7224.281001561093</v>
      </c>
      <c r="AL140" s="224">
        <f t="shared" si="254"/>
        <v>525.40225465898857</v>
      </c>
      <c r="AM140" s="365">
        <v>12681.25</v>
      </c>
      <c r="AN140" s="223">
        <f>AM140*'KiGa - PS'!L141</f>
        <v>2043.5649259266768</v>
      </c>
      <c r="AO140" s="226">
        <f t="shared" si="255"/>
        <v>5.5760805152388531E-3</v>
      </c>
      <c r="AP140" s="223">
        <f t="shared" si="256"/>
        <v>510.89123148166919</v>
      </c>
      <c r="AQ140" s="224">
        <f t="shared" si="243"/>
        <v>37.155725925939578</v>
      </c>
      <c r="AR140" s="223">
        <f>Artengliederung!X140*'KiGa - PS'!L141</f>
        <v>9879.0178812044396</v>
      </c>
      <c r="AS140" s="226">
        <f t="shared" si="257"/>
        <v>2.6955932947469657E-2</v>
      </c>
      <c r="AT140" s="223">
        <f t="shared" si="258"/>
        <v>2469.7544703011099</v>
      </c>
      <c r="AU140" s="223">
        <f t="shared" si="259"/>
        <v>179.61850693098981</v>
      </c>
      <c r="AV140" s="227">
        <f t="shared" si="260"/>
        <v>3.7826745126873909E-2</v>
      </c>
    </row>
    <row r="141" spans="1:48" x14ac:dyDescent="0.25">
      <c r="A141" s="365" t="s">
        <v>99</v>
      </c>
      <c r="B141" s="365" t="s">
        <v>35</v>
      </c>
      <c r="C141" s="328">
        <v>1</v>
      </c>
      <c r="D141" s="328">
        <f>Kennzahlen!D19</f>
        <v>12</v>
      </c>
      <c r="E141" s="223">
        <f>'KiGa - PS'!C142+H141*'KiGa - PS'!L142</f>
        <v>191433.38533330566</v>
      </c>
      <c r="F141" s="223">
        <f t="shared" si="261"/>
        <v>191433.38533330566</v>
      </c>
      <c r="G141" s="224">
        <f t="shared" si="240"/>
        <v>15952.782111108805</v>
      </c>
      <c r="H141" s="223">
        <f>I141-'KiGa - PS'!H142</f>
        <v>378415.34999999986</v>
      </c>
      <c r="I141" s="223">
        <f t="shared" si="262"/>
        <v>1060912.7</v>
      </c>
      <c r="J141" s="365">
        <v>1135584.55</v>
      </c>
      <c r="K141" s="365">
        <v>41333.85</v>
      </c>
      <c r="L141" s="365">
        <v>0</v>
      </c>
      <c r="M141" s="365">
        <v>33338</v>
      </c>
      <c r="N141" s="365"/>
      <c r="O141" s="365"/>
      <c r="P141" s="365">
        <v>688087.85</v>
      </c>
      <c r="Q141" s="27">
        <f t="shared" si="263"/>
        <v>654749.85</v>
      </c>
      <c r="R141" s="223">
        <f>(Q141-'KiGa - PS'!H142)*'KiGa - PS'!L142+'KiGa - PS'!C142</f>
        <v>118144.48100392622</v>
      </c>
      <c r="S141" s="226">
        <f t="shared" si="244"/>
        <v>0.61715714214751127</v>
      </c>
      <c r="T141" s="223">
        <f t="shared" si="245"/>
        <v>118144.48100392622</v>
      </c>
      <c r="U141" s="224">
        <f t="shared" si="246"/>
        <v>9845.3734169938525</v>
      </c>
      <c r="V141" s="365">
        <v>69543.5</v>
      </c>
      <c r="W141" s="223">
        <f>V141*'KiGa - PS'!L142</f>
        <v>12548.579758661332</v>
      </c>
      <c r="X141" s="226">
        <f t="shared" si="247"/>
        <v>6.5550633902299399E-2</v>
      </c>
      <c r="Y141" s="223">
        <f t="shared" si="248"/>
        <v>12548.579758661332</v>
      </c>
      <c r="Z141" s="224">
        <f t="shared" si="241"/>
        <v>1045.7149798884443</v>
      </c>
      <c r="AA141" s="365">
        <v>59454.95</v>
      </c>
      <c r="AB141" s="365">
        <v>0</v>
      </c>
      <c r="AC141" s="225">
        <f>Artengliederung!AE141</f>
        <v>4135</v>
      </c>
      <c r="AD141" s="223">
        <f>AC141*'KiGa - PS'!L142</f>
        <v>746.12835566321235</v>
      </c>
      <c r="AE141" s="226">
        <f t="shared" si="242"/>
        <v>3.8975874263735368E-3</v>
      </c>
      <c r="AF141" s="223">
        <f t="shared" si="249"/>
        <v>746.12835566321235</v>
      </c>
      <c r="AG141" s="224">
        <f t="shared" si="250"/>
        <v>62.177362971934365</v>
      </c>
      <c r="AH141" s="225">
        <f t="shared" si="251"/>
        <v>59454.95</v>
      </c>
      <c r="AI141" s="223">
        <f>AH141*'KiGa - PS'!L142</f>
        <v>10728.17994668404</v>
      </c>
      <c r="AJ141" s="226">
        <f t="shared" si="252"/>
        <v>5.6041321778879639E-2</v>
      </c>
      <c r="AK141" s="223">
        <f t="shared" si="253"/>
        <v>10728.17994668404</v>
      </c>
      <c r="AL141" s="224">
        <f t="shared" si="254"/>
        <v>894.01499555700332</v>
      </c>
      <c r="AM141" s="365">
        <v>10684.4</v>
      </c>
      <c r="AN141" s="223">
        <f>AM141*'KiGa - PS'!L142</f>
        <v>1927.9162764807802</v>
      </c>
      <c r="AO141" s="226">
        <f t="shared" si="255"/>
        <v>1.0070951172514006E-2</v>
      </c>
      <c r="AP141" s="223">
        <f t="shared" si="256"/>
        <v>1927.9162764807802</v>
      </c>
      <c r="AQ141" s="224">
        <f t="shared" si="243"/>
        <v>160.65968970673168</v>
      </c>
      <c r="AR141" s="223">
        <f>Artengliederung!X141*'KiGa - PS'!L142</f>
        <v>9258.415351327003</v>
      </c>
      <c r="AS141" s="226">
        <f t="shared" si="257"/>
        <v>4.8363640099699054E-2</v>
      </c>
      <c r="AT141" s="223">
        <f t="shared" si="258"/>
        <v>9258.415351327003</v>
      </c>
      <c r="AU141" s="223">
        <f t="shared" si="259"/>
        <v>771.53461261058362</v>
      </c>
      <c r="AV141" s="227">
        <f t="shared" si="260"/>
        <v>0.19891872347272305</v>
      </c>
    </row>
    <row r="142" spans="1:48" x14ac:dyDescent="0.25">
      <c r="A142" s="365" t="s">
        <v>100</v>
      </c>
      <c r="B142" s="365" t="s">
        <v>35</v>
      </c>
      <c r="C142" s="328">
        <v>2</v>
      </c>
      <c r="D142" s="328">
        <f>Kennzahlen!D20</f>
        <v>32</v>
      </c>
      <c r="E142" s="223">
        <f>'KiGa - PS'!C143+H142*'KiGa - PS'!L143</f>
        <v>276853.99664487294</v>
      </c>
      <c r="F142" s="223">
        <f t="shared" si="261"/>
        <v>138426.99832243647</v>
      </c>
      <c r="G142" s="224">
        <f t="shared" si="240"/>
        <v>8651.6873951522794</v>
      </c>
      <c r="H142" s="223">
        <f>I142-'KiGa - PS'!H143</f>
        <v>698829.45</v>
      </c>
      <c r="I142" s="223">
        <f t="shared" si="262"/>
        <v>1554237.45</v>
      </c>
      <c r="J142" s="365">
        <v>1585407.95</v>
      </c>
      <c r="K142" s="365">
        <v>18167.650000000001</v>
      </c>
      <c r="L142" s="365">
        <v>0</v>
      </c>
      <c r="M142" s="365">
        <v>13002.85</v>
      </c>
      <c r="N142" s="365"/>
      <c r="O142" s="365"/>
      <c r="P142" s="365">
        <v>864833.45</v>
      </c>
      <c r="Q142" s="27">
        <f t="shared" si="263"/>
        <v>851830.6</v>
      </c>
      <c r="R142" s="223">
        <f>(Q142-'KiGa - PS'!H143)*'KiGa - PS'!L143+'KiGa - PS'!C143</f>
        <v>151735.3130787063</v>
      </c>
      <c r="S142" s="226">
        <f t="shared" si="244"/>
        <v>0.54806979461214245</v>
      </c>
      <c r="T142" s="223">
        <f t="shared" si="245"/>
        <v>75867.656539353149</v>
      </c>
      <c r="U142" s="224">
        <f t="shared" si="246"/>
        <v>4741.7285337095718</v>
      </c>
      <c r="V142" s="365">
        <v>54742.1</v>
      </c>
      <c r="W142" s="223">
        <f>V142*'KiGa - PS'!L143</f>
        <v>9751.1285484295204</v>
      </c>
      <c r="X142" s="226">
        <f t="shared" si="247"/>
        <v>3.5221194805208175E-2</v>
      </c>
      <c r="Y142" s="223">
        <f t="shared" si="248"/>
        <v>4875.5642742147602</v>
      </c>
      <c r="Z142" s="224">
        <f t="shared" si="241"/>
        <v>304.72276713842251</v>
      </c>
      <c r="AA142" s="365">
        <v>185368.95</v>
      </c>
      <c r="AB142" s="365">
        <v>37678.9</v>
      </c>
      <c r="AC142" s="225">
        <f>Artengliederung!AE142</f>
        <v>199964</v>
      </c>
      <c r="AD142" s="223">
        <f>AC142*'KiGa - PS'!L143</f>
        <v>35619.288793417873</v>
      </c>
      <c r="AE142" s="226">
        <f t="shared" si="242"/>
        <v>0.12865730394026986</v>
      </c>
      <c r="AF142" s="223">
        <f t="shared" si="249"/>
        <v>17809.644396708936</v>
      </c>
      <c r="AG142" s="224">
        <f t="shared" si="250"/>
        <v>1113.1027747943085</v>
      </c>
      <c r="AH142" s="225">
        <f t="shared" si="251"/>
        <v>147690.05000000002</v>
      </c>
      <c r="AI142" s="223">
        <f>AH142*'KiGa - PS'!L143</f>
        <v>26307.808119783193</v>
      </c>
      <c r="AJ142" s="226">
        <f t="shared" si="252"/>
        <v>9.5024122601086489E-2</v>
      </c>
      <c r="AK142" s="223">
        <f t="shared" si="253"/>
        <v>13153.904059891596</v>
      </c>
      <c r="AL142" s="224">
        <f t="shared" si="254"/>
        <v>822.11900374322477</v>
      </c>
      <c r="AM142" s="365">
        <v>2751.05</v>
      </c>
      <c r="AN142" s="223">
        <f>AM142*'KiGa - PS'!L143</f>
        <v>490.04042945296283</v>
      </c>
      <c r="AO142" s="226">
        <f t="shared" si="255"/>
        <v>1.7700319857818381E-3</v>
      </c>
      <c r="AP142" s="223">
        <f t="shared" si="256"/>
        <v>245.02021472648141</v>
      </c>
      <c r="AQ142" s="224">
        <f t="shared" si="243"/>
        <v>15.313763420405088</v>
      </c>
      <c r="AR142" s="223">
        <f>Artengliederung!X142*'KiGa - PS'!L143</f>
        <v>39764.962603371721</v>
      </c>
      <c r="AS142" s="226">
        <f t="shared" si="257"/>
        <v>0.14363152811689103</v>
      </c>
      <c r="AT142" s="223">
        <f t="shared" si="258"/>
        <v>19882.481301685861</v>
      </c>
      <c r="AU142" s="223">
        <f t="shared" si="259"/>
        <v>1242.6550813553663</v>
      </c>
      <c r="AV142" s="227">
        <f t="shared" si="260"/>
        <v>4.7626023938620116E-2</v>
      </c>
    </row>
    <row r="143" spans="1:48" x14ac:dyDescent="0.25">
      <c r="A143" s="365" t="s">
        <v>101</v>
      </c>
      <c r="B143" s="365" t="s">
        <v>35</v>
      </c>
      <c r="C143" s="328">
        <v>2</v>
      </c>
      <c r="D143" s="328">
        <f>Kennzahlen!D21</f>
        <v>38</v>
      </c>
      <c r="E143" s="223">
        <f>'KiGa - PS'!C144+H143*'KiGa - PS'!L144</f>
        <v>292845.21813014161</v>
      </c>
      <c r="F143" s="223">
        <f t="shared" si="261"/>
        <v>146422.60906507081</v>
      </c>
      <c r="G143" s="224">
        <f t="shared" si="240"/>
        <v>7706.4531086879369</v>
      </c>
      <c r="H143" s="223">
        <f>I143-'KiGa - PS'!H144</f>
        <v>482847.69999999995</v>
      </c>
      <c r="I143" s="223">
        <f t="shared" si="262"/>
        <v>1327418.5999999999</v>
      </c>
      <c r="J143" s="365">
        <v>1440965.45</v>
      </c>
      <c r="K143" s="365">
        <v>45581</v>
      </c>
      <c r="L143" s="365">
        <v>0</v>
      </c>
      <c r="M143" s="365">
        <v>67965.850000000006</v>
      </c>
      <c r="N143" s="365"/>
      <c r="O143" s="365"/>
      <c r="P143" s="365">
        <v>846713.7</v>
      </c>
      <c r="Q143" s="27">
        <f t="shared" si="263"/>
        <v>778747.85</v>
      </c>
      <c r="R143" s="223">
        <f>(Q143-'KiGa - PS'!H144)*'KiGa - PS'!L144+'KiGa - PS'!C144</f>
        <v>171801.55830393577</v>
      </c>
      <c r="S143" s="226">
        <f t="shared" si="244"/>
        <v>0.58666335547806847</v>
      </c>
      <c r="T143" s="223">
        <f t="shared" si="245"/>
        <v>85900.779151967887</v>
      </c>
      <c r="U143" s="224">
        <f t="shared" si="246"/>
        <v>4521.0936395772569</v>
      </c>
      <c r="V143" s="365">
        <v>90708.1</v>
      </c>
      <c r="W143" s="223">
        <f>V143*'KiGa - PS'!L144</f>
        <v>20011.34633089419</v>
      </c>
      <c r="X143" s="226">
        <f t="shared" si="247"/>
        <v>6.8334208967691143E-2</v>
      </c>
      <c r="Y143" s="223">
        <f t="shared" si="248"/>
        <v>10005.673165447095</v>
      </c>
      <c r="Z143" s="224">
        <f t="shared" si="241"/>
        <v>526.61437712879444</v>
      </c>
      <c r="AA143" s="365">
        <v>211747</v>
      </c>
      <c r="AB143" s="365">
        <v>18206.900000000001</v>
      </c>
      <c r="AC143" s="225">
        <f>Artengliederung!AE143</f>
        <v>85345</v>
      </c>
      <c r="AD143" s="223">
        <f>AC143*'KiGa - PS'!L144</f>
        <v>18828.179099883742</v>
      </c>
      <c r="AE143" s="226">
        <f t="shared" si="242"/>
        <v>6.4293961226699711E-2</v>
      </c>
      <c r="AF143" s="223">
        <f t="shared" si="249"/>
        <v>9414.0895499418712</v>
      </c>
      <c r="AG143" s="224">
        <f t="shared" si="250"/>
        <v>495.47839736536162</v>
      </c>
      <c r="AH143" s="225">
        <f t="shared" si="251"/>
        <v>193540.1</v>
      </c>
      <c r="AI143" s="223">
        <f>AH143*'KiGa - PS'!L144</f>
        <v>42697.37730165106</v>
      </c>
      <c r="AJ143" s="226">
        <f t="shared" si="252"/>
        <v>0.14580185933811687</v>
      </c>
      <c r="AK143" s="223">
        <f t="shared" si="253"/>
        <v>21348.68865082553</v>
      </c>
      <c r="AL143" s="224">
        <f t="shared" si="254"/>
        <v>1123.6151921487121</v>
      </c>
      <c r="AM143" s="365">
        <v>1998.2</v>
      </c>
      <c r="AN143" s="223">
        <f>AM143*'KiGa - PS'!L144</f>
        <v>440.82802129460066</v>
      </c>
      <c r="AO143" s="226">
        <f t="shared" si="255"/>
        <v>1.5053277089834361E-3</v>
      </c>
      <c r="AP143" s="223">
        <f t="shared" si="256"/>
        <v>220.41401064730033</v>
      </c>
      <c r="AQ143" s="224">
        <f t="shared" si="243"/>
        <v>11.600737402489491</v>
      </c>
      <c r="AR143" s="223">
        <f>Artengliederung!X143*'KiGa - PS'!L144</f>
        <v>24874.871596058427</v>
      </c>
      <c r="AS143" s="226">
        <f t="shared" si="257"/>
        <v>8.4942044657201579E-2</v>
      </c>
      <c r="AT143" s="223">
        <f t="shared" si="258"/>
        <v>12437.435798029213</v>
      </c>
      <c r="AU143" s="223">
        <f t="shared" si="259"/>
        <v>654.60188410680075</v>
      </c>
      <c r="AV143" s="227">
        <f t="shared" si="260"/>
        <v>4.8459242623238794E-2</v>
      </c>
    </row>
    <row r="144" spans="1:48" x14ac:dyDescent="0.25">
      <c r="A144" s="365" t="s">
        <v>102</v>
      </c>
      <c r="B144" s="365" t="s">
        <v>35</v>
      </c>
      <c r="C144" s="328">
        <v>4</v>
      </c>
      <c r="D144" s="328">
        <f>Kennzahlen!D22</f>
        <v>85</v>
      </c>
      <c r="E144" s="223">
        <f>'KiGa - PS'!C145+H144*'KiGa - PS'!L145</f>
        <v>619369.44110230077</v>
      </c>
      <c r="F144" s="223">
        <f t="shared" si="261"/>
        <v>154842.36027557519</v>
      </c>
      <c r="G144" s="224">
        <f t="shared" si="240"/>
        <v>7286.6993070858916</v>
      </c>
      <c r="H144" s="223">
        <f>I144-'KiGa - PS'!H145</f>
        <v>2172342.2999999998</v>
      </c>
      <c r="I144" s="223">
        <f t="shared" si="262"/>
        <v>5536460.2999999998</v>
      </c>
      <c r="J144" s="365">
        <v>5896591</v>
      </c>
      <c r="K144" s="365">
        <v>350274.65</v>
      </c>
      <c r="L144" s="365">
        <v>0</v>
      </c>
      <c r="M144" s="365">
        <v>9856.0499999999993</v>
      </c>
      <c r="N144" s="365"/>
      <c r="O144" s="365"/>
      <c r="P144" s="365">
        <v>3367342.75</v>
      </c>
      <c r="Q144" s="27">
        <f t="shared" si="263"/>
        <v>3357486.7</v>
      </c>
      <c r="R144" s="223">
        <f>(Q144-'KiGa - PS'!H145)*'KiGa - PS'!L145+'KiGa - PS'!C145</f>
        <v>375605.44972884719</v>
      </c>
      <c r="S144" s="226">
        <f t="shared" si="244"/>
        <v>0.60643200132763531</v>
      </c>
      <c r="T144" s="223">
        <f t="shared" si="245"/>
        <v>93901.362432211798</v>
      </c>
      <c r="U144" s="224">
        <f t="shared" si="246"/>
        <v>4418.8876438687903</v>
      </c>
      <c r="V144" s="365">
        <v>299329.55</v>
      </c>
      <c r="W144" s="223">
        <f>V144*'KiGa - PS'!L145</f>
        <v>33486.301001544831</v>
      </c>
      <c r="X144" s="226">
        <f t="shared" si="247"/>
        <v>5.4065148809971597E-2</v>
      </c>
      <c r="Y144" s="223">
        <f t="shared" si="248"/>
        <v>8371.5752503862077</v>
      </c>
      <c r="Z144" s="224">
        <f t="shared" si="241"/>
        <v>393.95648237111567</v>
      </c>
      <c r="AA144" s="365">
        <v>344640.2</v>
      </c>
      <c r="AB144" s="365">
        <v>218780</v>
      </c>
      <c r="AC144" s="225">
        <f>Artengliederung!AE144</f>
        <v>644840</v>
      </c>
      <c r="AD144" s="223">
        <f>AC144*'KiGa - PS'!L145</f>
        <v>72138.906225049184</v>
      </c>
      <c r="AE144" s="226">
        <f t="shared" si="242"/>
        <v>0.11647152965225815</v>
      </c>
      <c r="AF144" s="223">
        <f t="shared" si="249"/>
        <v>18034.726556262296</v>
      </c>
      <c r="AG144" s="224">
        <f t="shared" si="250"/>
        <v>848.69301441234336</v>
      </c>
      <c r="AH144" s="225">
        <f t="shared" si="251"/>
        <v>125860.20000000001</v>
      </c>
      <c r="AI144" s="223">
        <f>AH144*'KiGa - PS'!L145</f>
        <v>14080.108500195298</v>
      </c>
      <c r="AJ144" s="226">
        <f t="shared" si="252"/>
        <v>2.2732972545653405E-2</v>
      </c>
      <c r="AK144" s="223">
        <f t="shared" si="253"/>
        <v>3520.0271250488245</v>
      </c>
      <c r="AL144" s="224">
        <f t="shared" si="254"/>
        <v>165.64833529641527</v>
      </c>
      <c r="AM144" s="365">
        <v>9321.9500000000007</v>
      </c>
      <c r="AN144" s="223">
        <f>AM144*'KiGa - PS'!L145</f>
        <v>1042.8560214698177</v>
      </c>
      <c r="AO144" s="226">
        <f t="shared" si="255"/>
        <v>1.6837382542054897E-3</v>
      </c>
      <c r="AP144" s="223">
        <f t="shared" si="256"/>
        <v>260.71400536745443</v>
      </c>
      <c r="AQ144" s="224">
        <f t="shared" si="243"/>
        <v>12.26889437023315</v>
      </c>
      <c r="AR144" s="223">
        <f>Artengliederung!X144*'KiGa - PS'!L145</f>
        <v>68234.12111324424</v>
      </c>
      <c r="AS144" s="226">
        <f t="shared" si="257"/>
        <v>0.11016707732917366</v>
      </c>
      <c r="AT144" s="223">
        <f t="shared" si="258"/>
        <v>17058.53027831106</v>
      </c>
      <c r="AU144" s="223">
        <f t="shared" si="259"/>
        <v>802.75436603816752</v>
      </c>
      <c r="AV144" s="227">
        <f t="shared" si="260"/>
        <v>8.844753208110237E-2</v>
      </c>
    </row>
    <row r="145" spans="1:48" x14ac:dyDescent="0.25">
      <c r="A145" s="365" t="s">
        <v>103</v>
      </c>
      <c r="B145" s="365" t="s">
        <v>35</v>
      </c>
      <c r="C145" s="328">
        <v>0</v>
      </c>
      <c r="D145" s="328"/>
      <c r="E145" s="223"/>
      <c r="F145" s="223"/>
      <c r="G145" s="224"/>
      <c r="H145" s="223"/>
      <c r="I145" s="223"/>
      <c r="J145" s="365"/>
      <c r="K145" s="365"/>
      <c r="L145" s="365"/>
      <c r="M145" s="365"/>
      <c r="N145" s="365"/>
      <c r="O145" s="365"/>
      <c r="P145" s="365"/>
      <c r="Q145" s="27"/>
      <c r="R145" s="223"/>
      <c r="S145" s="226"/>
      <c r="T145" s="223"/>
      <c r="U145" s="224"/>
      <c r="V145" s="365"/>
      <c r="W145" s="223"/>
      <c r="X145" s="226"/>
      <c r="Y145" s="223"/>
      <c r="Z145" s="224"/>
      <c r="AA145" s="365"/>
      <c r="AB145" s="365"/>
      <c r="AC145" s="225"/>
      <c r="AD145" s="223"/>
      <c r="AE145" s="226"/>
      <c r="AF145" s="223"/>
      <c r="AG145" s="224"/>
      <c r="AH145" s="225"/>
      <c r="AI145" s="223"/>
      <c r="AJ145" s="226"/>
      <c r="AK145" s="223"/>
      <c r="AL145" s="224"/>
      <c r="AM145" s="365"/>
      <c r="AN145" s="223"/>
      <c r="AO145" s="226"/>
      <c r="AP145" s="223"/>
      <c r="AQ145" s="224"/>
      <c r="AR145" s="223"/>
      <c r="AS145" s="226"/>
      <c r="AT145" s="223"/>
      <c r="AU145" s="223"/>
      <c r="AV145" s="227"/>
    </row>
    <row r="146" spans="1:48" x14ac:dyDescent="0.25">
      <c r="A146" s="365" t="s">
        <v>104</v>
      </c>
      <c r="B146" s="365" t="s">
        <v>35</v>
      </c>
      <c r="C146" s="328">
        <v>2</v>
      </c>
      <c r="D146" s="328">
        <f>Kennzahlen!D24</f>
        <v>31</v>
      </c>
      <c r="E146" s="223">
        <f>'KiGa - PS'!C147+H146*'KiGa - PS'!L147</f>
        <v>1829739.6446821226</v>
      </c>
      <c r="F146" s="223">
        <f t="shared" si="261"/>
        <v>914869.82234106131</v>
      </c>
      <c r="G146" s="224">
        <f t="shared" si="240"/>
        <v>59023.859505874927</v>
      </c>
      <c r="H146" s="223">
        <f>I146-'KiGa - PS'!H147</f>
        <v>8435233.1499999985</v>
      </c>
      <c r="I146" s="223">
        <f t="shared" si="262"/>
        <v>9336622.4999999981</v>
      </c>
      <c r="J146" s="365">
        <v>9416474.9499999993</v>
      </c>
      <c r="K146" s="365">
        <v>48430.3</v>
      </c>
      <c r="L146" s="365">
        <v>0</v>
      </c>
      <c r="M146" s="365">
        <v>31422.15</v>
      </c>
      <c r="N146" s="365"/>
      <c r="O146" s="365"/>
      <c r="P146" s="365">
        <v>907077.4</v>
      </c>
      <c r="Q146" s="27">
        <f t="shared" si="263"/>
        <v>875655.25</v>
      </c>
      <c r="R146" s="223">
        <f>(Q146-'KiGa - PS'!H147)*'KiGa - PS'!L147+'KiGa - PS'!C147</f>
        <v>171606.07339528139</v>
      </c>
      <c r="S146" s="226">
        <f t="shared" si="244"/>
        <v>9.3787153759295736E-2</v>
      </c>
      <c r="T146" s="223">
        <f t="shared" si="245"/>
        <v>85803.036697640695</v>
      </c>
      <c r="U146" s="224">
        <f t="shared" si="246"/>
        <v>5535.6797869445609</v>
      </c>
      <c r="V146" s="365">
        <v>122952.85</v>
      </c>
      <c r="W146" s="223">
        <f>V146*'KiGa - PS'!L147</f>
        <v>24095.619596021406</v>
      </c>
      <c r="X146" s="226">
        <f t="shared" si="247"/>
        <v>1.3168878788876816E-2</v>
      </c>
      <c r="Y146" s="223">
        <f t="shared" si="248"/>
        <v>12047.809798010703</v>
      </c>
      <c r="Z146" s="224">
        <f t="shared" si="241"/>
        <v>777.2780514845615</v>
      </c>
      <c r="AA146" s="365">
        <v>286117.45</v>
      </c>
      <c r="AB146" s="365">
        <v>11810</v>
      </c>
      <c r="AC146" s="225">
        <f>Artengliederung!AE146</f>
        <v>315000</v>
      </c>
      <c r="AD146" s="223">
        <f>AC146*'KiGa - PS'!L147</f>
        <v>61731.95800460699</v>
      </c>
      <c r="AE146" s="226">
        <f t="shared" si="242"/>
        <v>3.3738110328440513E-2</v>
      </c>
      <c r="AF146" s="223">
        <f t="shared" si="249"/>
        <v>30865.979002303495</v>
      </c>
      <c r="AG146" s="224">
        <f t="shared" si="250"/>
        <v>1991.3534840195803</v>
      </c>
      <c r="AH146" s="225">
        <f t="shared" si="251"/>
        <v>274307.45</v>
      </c>
      <c r="AI146" s="223">
        <f>AH146*'KiGa - PS'!L147</f>
        <v>53757.257091272484</v>
      </c>
      <c r="AJ146" s="226">
        <f t="shared" si="252"/>
        <v>2.9379730196867234E-2</v>
      </c>
      <c r="AK146" s="223">
        <f t="shared" si="253"/>
        <v>26878.628545636242</v>
      </c>
      <c r="AL146" s="224">
        <f t="shared" si="254"/>
        <v>1734.1050674604028</v>
      </c>
      <c r="AM146" s="365">
        <v>20226.45</v>
      </c>
      <c r="AN146" s="223">
        <f>AM146*'KiGa - PS'!L147</f>
        <v>3963.8678158167718</v>
      </c>
      <c r="AO146" s="226">
        <f t="shared" si="255"/>
        <v>2.1663561957228116E-3</v>
      </c>
      <c r="AP146" s="223">
        <f t="shared" si="256"/>
        <v>1981.9339079083859</v>
      </c>
      <c r="AQ146" s="224">
        <f t="shared" si="243"/>
        <v>127.8667037360249</v>
      </c>
      <c r="AR146" s="223">
        <f>Artengliederung!X146*'KiGa - PS'!L147</f>
        <v>16456.956106148798</v>
      </c>
      <c r="AS146" s="226">
        <f t="shared" si="257"/>
        <v>8.994151793113624E-3</v>
      </c>
      <c r="AT146" s="223">
        <f t="shared" si="258"/>
        <v>8228.4780530743992</v>
      </c>
      <c r="AU146" s="223">
        <f t="shared" si="259"/>
        <v>530.86955181125154</v>
      </c>
      <c r="AV146" s="227">
        <f t="shared" si="260"/>
        <v>0.81876561893768329</v>
      </c>
    </row>
    <row r="147" spans="1:48" x14ac:dyDescent="0.25">
      <c r="A147" s="365" t="s">
        <v>105</v>
      </c>
      <c r="B147" s="365" t="s">
        <v>35</v>
      </c>
      <c r="C147" s="328">
        <v>1</v>
      </c>
      <c r="D147" s="328">
        <f>Kennzahlen!D25</f>
        <v>16</v>
      </c>
      <c r="E147" s="223">
        <f>'KiGa - PS'!C148+H147*'KiGa - PS'!L148</f>
        <v>142969.33920774129</v>
      </c>
      <c r="F147" s="223">
        <f t="shared" si="261"/>
        <v>142969.33920774129</v>
      </c>
      <c r="G147" s="224">
        <f t="shared" ref="G147:G161" si="264">E147/D147</f>
        <v>8935.5837004838304</v>
      </c>
      <c r="H147" s="223">
        <f>I147-'KiGa - PS'!H148</f>
        <v>264743.69999999995</v>
      </c>
      <c r="I147" s="223">
        <f t="shared" si="262"/>
        <v>838271</v>
      </c>
      <c r="J147" s="365">
        <v>860650.75</v>
      </c>
      <c r="K147" s="365">
        <v>11586</v>
      </c>
      <c r="L147" s="365">
        <v>0</v>
      </c>
      <c r="M147" s="365">
        <v>10793.75</v>
      </c>
      <c r="N147" s="365"/>
      <c r="O147" s="365"/>
      <c r="P147" s="365">
        <v>574178.6</v>
      </c>
      <c r="Q147" s="27">
        <f t="shared" si="263"/>
        <v>563384.85</v>
      </c>
      <c r="R147" s="223">
        <f>(Q147-'KiGa - PS'!H148)*'KiGa - PS'!L148+'KiGa - PS'!C148</f>
        <v>96086.778290257498</v>
      </c>
      <c r="S147" s="226">
        <f t="shared" si="244"/>
        <v>0.67207961387188631</v>
      </c>
      <c r="T147" s="223">
        <f t="shared" si="245"/>
        <v>96086.778290257498</v>
      </c>
      <c r="U147" s="224">
        <f t="shared" si="246"/>
        <v>6005.4236431410936</v>
      </c>
      <c r="V147" s="365">
        <v>38223.85</v>
      </c>
      <c r="W147" s="223">
        <f>V147*'KiGa - PS'!L148</f>
        <v>6519.1788532298287</v>
      </c>
      <c r="X147" s="226">
        <f t="shared" si="247"/>
        <v>4.5598440122585654E-2</v>
      </c>
      <c r="Y147" s="223">
        <f t="shared" si="248"/>
        <v>6519.1788532298287</v>
      </c>
      <c r="Z147" s="224">
        <f t="shared" ref="Z147:Z161" si="265">W147/D147</f>
        <v>407.4486783268643</v>
      </c>
      <c r="AA147" s="365">
        <v>66523.8</v>
      </c>
      <c r="AB147" s="365">
        <v>19560.599999999999</v>
      </c>
      <c r="AC147" s="225">
        <f>Artengliederung!AE147</f>
        <v>66423</v>
      </c>
      <c r="AD147" s="223">
        <f>AC147*'KiGa - PS'!L148</f>
        <v>11328.618571077612</v>
      </c>
      <c r="AE147" s="226">
        <f t="shared" ref="AE147:AE161" si="266">AD147/$E147</f>
        <v>7.9238098419246297E-2</v>
      </c>
      <c r="AF147" s="223">
        <f t="shared" si="249"/>
        <v>11328.618571077612</v>
      </c>
      <c r="AG147" s="224">
        <f t="shared" si="250"/>
        <v>708.03866069235073</v>
      </c>
      <c r="AH147" s="225">
        <f t="shared" si="251"/>
        <v>46963.200000000004</v>
      </c>
      <c r="AI147" s="223">
        <f>AH147*'KiGa - PS'!L148</f>
        <v>8009.6981418670057</v>
      </c>
      <c r="AJ147" s="226">
        <f t="shared" si="252"/>
        <v>5.6023887263188167E-2</v>
      </c>
      <c r="AK147" s="223">
        <f t="shared" si="253"/>
        <v>8009.6981418670057</v>
      </c>
      <c r="AL147" s="224">
        <f t="shared" si="254"/>
        <v>500.60613386668786</v>
      </c>
      <c r="AM147" s="365">
        <v>-1812.45</v>
      </c>
      <c r="AN147" s="223">
        <f>AM147*'KiGa - PS'!L148</f>
        <v>-309.11814776733388</v>
      </c>
      <c r="AO147" s="226">
        <f t="shared" si="255"/>
        <v>-2.1621289535245767E-3</v>
      </c>
      <c r="AP147" s="223">
        <f t="shared" si="256"/>
        <v>-309.11814776733388</v>
      </c>
      <c r="AQ147" s="224">
        <f t="shared" ref="AQ147:AQ161" si="267">AN147/D147</f>
        <v>-19.319884235458368</v>
      </c>
      <c r="AR147" s="223">
        <f>Artengliederung!X147*'KiGa - PS'!L148</f>
        <v>7434.0573702943184</v>
      </c>
      <c r="AS147" s="226">
        <f t="shared" si="257"/>
        <v>5.1997564033588191E-2</v>
      </c>
      <c r="AT147" s="223">
        <f t="shared" si="258"/>
        <v>7434.0573702943184</v>
      </c>
      <c r="AU147" s="223">
        <f t="shared" si="259"/>
        <v>464.6285856433949</v>
      </c>
      <c r="AV147" s="227">
        <f t="shared" si="260"/>
        <v>9.7224525243029991E-2</v>
      </c>
    </row>
    <row r="148" spans="1:48" x14ac:dyDescent="0.25">
      <c r="A148" s="365" t="s">
        <v>106</v>
      </c>
      <c r="B148" s="365" t="s">
        <v>35</v>
      </c>
      <c r="C148" s="328">
        <v>0</v>
      </c>
      <c r="D148" s="328"/>
      <c r="E148" s="223"/>
      <c r="F148" s="223"/>
      <c r="G148" s="224"/>
      <c r="H148" s="223"/>
      <c r="I148" s="223"/>
      <c r="J148" s="365"/>
      <c r="K148" s="365"/>
      <c r="L148" s="365"/>
      <c r="M148" s="365"/>
      <c r="N148" s="365"/>
      <c r="O148" s="365"/>
      <c r="P148" s="365"/>
      <c r="Q148" s="27"/>
      <c r="R148" s="223"/>
      <c r="S148" s="226"/>
      <c r="T148" s="223"/>
      <c r="U148" s="224"/>
      <c r="V148" s="365"/>
      <c r="W148" s="223"/>
      <c r="X148" s="226"/>
      <c r="Y148" s="223"/>
      <c r="Z148" s="224"/>
      <c r="AA148" s="365"/>
      <c r="AB148" s="365"/>
      <c r="AC148" s="225"/>
      <c r="AD148" s="223"/>
      <c r="AE148" s="226"/>
      <c r="AF148" s="223"/>
      <c r="AG148" s="224"/>
      <c r="AH148" s="225"/>
      <c r="AI148" s="223"/>
      <c r="AJ148" s="226"/>
      <c r="AK148" s="223"/>
      <c r="AL148" s="224"/>
      <c r="AM148" s="365"/>
      <c r="AN148" s="223"/>
      <c r="AO148" s="226"/>
      <c r="AP148" s="223"/>
      <c r="AQ148" s="224"/>
      <c r="AR148" s="223"/>
      <c r="AS148" s="226"/>
      <c r="AT148" s="223"/>
      <c r="AU148" s="223"/>
      <c r="AV148" s="227"/>
    </row>
    <row r="149" spans="1:48" x14ac:dyDescent="0.25">
      <c r="A149" s="365" t="s">
        <v>107</v>
      </c>
      <c r="B149" s="365" t="s">
        <v>35</v>
      </c>
      <c r="C149" s="328">
        <v>1</v>
      </c>
      <c r="D149" s="328">
        <f>Kennzahlen!D27</f>
        <v>18</v>
      </c>
      <c r="E149" s="223">
        <f>'KiGa - PS'!C150+H149*'KiGa - PS'!L150</f>
        <v>174253.34476248315</v>
      </c>
      <c r="F149" s="223">
        <f t="shared" si="261"/>
        <v>174253.34476248315</v>
      </c>
      <c r="G149" s="224">
        <f t="shared" si="264"/>
        <v>9680.7413756935075</v>
      </c>
      <c r="H149" s="223">
        <f>I149-'KiGa - PS'!H150</f>
        <v>476027.74999999988</v>
      </c>
      <c r="I149" s="223">
        <f t="shared" si="262"/>
        <v>1149792.6499999999</v>
      </c>
      <c r="J149" s="365">
        <v>1211560.45</v>
      </c>
      <c r="K149" s="365">
        <v>23815.5</v>
      </c>
      <c r="L149" s="365">
        <v>0</v>
      </c>
      <c r="M149" s="365">
        <v>37952.300000000003</v>
      </c>
      <c r="N149" s="365"/>
      <c r="O149" s="365"/>
      <c r="P149" s="365">
        <v>725178.85</v>
      </c>
      <c r="Q149" s="27">
        <f t="shared" si="263"/>
        <v>687226.54999999993</v>
      </c>
      <c r="R149" s="223">
        <f>(Q149-'KiGa - PS'!H150)*'KiGa - PS'!L150+'KiGa - PS'!C150</f>
        <v>104150.53961867112</v>
      </c>
      <c r="S149" s="226">
        <f t="shared" si="244"/>
        <v>0.5976960715482047</v>
      </c>
      <c r="T149" s="223">
        <f t="shared" si="245"/>
        <v>104150.53961867112</v>
      </c>
      <c r="U149" s="224">
        <f t="shared" si="246"/>
        <v>5786.1410899261728</v>
      </c>
      <c r="V149" s="365">
        <v>43133.55</v>
      </c>
      <c r="W149" s="223">
        <f>V149*'KiGa - PS'!L150</f>
        <v>6536.9746092739479</v>
      </c>
      <c r="X149" s="226">
        <f t="shared" si="247"/>
        <v>3.751419875574958E-2</v>
      </c>
      <c r="Y149" s="223">
        <f t="shared" si="248"/>
        <v>6536.9746092739479</v>
      </c>
      <c r="Z149" s="224">
        <f t="shared" si="265"/>
        <v>363.16525607077489</v>
      </c>
      <c r="AA149" s="365">
        <v>181839.7</v>
      </c>
      <c r="AB149" s="365">
        <v>30165</v>
      </c>
      <c r="AC149" s="225">
        <f>Artengliederung!AE149</f>
        <v>51156.5</v>
      </c>
      <c r="AD149" s="223">
        <f>AC149*'KiGa - PS'!L150</f>
        <v>7752.8685118503499</v>
      </c>
      <c r="AE149" s="226">
        <f t="shared" si="266"/>
        <v>4.4491935132825913E-2</v>
      </c>
      <c r="AF149" s="223">
        <f t="shared" si="249"/>
        <v>7752.8685118503499</v>
      </c>
      <c r="AG149" s="224">
        <f t="shared" si="250"/>
        <v>430.71491732501943</v>
      </c>
      <c r="AH149" s="225">
        <f t="shared" ref="AH149:AH164" si="268">AA149-AB149</f>
        <v>151674.70000000001</v>
      </c>
      <c r="AI149" s="223">
        <f>AH149*'KiGa - PS'!L150</f>
        <v>22986.600054232567</v>
      </c>
      <c r="AJ149" s="226">
        <f t="shared" si="252"/>
        <v>0.13191482829534529</v>
      </c>
      <c r="AK149" s="223">
        <f t="shared" si="253"/>
        <v>22986.600054232567</v>
      </c>
      <c r="AL149" s="224">
        <f t="shared" si="254"/>
        <v>1277.0333363462537</v>
      </c>
      <c r="AM149" s="365">
        <v>3765.9</v>
      </c>
      <c r="AN149" s="223">
        <f>AM149*'KiGa - PS'!L150</f>
        <v>570.72957549436012</v>
      </c>
      <c r="AO149" s="226">
        <f t="shared" si="255"/>
        <v>3.2752862005162413E-3</v>
      </c>
      <c r="AP149" s="223">
        <f t="shared" si="256"/>
        <v>570.72957549436012</v>
      </c>
      <c r="AQ149" s="224">
        <f t="shared" si="267"/>
        <v>31.707198638575562</v>
      </c>
      <c r="AR149" s="223">
        <f>Artengliederung!X149*'KiGa - PS'!L150</f>
        <v>7295.7498729898216</v>
      </c>
      <c r="AS149" s="226">
        <f t="shared" si="257"/>
        <v>4.1868636053639767E-2</v>
      </c>
      <c r="AT149" s="223">
        <f t="shared" si="258"/>
        <v>7295.7498729898216</v>
      </c>
      <c r="AU149" s="223">
        <f t="shared" si="259"/>
        <v>405.31943738832342</v>
      </c>
      <c r="AV149" s="227">
        <f t="shared" si="260"/>
        <v>0.14323904401371854</v>
      </c>
    </row>
    <row r="150" spans="1:48" x14ac:dyDescent="0.25">
      <c r="A150" s="365" t="s">
        <v>108</v>
      </c>
      <c r="B150" s="365" t="s">
        <v>35</v>
      </c>
      <c r="C150" s="328">
        <v>3</v>
      </c>
      <c r="D150" s="328">
        <f>Kennzahlen!D28</f>
        <v>66</v>
      </c>
      <c r="E150" s="223">
        <f>'KiGa - PS'!C151+H150*'KiGa - PS'!L151</f>
        <v>381433.65212369221</v>
      </c>
      <c r="F150" s="223">
        <f t="shared" si="261"/>
        <v>127144.5507078974</v>
      </c>
      <c r="G150" s="224">
        <f t="shared" si="264"/>
        <v>5779.2977594498816</v>
      </c>
      <c r="H150" s="223">
        <f>I150-'KiGa - PS'!H151</f>
        <v>1306631.8999999999</v>
      </c>
      <c r="I150" s="223">
        <f t="shared" si="262"/>
        <v>3493470.65</v>
      </c>
      <c r="J150" s="365">
        <v>3632036.4</v>
      </c>
      <c r="K150" s="365">
        <v>136205.95000000001</v>
      </c>
      <c r="L150" s="365">
        <v>0</v>
      </c>
      <c r="M150" s="365">
        <v>2359.8000000000002</v>
      </c>
      <c r="N150" s="365"/>
      <c r="O150" s="365"/>
      <c r="P150" s="365">
        <v>2384225.7999999998</v>
      </c>
      <c r="Q150" s="27">
        <f t="shared" si="263"/>
        <v>2381866</v>
      </c>
      <c r="R150" s="223">
        <f>(Q150-'KiGa - PS'!H151)*'KiGa - PS'!L151+'KiGa - PS'!C151</f>
        <v>260063.39777013735</v>
      </c>
      <c r="S150" s="226">
        <f t="shared" ref="S150:S165" si="269">R150/$E150</f>
        <v>0.68180506969480337</v>
      </c>
      <c r="T150" s="223">
        <f t="shared" ref="T150:T165" si="270">R150/C150</f>
        <v>86687.799256712446</v>
      </c>
      <c r="U150" s="224">
        <f t="shared" ref="U150:U165" si="271">R150/D150</f>
        <v>3940.3545116687478</v>
      </c>
      <c r="V150" s="365">
        <v>139481.25</v>
      </c>
      <c r="W150" s="223">
        <f>V150*'KiGa - PS'!L151</f>
        <v>15229.222718753268</v>
      </c>
      <c r="X150" s="226">
        <f t="shared" ref="X150:X165" si="272">W150/$E150</f>
        <v>3.9926269310434886E-2</v>
      </c>
      <c r="Y150" s="223">
        <f t="shared" ref="Y150:Y165" si="273">W150/C150</f>
        <v>5076.4075729177557</v>
      </c>
      <c r="Z150" s="224">
        <f t="shared" si="265"/>
        <v>230.74579876898892</v>
      </c>
      <c r="AA150" s="365">
        <v>381638.05</v>
      </c>
      <c r="AB150" s="365">
        <v>134000.15</v>
      </c>
      <c r="AC150" s="225">
        <f>Artengliederung!AE150</f>
        <v>292587</v>
      </c>
      <c r="AD150" s="223">
        <f>AC150*'KiGa - PS'!L151</f>
        <v>31946.032800909528</v>
      </c>
      <c r="AE150" s="226">
        <f t="shared" si="266"/>
        <v>8.3752528449036773E-2</v>
      </c>
      <c r="AF150" s="223">
        <f t="shared" ref="AF150:AF165" si="274">AD150/C150</f>
        <v>10648.677600303175</v>
      </c>
      <c r="AG150" s="224">
        <f t="shared" ref="AG150:AG165" si="275">AD150/D150</f>
        <v>484.03080001378072</v>
      </c>
      <c r="AH150" s="225">
        <f t="shared" si="268"/>
        <v>247637.9</v>
      </c>
      <c r="AI150" s="223">
        <f>AH150*'KiGa - PS'!L151</f>
        <v>27038.277422265357</v>
      </c>
      <c r="AJ150" s="226">
        <f t="shared" ref="AJ150:AJ165" si="276">AI150/$E150</f>
        <v>7.0885925433494049E-2</v>
      </c>
      <c r="AK150" s="223">
        <f t="shared" ref="AK150:AK165" si="277">AI150/C150</f>
        <v>9012.759140755119</v>
      </c>
      <c r="AL150" s="224">
        <f t="shared" ref="AL150:AL165" si="278">AI150/D150</f>
        <v>409.67087003432357</v>
      </c>
      <c r="AM150" s="365">
        <v>10633.15</v>
      </c>
      <c r="AN150" s="223">
        <f>AM150*'KiGa - PS'!L151</f>
        <v>1160.977619227755</v>
      </c>
      <c r="AO150" s="226">
        <f t="shared" ref="AO150:AO165" si="279">AN150/$E150</f>
        <v>3.04372100564234E-3</v>
      </c>
      <c r="AP150" s="223">
        <f t="shared" ref="AP150:AP165" si="280">AN150/C150</f>
        <v>386.992539742585</v>
      </c>
      <c r="AQ150" s="224">
        <f t="shared" si="267"/>
        <v>17.590569988299318</v>
      </c>
      <c r="AR150" s="223">
        <f>Artengliederung!X150*'KiGa - PS'!L151</f>
        <v>20083.985288352877</v>
      </c>
      <c r="AS150" s="226">
        <f t="shared" ref="AS150:AS165" si="281">AR150/E150</f>
        <v>5.2653941718388268E-2</v>
      </c>
      <c r="AT150" s="223">
        <f t="shared" ref="AT150:AT165" si="282">AR150/C150</f>
        <v>6694.6617627842925</v>
      </c>
      <c r="AU150" s="223">
        <f t="shared" ref="AU150:AU165" si="283">AR150/D150</f>
        <v>304.302807399286</v>
      </c>
      <c r="AV150" s="227">
        <f t="shared" ref="AV150:AV165" si="284">1-S150-X150-AJ150-AE150-AO150-AS150</f>
        <v>6.7932544388200344E-2</v>
      </c>
    </row>
    <row r="151" spans="1:48" x14ac:dyDescent="0.25">
      <c r="A151" s="365" t="s">
        <v>109</v>
      </c>
      <c r="B151" s="365" t="s">
        <v>35</v>
      </c>
      <c r="C151" s="328">
        <v>2</v>
      </c>
      <c r="D151" s="328">
        <f>Kennzahlen!D29</f>
        <v>28</v>
      </c>
      <c r="E151" s="223">
        <f>'KiGa - PS'!C152+H151*'KiGa - PS'!L152</f>
        <v>248484.00610934643</v>
      </c>
      <c r="F151" s="223">
        <f t="shared" ref="F151:F166" si="285">E151/C151</f>
        <v>124242.00305467322</v>
      </c>
      <c r="G151" s="224">
        <f t="shared" si="264"/>
        <v>8874.4287896195146</v>
      </c>
      <c r="H151" s="223">
        <f>I151-'KiGa - PS'!H152</f>
        <v>400725.95000000007</v>
      </c>
      <c r="I151" s="223">
        <f t="shared" si="262"/>
        <v>1254710.1000000001</v>
      </c>
      <c r="J151" s="365">
        <v>1297078.8500000001</v>
      </c>
      <c r="K151" s="365">
        <v>30920</v>
      </c>
      <c r="L151" s="365">
        <v>0</v>
      </c>
      <c r="M151" s="365">
        <v>11448.75</v>
      </c>
      <c r="N151" s="365"/>
      <c r="O151" s="365"/>
      <c r="P151" s="365">
        <v>855267.45</v>
      </c>
      <c r="Q151" s="27">
        <f t="shared" si="263"/>
        <v>843818.7</v>
      </c>
      <c r="R151" s="223">
        <f>(Q151-'KiGa - PS'!H152)*'KiGa - PS'!L152+'KiGa - PS'!C152</f>
        <v>167110.6744147359</v>
      </c>
      <c r="S151" s="226">
        <f t="shared" si="269"/>
        <v>0.67252084764440789</v>
      </c>
      <c r="T151" s="223">
        <f t="shared" si="270"/>
        <v>83555.337207367949</v>
      </c>
      <c r="U151" s="224">
        <f t="shared" si="271"/>
        <v>5968.2383719548534</v>
      </c>
      <c r="V151" s="365">
        <v>64120.75</v>
      </c>
      <c r="W151" s="223">
        <f>V151*'KiGa - PS'!L152</f>
        <v>12698.535569878552</v>
      </c>
      <c r="X151" s="226">
        <f t="shared" si="272"/>
        <v>5.1104035904389389E-2</v>
      </c>
      <c r="Y151" s="223">
        <f t="shared" si="273"/>
        <v>6349.2677849392758</v>
      </c>
      <c r="Z151" s="224">
        <f t="shared" si="265"/>
        <v>453.51912749566253</v>
      </c>
      <c r="AA151" s="365">
        <v>138593.5</v>
      </c>
      <c r="AB151" s="365">
        <v>30415.8</v>
      </c>
      <c r="AC151" s="225">
        <f>Artengliederung!AE151</f>
        <v>133626</v>
      </c>
      <c r="AD151" s="223">
        <f>AC151*'KiGa - PS'!L152</f>
        <v>26463.422746312095</v>
      </c>
      <c r="AE151" s="226">
        <f t="shared" si="266"/>
        <v>0.10649950135891947</v>
      </c>
      <c r="AF151" s="223">
        <f t="shared" si="274"/>
        <v>13231.711373156048</v>
      </c>
      <c r="AG151" s="224">
        <f t="shared" si="275"/>
        <v>945.1222409397177</v>
      </c>
      <c r="AH151" s="225">
        <f t="shared" si="268"/>
        <v>108177.7</v>
      </c>
      <c r="AI151" s="223">
        <f>AH151*'KiGa - PS'!L152</f>
        <v>21423.616712494018</v>
      </c>
      <c r="AJ151" s="226">
        <f t="shared" si="276"/>
        <v>8.6217286367584023E-2</v>
      </c>
      <c r="AK151" s="223">
        <f t="shared" si="277"/>
        <v>10711.808356247009</v>
      </c>
      <c r="AL151" s="224">
        <f t="shared" si="278"/>
        <v>765.1291683033578</v>
      </c>
      <c r="AM151" s="365">
        <v>3591.3</v>
      </c>
      <c r="AN151" s="223">
        <f>AM151*'KiGa - PS'!L152</f>
        <v>711.22453795541753</v>
      </c>
      <c r="AO151" s="226">
        <f t="shared" si="279"/>
        <v>2.8622547949522358E-3</v>
      </c>
      <c r="AP151" s="223">
        <f t="shared" si="280"/>
        <v>355.61226897770877</v>
      </c>
      <c r="AQ151" s="224">
        <f t="shared" si="267"/>
        <v>25.400876355550626</v>
      </c>
      <c r="AR151" s="223">
        <f>Artengliederung!X151*'KiGa - PS'!L152</f>
        <v>10880.984855439061</v>
      </c>
      <c r="AS151" s="226">
        <f t="shared" si="281"/>
        <v>4.3789477744699747E-2</v>
      </c>
      <c r="AT151" s="223">
        <f t="shared" si="282"/>
        <v>5440.4924277195305</v>
      </c>
      <c r="AU151" s="223">
        <f t="shared" si="283"/>
        <v>388.60660197996646</v>
      </c>
      <c r="AV151" s="227">
        <f t="shared" si="284"/>
        <v>3.7006596185047237E-2</v>
      </c>
    </row>
    <row r="152" spans="1:48" x14ac:dyDescent="0.25">
      <c r="A152" s="365" t="s">
        <v>110</v>
      </c>
      <c r="B152" s="365" t="s">
        <v>35</v>
      </c>
      <c r="C152" s="328">
        <v>1</v>
      </c>
      <c r="D152" s="328">
        <f>Kennzahlen!D30</f>
        <v>15</v>
      </c>
      <c r="E152" s="223">
        <f>'KiGa - PS'!C153+H152*'KiGa - PS'!L153</f>
        <v>145620.59463193035</v>
      </c>
      <c r="F152" s="223">
        <f t="shared" si="285"/>
        <v>145620.59463193035</v>
      </c>
      <c r="G152" s="224">
        <f t="shared" si="264"/>
        <v>9708.0396421286896</v>
      </c>
      <c r="H152" s="223">
        <f>I152-'KiGa - PS'!H153</f>
        <v>422977.05000000005</v>
      </c>
      <c r="I152" s="223">
        <f t="shared" ref="I152:I167" si="286">J152-K152-L152-M152</f>
        <v>1053088.1000000001</v>
      </c>
      <c r="J152" s="365">
        <v>1107508.1000000001</v>
      </c>
      <c r="K152" s="365">
        <v>20366.25</v>
      </c>
      <c r="L152" s="365">
        <v>0</v>
      </c>
      <c r="M152" s="365">
        <v>34053.75</v>
      </c>
      <c r="N152" s="365"/>
      <c r="O152" s="365"/>
      <c r="P152" s="365">
        <v>632381.25</v>
      </c>
      <c r="Q152" s="27">
        <f t="shared" ref="Q152:Q167" si="287">P152-M152</f>
        <v>598327.5</v>
      </c>
      <c r="R152" s="223">
        <f>(Q152-'KiGa - PS'!H153)*'KiGa - PS'!L153+'KiGa - PS'!C153</f>
        <v>82736.483618641505</v>
      </c>
      <c r="S152" s="226">
        <f t="shared" si="269"/>
        <v>0.56816471480401309</v>
      </c>
      <c r="T152" s="223">
        <f t="shared" si="270"/>
        <v>82736.483618641505</v>
      </c>
      <c r="U152" s="224">
        <f t="shared" si="271"/>
        <v>5515.7655745761003</v>
      </c>
      <c r="V152" s="365">
        <v>41890.300000000003</v>
      </c>
      <c r="W152" s="223">
        <f>V152*'KiGa - PS'!L153</f>
        <v>5792.5736653086778</v>
      </c>
      <c r="X152" s="226">
        <f t="shared" si="272"/>
        <v>3.9778533249022564E-2</v>
      </c>
      <c r="Y152" s="223">
        <f t="shared" si="273"/>
        <v>5792.5736653086778</v>
      </c>
      <c r="Z152" s="224">
        <f t="shared" si="265"/>
        <v>386.17157768724519</v>
      </c>
      <c r="AA152" s="365">
        <v>178145.55</v>
      </c>
      <c r="AB152" s="365">
        <v>23262.9</v>
      </c>
      <c r="AC152" s="225">
        <f>Artengliederung!AE152</f>
        <v>129819</v>
      </c>
      <c r="AD152" s="223">
        <f>AC152*'KiGa - PS'!L153</f>
        <v>17951.318578685452</v>
      </c>
      <c r="AE152" s="226">
        <f t="shared" si="266"/>
        <v>0.12327458642823899</v>
      </c>
      <c r="AF152" s="223">
        <f t="shared" si="274"/>
        <v>17951.318578685452</v>
      </c>
      <c r="AG152" s="224">
        <f t="shared" si="275"/>
        <v>1196.7545719123634</v>
      </c>
      <c r="AH152" s="225">
        <f t="shared" si="268"/>
        <v>154882.65</v>
      </c>
      <c r="AI152" s="223">
        <f>AH152*'KiGa - PS'!L153</f>
        <v>21417.109918124745</v>
      </c>
      <c r="AJ152" s="226">
        <f t="shared" si="276"/>
        <v>0.14707473192413814</v>
      </c>
      <c r="AK152" s="223">
        <f t="shared" si="277"/>
        <v>21417.109918124745</v>
      </c>
      <c r="AL152" s="224">
        <f t="shared" si="278"/>
        <v>1427.807327874983</v>
      </c>
      <c r="AM152" s="365">
        <v>3307.45</v>
      </c>
      <c r="AN152" s="223">
        <f>AM152*'KiGa - PS'!L153</f>
        <v>457.35284228867266</v>
      </c>
      <c r="AO152" s="226">
        <f t="shared" si="279"/>
        <v>3.1407153874400437E-3</v>
      </c>
      <c r="AP152" s="223">
        <f t="shared" si="280"/>
        <v>457.35284228867266</v>
      </c>
      <c r="AQ152" s="224">
        <f t="shared" si="267"/>
        <v>30.490189485911511</v>
      </c>
      <c r="AR152" s="223">
        <f>Artengliederung!X152*'KiGa - PS'!L153</f>
        <v>12690.423037296359</v>
      </c>
      <c r="AS152" s="226">
        <f t="shared" si="281"/>
        <v>8.7147172207149598E-2</v>
      </c>
      <c r="AT152" s="223">
        <f t="shared" si="282"/>
        <v>12690.423037296359</v>
      </c>
      <c r="AU152" s="223">
        <f t="shared" si="283"/>
        <v>846.02820248642399</v>
      </c>
      <c r="AV152" s="227">
        <f t="shared" si="284"/>
        <v>3.141954599999755E-2</v>
      </c>
    </row>
    <row r="153" spans="1:48" x14ac:dyDescent="0.25">
      <c r="A153" s="365" t="s">
        <v>111</v>
      </c>
      <c r="B153" s="365" t="s">
        <v>35</v>
      </c>
      <c r="C153" s="328">
        <v>1</v>
      </c>
      <c r="D153" s="328">
        <f>Kennzahlen!D31</f>
        <v>25</v>
      </c>
      <c r="E153" s="223">
        <f>'KiGa - PS'!C154+H153*'KiGa - PS'!L154</f>
        <v>178175.06000758742</v>
      </c>
      <c r="F153" s="223">
        <f t="shared" si="285"/>
        <v>178175.06000758742</v>
      </c>
      <c r="G153" s="224">
        <f t="shared" si="264"/>
        <v>7127.0024003034969</v>
      </c>
      <c r="H153" s="223">
        <f>I153-'KiGa - PS'!H154</f>
        <v>441701.04999999981</v>
      </c>
      <c r="I153" s="223">
        <f t="shared" si="286"/>
        <v>1074983.0499999998</v>
      </c>
      <c r="J153" s="365">
        <v>1144897.2</v>
      </c>
      <c r="K153" s="365">
        <v>17367.3</v>
      </c>
      <c r="L153" s="365">
        <v>0</v>
      </c>
      <c r="M153" s="365">
        <v>52546.85</v>
      </c>
      <c r="N153" s="365"/>
      <c r="O153" s="365"/>
      <c r="P153" s="365">
        <v>648706</v>
      </c>
      <c r="Q153" s="27">
        <f t="shared" si="287"/>
        <v>596159.15</v>
      </c>
      <c r="R153" s="223">
        <f>(Q153-'KiGa - PS'!H154)*'KiGa - PS'!L154+'KiGa - PS'!C154</f>
        <v>98811.504353787095</v>
      </c>
      <c r="S153" s="226">
        <f t="shared" si="269"/>
        <v>0.55457539539809497</v>
      </c>
      <c r="T153" s="223">
        <f t="shared" si="270"/>
        <v>98811.504353787095</v>
      </c>
      <c r="U153" s="224">
        <f t="shared" si="271"/>
        <v>3952.4601741514839</v>
      </c>
      <c r="V153" s="365">
        <v>43042.65</v>
      </c>
      <c r="W153" s="223">
        <f>V153*'KiGa - PS'!L154</f>
        <v>7134.1838800486994</v>
      </c>
      <c r="X153" s="226">
        <f t="shared" si="272"/>
        <v>4.0040305751797678E-2</v>
      </c>
      <c r="Y153" s="223">
        <f t="shared" si="273"/>
        <v>7134.1838800486994</v>
      </c>
      <c r="Z153" s="224">
        <f t="shared" si="265"/>
        <v>285.36735520194799</v>
      </c>
      <c r="AA153" s="365">
        <v>107642.35</v>
      </c>
      <c r="AB153" s="365">
        <v>52710</v>
      </c>
      <c r="AC153" s="225">
        <f>Artengliederung!AE153</f>
        <v>150660</v>
      </c>
      <c r="AD153" s="223">
        <f>AC153*'KiGa - PS'!L154</f>
        <v>24971.421215193233</v>
      </c>
      <c r="AE153" s="226">
        <f t="shared" si="266"/>
        <v>0.14015104703278813</v>
      </c>
      <c r="AF153" s="223">
        <f t="shared" si="274"/>
        <v>24971.421215193233</v>
      </c>
      <c r="AG153" s="224">
        <f t="shared" si="275"/>
        <v>998.85684860772938</v>
      </c>
      <c r="AH153" s="225">
        <f t="shared" si="268"/>
        <v>54932.350000000006</v>
      </c>
      <c r="AI153" s="223">
        <f>AH153*'KiGa - PS'!L154</f>
        <v>9104.8642651693881</v>
      </c>
      <c r="AJ153" s="226">
        <f t="shared" si="276"/>
        <v>5.1100666191899506E-2</v>
      </c>
      <c r="AK153" s="223">
        <f t="shared" si="277"/>
        <v>9104.8642651693881</v>
      </c>
      <c r="AL153" s="224">
        <f t="shared" si="278"/>
        <v>364.19457060677553</v>
      </c>
      <c r="AM153" s="365">
        <v>4796.05</v>
      </c>
      <c r="AN153" s="223">
        <f>AM153*'KiGa - PS'!L154</f>
        <v>794.93020522452878</v>
      </c>
      <c r="AO153" s="226">
        <f t="shared" si="279"/>
        <v>4.461512207099453E-3</v>
      </c>
      <c r="AP153" s="223">
        <f t="shared" si="280"/>
        <v>794.93020522452878</v>
      </c>
      <c r="AQ153" s="224">
        <f t="shared" si="267"/>
        <v>31.79720820898115</v>
      </c>
      <c r="AR153" s="223">
        <f>Artengliederung!X153*'KiGa - PS'!L154</f>
        <v>0</v>
      </c>
      <c r="AS153" s="226">
        <f t="shared" si="281"/>
        <v>0</v>
      </c>
      <c r="AT153" s="223">
        <f t="shared" si="282"/>
        <v>0</v>
      </c>
      <c r="AU153" s="223">
        <f t="shared" si="283"/>
        <v>0</v>
      </c>
      <c r="AV153" s="227">
        <f t="shared" si="284"/>
        <v>0.20967107341832025</v>
      </c>
    </row>
    <row r="154" spans="1:48" x14ac:dyDescent="0.25">
      <c r="A154" s="365" t="s">
        <v>112</v>
      </c>
      <c r="B154" s="365" t="s">
        <v>35</v>
      </c>
      <c r="C154" s="328">
        <v>3</v>
      </c>
      <c r="D154" s="328">
        <f>Kennzahlen!D32</f>
        <v>66</v>
      </c>
      <c r="E154" s="223">
        <f>'KiGa - PS'!C155+H154*'KiGa - PS'!L155</f>
        <v>492382.35501784866</v>
      </c>
      <c r="F154" s="223">
        <f t="shared" si="285"/>
        <v>164127.45167261621</v>
      </c>
      <c r="G154" s="224">
        <f t="shared" si="264"/>
        <v>7460.3387123916464</v>
      </c>
      <c r="H154" s="223">
        <f>I154-'KiGa - PS'!H155</f>
        <v>1115546.7999999998</v>
      </c>
      <c r="I154" s="223">
        <f t="shared" si="286"/>
        <v>3074550.65</v>
      </c>
      <c r="J154" s="365">
        <v>3190709.4</v>
      </c>
      <c r="K154" s="365">
        <v>116158.75</v>
      </c>
      <c r="L154" s="365">
        <v>0</v>
      </c>
      <c r="M154" s="365">
        <v>0</v>
      </c>
      <c r="N154" s="365"/>
      <c r="O154" s="365"/>
      <c r="P154" s="365">
        <v>2200923.5499999998</v>
      </c>
      <c r="Q154" s="27">
        <f t="shared" si="287"/>
        <v>2200923.5499999998</v>
      </c>
      <c r="R154" s="223">
        <f>(Q154-'KiGa - PS'!H155)*'KiGa - PS'!L155+'KiGa - PS'!C155</f>
        <v>352472.9445466263</v>
      </c>
      <c r="S154" s="226">
        <f t="shared" si="269"/>
        <v>0.71585210346103745</v>
      </c>
      <c r="T154" s="223">
        <f t="shared" si="270"/>
        <v>117490.98151554209</v>
      </c>
      <c r="U154" s="224">
        <f t="shared" si="271"/>
        <v>5340.4991597973685</v>
      </c>
      <c r="V154" s="365">
        <v>153935.04999999999</v>
      </c>
      <c r="W154" s="223">
        <f>V154*'KiGa - PS'!L155</f>
        <v>24652.351210668876</v>
      </c>
      <c r="X154" s="226">
        <f t="shared" si="272"/>
        <v>5.0067495228936949E-2</v>
      </c>
      <c r="Y154" s="223">
        <f t="shared" si="273"/>
        <v>8217.4504035562913</v>
      </c>
      <c r="Z154" s="224">
        <f t="shared" si="265"/>
        <v>373.52047288892237</v>
      </c>
      <c r="AA154" s="365">
        <v>482406.15</v>
      </c>
      <c r="AB154" s="365">
        <v>259792.35</v>
      </c>
      <c r="AC154" s="225">
        <f>Artengliederung!AE154</f>
        <v>93392</v>
      </c>
      <c r="AD154" s="223">
        <f>AC154*'KiGa - PS'!L155</f>
        <v>14956.518247577715</v>
      </c>
      <c r="AE154" s="226">
        <f t="shared" si="266"/>
        <v>3.0375820935003951E-2</v>
      </c>
      <c r="AF154" s="223">
        <f t="shared" si="274"/>
        <v>4985.5060825259052</v>
      </c>
      <c r="AG154" s="224">
        <f t="shared" si="275"/>
        <v>226.61391284208659</v>
      </c>
      <c r="AH154" s="225">
        <f t="shared" si="268"/>
        <v>222613.80000000002</v>
      </c>
      <c r="AI154" s="223">
        <f>AH154*'KiGa - PS'!L155</f>
        <v>35651.09818681061</v>
      </c>
      <c r="AJ154" s="226">
        <f t="shared" si="276"/>
        <v>7.2405312301490318E-2</v>
      </c>
      <c r="AK154" s="223">
        <f t="shared" si="277"/>
        <v>11883.699395603537</v>
      </c>
      <c r="AL154" s="224">
        <f t="shared" si="278"/>
        <v>540.16815434561533</v>
      </c>
      <c r="AM154" s="365">
        <v>12919.5</v>
      </c>
      <c r="AN154" s="223">
        <f>AM154*'KiGa - PS'!L155</f>
        <v>2069.0287979653535</v>
      </c>
      <c r="AO154" s="226">
        <f t="shared" si="279"/>
        <v>4.2020774645556746E-3</v>
      </c>
      <c r="AP154" s="223">
        <f t="shared" si="280"/>
        <v>689.67626598845118</v>
      </c>
      <c r="AQ154" s="224">
        <f t="shared" si="267"/>
        <v>31.348921181293235</v>
      </c>
      <c r="AR154" s="223">
        <f>Artengliederung!X154*'KiGa - PS'!L155</f>
        <v>12836.066008532855</v>
      </c>
      <c r="AS154" s="226">
        <f t="shared" si="281"/>
        <v>2.6069305444683437E-2</v>
      </c>
      <c r="AT154" s="223">
        <f t="shared" si="282"/>
        <v>4278.6886695109515</v>
      </c>
      <c r="AU154" s="223">
        <f t="shared" si="283"/>
        <v>194.48584861413417</v>
      </c>
      <c r="AV154" s="227">
        <f t="shared" si="284"/>
        <v>0.1010278851642922</v>
      </c>
    </row>
    <row r="155" spans="1:48" x14ac:dyDescent="0.25">
      <c r="A155" s="365" t="s">
        <v>113</v>
      </c>
      <c r="B155" s="365" t="s">
        <v>35</v>
      </c>
      <c r="C155" s="328">
        <v>0.5</v>
      </c>
      <c r="D155" s="328"/>
      <c r="E155" s="223"/>
      <c r="F155" s="223"/>
      <c r="G155" s="224"/>
      <c r="H155" s="223"/>
      <c r="I155" s="223"/>
      <c r="J155" s="365"/>
      <c r="K155" s="365"/>
      <c r="L155" s="365"/>
      <c r="M155" s="365"/>
      <c r="N155" s="365"/>
      <c r="O155" s="365"/>
      <c r="P155" s="365"/>
      <c r="Q155" s="27"/>
      <c r="R155" s="223"/>
      <c r="S155" s="226"/>
      <c r="T155" s="223"/>
      <c r="U155" s="224"/>
      <c r="V155" s="365"/>
      <c r="W155" s="223"/>
      <c r="X155" s="226"/>
      <c r="Y155" s="223"/>
      <c r="Z155" s="224"/>
      <c r="AA155" s="365"/>
      <c r="AB155" s="365"/>
      <c r="AC155" s="225"/>
      <c r="AD155" s="223"/>
      <c r="AE155" s="226"/>
      <c r="AF155" s="223"/>
      <c r="AG155" s="224"/>
      <c r="AH155" s="225"/>
      <c r="AI155" s="223"/>
      <c r="AJ155" s="226"/>
      <c r="AK155" s="223"/>
      <c r="AL155" s="224"/>
      <c r="AM155" s="365"/>
      <c r="AN155" s="223"/>
      <c r="AO155" s="226"/>
      <c r="AP155" s="223"/>
      <c r="AQ155" s="224"/>
      <c r="AR155" s="223"/>
      <c r="AS155" s="226"/>
      <c r="AT155" s="223"/>
      <c r="AU155" s="223"/>
      <c r="AV155" s="227"/>
    </row>
    <row r="156" spans="1:48" x14ac:dyDescent="0.25">
      <c r="A156" s="365" t="s">
        <v>114</v>
      </c>
      <c r="B156" s="365" t="s">
        <v>35</v>
      </c>
      <c r="C156" s="328">
        <v>0.5</v>
      </c>
      <c r="D156" s="328">
        <f>Kennzahlen!D34</f>
        <v>11</v>
      </c>
      <c r="E156" s="223">
        <f>'KiGa - PS'!C157+H156*'KiGa - PS'!L157</f>
        <v>98082.907321899693</v>
      </c>
      <c r="F156" s="223">
        <f t="shared" si="285"/>
        <v>196165.81464379939</v>
      </c>
      <c r="G156" s="224">
        <f t="shared" si="264"/>
        <v>8916.627938354517</v>
      </c>
      <c r="H156" s="223">
        <f>I156-'KiGa - PS'!H157</f>
        <v>273964.40000000002</v>
      </c>
      <c r="I156" s="223">
        <f t="shared" si="286"/>
        <v>625528.9</v>
      </c>
      <c r="J156" s="365">
        <v>657953.65</v>
      </c>
      <c r="K156" s="365">
        <v>8992</v>
      </c>
      <c r="L156" s="365">
        <v>0</v>
      </c>
      <c r="M156" s="365">
        <v>23432.75</v>
      </c>
      <c r="N156" s="365"/>
      <c r="O156" s="365"/>
      <c r="P156" s="365">
        <v>370091.65</v>
      </c>
      <c r="Q156" s="27">
        <f t="shared" si="287"/>
        <v>346658.9</v>
      </c>
      <c r="R156" s="223">
        <f>(Q156-'KiGa - PS'!H157)*'KiGa - PS'!L157+'KiGa - PS'!C157</f>
        <v>54356.102109769337</v>
      </c>
      <c r="S156" s="226">
        <f t="shared" si="269"/>
        <v>0.55418526626027986</v>
      </c>
      <c r="T156" s="223">
        <f t="shared" si="270"/>
        <v>108712.20421953867</v>
      </c>
      <c r="U156" s="224">
        <f t="shared" si="271"/>
        <v>4941.4638281608486</v>
      </c>
      <c r="V156" s="365">
        <v>26976.65</v>
      </c>
      <c r="W156" s="223">
        <f>V156*'KiGa - PS'!L157</f>
        <v>4229.9376764292192</v>
      </c>
      <c r="X156" s="226">
        <f t="shared" si="272"/>
        <v>4.3126144931113497E-2</v>
      </c>
      <c r="Y156" s="223">
        <f t="shared" si="273"/>
        <v>8459.8753528584384</v>
      </c>
      <c r="Z156" s="224">
        <f t="shared" si="265"/>
        <v>384.53978876629265</v>
      </c>
      <c r="AA156" s="365">
        <v>53754</v>
      </c>
      <c r="AB156" s="365">
        <v>35414</v>
      </c>
      <c r="AC156" s="225">
        <f>Artengliederung!AE156</f>
        <v>57300</v>
      </c>
      <c r="AD156" s="223">
        <f>AC156*'KiGa - PS'!L157</f>
        <v>8984.6377833939441</v>
      </c>
      <c r="AE156" s="226">
        <f t="shared" si="266"/>
        <v>9.1602482315365441E-2</v>
      </c>
      <c r="AF156" s="223">
        <f t="shared" si="274"/>
        <v>17969.275566787888</v>
      </c>
      <c r="AG156" s="224">
        <f t="shared" si="275"/>
        <v>816.78525303581307</v>
      </c>
      <c r="AH156" s="225">
        <f t="shared" si="268"/>
        <v>18340</v>
      </c>
      <c r="AI156" s="223">
        <f>AH156*'KiGa - PS'!L157</f>
        <v>2875.7112905313252</v>
      </c>
      <c r="AJ156" s="226">
        <f t="shared" si="276"/>
        <v>2.9319188929560248E-2</v>
      </c>
      <c r="AK156" s="223">
        <f t="shared" si="277"/>
        <v>5751.4225810626504</v>
      </c>
      <c r="AL156" s="224">
        <f t="shared" si="278"/>
        <v>261.42829913921139</v>
      </c>
      <c r="AM156" s="365">
        <v>3522.05</v>
      </c>
      <c r="AN156" s="223">
        <f>AM156*'KiGa - PS'!L157</f>
        <v>552.25730375222759</v>
      </c>
      <c r="AO156" s="226">
        <f t="shared" si="279"/>
        <v>5.6305152327894041E-3</v>
      </c>
      <c r="AP156" s="223">
        <f t="shared" si="280"/>
        <v>1104.5146075044552</v>
      </c>
      <c r="AQ156" s="224">
        <f t="shared" si="267"/>
        <v>50.205209432020688</v>
      </c>
      <c r="AR156" s="223">
        <f>Artengliederung!X156*'KiGa - PS'!L157</f>
        <v>8938.1230748696198</v>
      </c>
      <c r="AS156" s="226">
        <f t="shared" si="281"/>
        <v>9.1128243635106229E-2</v>
      </c>
      <c r="AT156" s="223">
        <f t="shared" si="282"/>
        <v>17876.24614973924</v>
      </c>
      <c r="AU156" s="223">
        <f t="shared" si="283"/>
        <v>812.55664316996547</v>
      </c>
      <c r="AV156" s="227">
        <f t="shared" si="284"/>
        <v>0.1850081586957853</v>
      </c>
    </row>
    <row r="157" spans="1:48" x14ac:dyDescent="0.25">
      <c r="A157" s="365" t="s">
        <v>115</v>
      </c>
      <c r="B157" s="365" t="s">
        <v>35</v>
      </c>
      <c r="C157" s="328">
        <v>0</v>
      </c>
      <c r="D157" s="328"/>
      <c r="E157" s="223"/>
      <c r="F157" s="223"/>
      <c r="G157" s="224"/>
      <c r="H157" s="223"/>
      <c r="I157" s="223"/>
      <c r="J157" s="365"/>
      <c r="K157" s="365"/>
      <c r="L157" s="365"/>
      <c r="M157" s="365"/>
      <c r="N157" s="365"/>
      <c r="O157" s="365"/>
      <c r="P157" s="365"/>
      <c r="Q157" s="27"/>
      <c r="R157" s="223"/>
      <c r="S157" s="226"/>
      <c r="T157" s="223"/>
      <c r="U157" s="224"/>
      <c r="V157" s="365"/>
      <c r="W157" s="223"/>
      <c r="X157" s="226"/>
      <c r="Y157" s="223"/>
      <c r="Z157" s="224"/>
      <c r="AA157" s="365"/>
      <c r="AB157" s="365"/>
      <c r="AC157" s="225"/>
      <c r="AD157" s="223"/>
      <c r="AE157" s="226"/>
      <c r="AF157" s="223"/>
      <c r="AG157" s="224"/>
      <c r="AH157" s="225"/>
      <c r="AI157" s="223"/>
      <c r="AJ157" s="226"/>
      <c r="AK157" s="223"/>
      <c r="AL157" s="224"/>
      <c r="AM157" s="365"/>
      <c r="AN157" s="223"/>
      <c r="AO157" s="226"/>
      <c r="AP157" s="223"/>
      <c r="AQ157" s="224"/>
      <c r="AR157" s="223"/>
      <c r="AS157" s="226"/>
      <c r="AT157" s="223"/>
      <c r="AU157" s="223"/>
      <c r="AV157" s="227"/>
    </row>
    <row r="158" spans="1:48" x14ac:dyDescent="0.25">
      <c r="A158" s="365" t="s">
        <v>116</v>
      </c>
      <c r="B158" s="365" t="s">
        <v>35</v>
      </c>
      <c r="C158" s="328">
        <v>2</v>
      </c>
      <c r="D158" s="328">
        <f>Kennzahlen!D36</f>
        <v>33</v>
      </c>
      <c r="E158" s="223">
        <f>'KiGa - PS'!C159+H158*'KiGa - PS'!L159</f>
        <v>255012.10703367862</v>
      </c>
      <c r="F158" s="223">
        <f t="shared" si="285"/>
        <v>127506.05351683931</v>
      </c>
      <c r="G158" s="224">
        <f t="shared" si="264"/>
        <v>7727.6396070811707</v>
      </c>
      <c r="H158" s="223">
        <f>I158-'KiGa - PS'!H159</f>
        <v>598821.89999999944</v>
      </c>
      <c r="I158" s="223">
        <f t="shared" si="286"/>
        <v>2155559.1999999997</v>
      </c>
      <c r="J158" s="365">
        <v>2276618.7999999998</v>
      </c>
      <c r="K158" s="365">
        <v>63942.25</v>
      </c>
      <c r="L158" s="365">
        <v>0</v>
      </c>
      <c r="M158" s="365">
        <v>57117.35</v>
      </c>
      <c r="N158" s="365"/>
      <c r="O158" s="365"/>
      <c r="P158" s="365">
        <v>1559733.95</v>
      </c>
      <c r="Q158" s="27">
        <f t="shared" si="287"/>
        <v>1502616.5999999999</v>
      </c>
      <c r="R158" s="223">
        <f>(Q158-'KiGa - PS'!H159)*'KiGa - PS'!L159+'KiGa - PS'!C159</f>
        <v>177766.13383189953</v>
      </c>
      <c r="S158" s="226">
        <f t="shared" si="269"/>
        <v>0.69708899667427371</v>
      </c>
      <c r="T158" s="223">
        <f t="shared" si="270"/>
        <v>88883.066915949763</v>
      </c>
      <c r="U158" s="224">
        <f t="shared" si="271"/>
        <v>5386.8525403605918</v>
      </c>
      <c r="V158" s="365">
        <v>83605.600000000006</v>
      </c>
      <c r="W158" s="223">
        <f>V158*'KiGa - PS'!L159</f>
        <v>9890.9091505419692</v>
      </c>
      <c r="X158" s="226">
        <f t="shared" si="272"/>
        <v>3.878603751639019E-2</v>
      </c>
      <c r="Y158" s="223">
        <f t="shared" si="273"/>
        <v>4945.4545752709846</v>
      </c>
      <c r="Z158" s="224">
        <f t="shared" si="265"/>
        <v>299.72451971339302</v>
      </c>
      <c r="AA158" s="365">
        <v>209621.3</v>
      </c>
      <c r="AB158" s="365">
        <v>24395.9</v>
      </c>
      <c r="AC158" s="225">
        <f>Artengliederung!AE158</f>
        <v>163371.1</v>
      </c>
      <c r="AD158" s="223">
        <f>AC158*'KiGa - PS'!L159</f>
        <v>19327.517629490212</v>
      </c>
      <c r="AE158" s="226">
        <f t="shared" si="266"/>
        <v>7.5790588354056818E-2</v>
      </c>
      <c r="AF158" s="223">
        <f t="shared" si="274"/>
        <v>9663.7588147451061</v>
      </c>
      <c r="AG158" s="224">
        <f t="shared" si="275"/>
        <v>585.68235240879426</v>
      </c>
      <c r="AH158" s="225">
        <f t="shared" si="268"/>
        <v>185225.4</v>
      </c>
      <c r="AI158" s="223">
        <f>AH158*'KiGa - PS'!L159</f>
        <v>21912.977166275898</v>
      </c>
      <c r="AJ158" s="226">
        <f t="shared" si="276"/>
        <v>8.5929163996052632E-2</v>
      </c>
      <c r="AK158" s="223">
        <f t="shared" si="277"/>
        <v>10956.488583137949</v>
      </c>
      <c r="AL158" s="224">
        <f t="shared" si="278"/>
        <v>664.02961109926957</v>
      </c>
      <c r="AM158" s="365">
        <v>10608.85</v>
      </c>
      <c r="AN158" s="223">
        <f>AM158*'KiGa - PS'!L159</f>
        <v>1255.0734824189667</v>
      </c>
      <c r="AO158" s="226">
        <f t="shared" si="279"/>
        <v>4.9216231222042068E-3</v>
      </c>
      <c r="AP158" s="223">
        <f t="shared" si="280"/>
        <v>627.53674120948335</v>
      </c>
      <c r="AQ158" s="224">
        <f t="shared" si="267"/>
        <v>38.032529770271715</v>
      </c>
      <c r="AR158" s="223">
        <f>Artengliederung!X158*'KiGa - PS'!L159</f>
        <v>14280.587467370055</v>
      </c>
      <c r="AS158" s="226">
        <f t="shared" si="281"/>
        <v>5.5999645010909475E-2</v>
      </c>
      <c r="AT158" s="223">
        <f t="shared" si="282"/>
        <v>7140.2937336850273</v>
      </c>
      <c r="AU158" s="223">
        <f t="shared" si="283"/>
        <v>432.74507476878955</v>
      </c>
      <c r="AV158" s="227">
        <f t="shared" si="284"/>
        <v>4.1483945326112957E-2</v>
      </c>
    </row>
    <row r="159" spans="1:48" x14ac:dyDescent="0.25">
      <c r="A159" s="365" t="s">
        <v>117</v>
      </c>
      <c r="B159" s="365" t="s">
        <v>35</v>
      </c>
      <c r="C159" s="328">
        <v>1</v>
      </c>
      <c r="D159" s="328">
        <f>Kennzahlen!D37</f>
        <v>21</v>
      </c>
      <c r="E159" s="223">
        <f>'KiGa - PS'!C160+H159*'KiGa - PS'!L160</f>
        <v>109998.73396983455</v>
      </c>
      <c r="F159" s="223">
        <f t="shared" si="285"/>
        <v>109998.73396983455</v>
      </c>
      <c r="G159" s="224">
        <f t="shared" si="264"/>
        <v>5238.0349509445023</v>
      </c>
      <c r="H159" s="223">
        <f>I159-'KiGa - PS'!H160</f>
        <v>198566.85000000009</v>
      </c>
      <c r="I159" s="223">
        <f t="shared" si="286"/>
        <v>863459.55</v>
      </c>
      <c r="J159" s="365">
        <v>955954.05</v>
      </c>
      <c r="K159" s="365">
        <v>11332.7</v>
      </c>
      <c r="L159" s="365">
        <v>0</v>
      </c>
      <c r="M159" s="365">
        <v>81161.8</v>
      </c>
      <c r="N159" s="365"/>
      <c r="O159" s="365"/>
      <c r="P159" s="365">
        <v>665743.85</v>
      </c>
      <c r="Q159" s="27">
        <f t="shared" si="287"/>
        <v>584582.04999999993</v>
      </c>
      <c r="R159" s="223">
        <f>(Q159-'KiGa - PS'!H160)*'KiGa - PS'!L160+'KiGa - PS'!C160</f>
        <v>74471.682433173046</v>
      </c>
      <c r="S159" s="226">
        <f t="shared" si="269"/>
        <v>0.677023086952944</v>
      </c>
      <c r="T159" s="223">
        <f t="shared" si="270"/>
        <v>74471.682433173046</v>
      </c>
      <c r="U159" s="224">
        <f t="shared" si="271"/>
        <v>3546.2705920558592</v>
      </c>
      <c r="V159" s="365">
        <v>57017.45</v>
      </c>
      <c r="W159" s="223">
        <f>V159*'KiGa - PS'!L160</f>
        <v>7263.626089014062</v>
      </c>
      <c r="X159" s="226">
        <f t="shared" si="272"/>
        <v>6.6033724451828688E-2</v>
      </c>
      <c r="Y159" s="223">
        <f t="shared" si="273"/>
        <v>7263.626089014062</v>
      </c>
      <c r="Z159" s="224">
        <f t="shared" si="265"/>
        <v>345.88695661971724</v>
      </c>
      <c r="AA159" s="365">
        <v>155776</v>
      </c>
      <c r="AB159" s="365">
        <v>13682.5</v>
      </c>
      <c r="AC159" s="225">
        <f>Artengliederung!AE159</f>
        <v>19720</v>
      </c>
      <c r="AD159" s="223">
        <f>AC159*'KiGa - PS'!L160</f>
        <v>2512.1906797893857</v>
      </c>
      <c r="AE159" s="226">
        <f t="shared" si="266"/>
        <v>2.283835994401822E-2</v>
      </c>
      <c r="AF159" s="223">
        <f t="shared" si="274"/>
        <v>2512.1906797893857</v>
      </c>
      <c r="AG159" s="224">
        <f t="shared" si="275"/>
        <v>119.62812760901836</v>
      </c>
      <c r="AH159" s="225">
        <f t="shared" si="268"/>
        <v>142093.5</v>
      </c>
      <c r="AI159" s="223">
        <f>AH159*'KiGa - PS'!L160</f>
        <v>18101.722431980379</v>
      </c>
      <c r="AJ159" s="226">
        <f t="shared" si="276"/>
        <v>0.16456300703374002</v>
      </c>
      <c r="AK159" s="223">
        <f t="shared" si="277"/>
        <v>18101.722431980379</v>
      </c>
      <c r="AL159" s="224">
        <f t="shared" si="278"/>
        <v>861.98678247525618</v>
      </c>
      <c r="AM159" s="365">
        <v>3173.85</v>
      </c>
      <c r="AN159" s="223">
        <f>AM159*'KiGa - PS'!L160</f>
        <v>404.3263888970356</v>
      </c>
      <c r="AO159" s="226">
        <f t="shared" si="279"/>
        <v>3.6757367499149207E-3</v>
      </c>
      <c r="AP159" s="223">
        <f t="shared" si="280"/>
        <v>404.3263888970356</v>
      </c>
      <c r="AQ159" s="224">
        <f t="shared" si="267"/>
        <v>19.253637566525505</v>
      </c>
      <c r="AR159" s="223">
        <f>Artengliederung!X159*'KiGa - PS'!L160</f>
        <v>3837.110107653461</v>
      </c>
      <c r="AS159" s="226">
        <f t="shared" si="281"/>
        <v>3.4883220644209678E-2</v>
      </c>
      <c r="AT159" s="223">
        <f t="shared" si="282"/>
        <v>3837.110107653461</v>
      </c>
      <c r="AU159" s="223">
        <f t="shared" si="283"/>
        <v>182.71952893587908</v>
      </c>
      <c r="AV159" s="227">
        <f t="shared" si="284"/>
        <v>3.0982864223344453E-2</v>
      </c>
    </row>
    <row r="160" spans="1:48" x14ac:dyDescent="0.25">
      <c r="A160" s="365" t="s">
        <v>118</v>
      </c>
      <c r="B160" s="365" t="s">
        <v>35</v>
      </c>
      <c r="C160" s="328">
        <v>0</v>
      </c>
      <c r="D160" s="328"/>
      <c r="E160" s="223"/>
      <c r="F160" s="223"/>
      <c r="G160" s="224"/>
      <c r="H160" s="223"/>
      <c r="I160" s="223"/>
      <c r="J160" s="365"/>
      <c r="K160" s="365"/>
      <c r="L160" s="365"/>
      <c r="M160" s="365"/>
      <c r="N160" s="365"/>
      <c r="O160" s="365"/>
      <c r="P160" s="365"/>
      <c r="Q160" s="27"/>
      <c r="R160" s="223"/>
      <c r="S160" s="226"/>
      <c r="T160" s="223"/>
      <c r="U160" s="224"/>
      <c r="V160" s="365"/>
      <c r="W160" s="223"/>
      <c r="X160" s="226"/>
      <c r="Y160" s="223"/>
      <c r="Z160" s="224"/>
      <c r="AA160" s="365"/>
      <c r="AB160" s="365"/>
      <c r="AC160" s="225"/>
      <c r="AD160" s="223"/>
      <c r="AE160" s="226"/>
      <c r="AF160" s="223"/>
      <c r="AG160" s="224"/>
      <c r="AH160" s="225"/>
      <c r="AI160" s="223"/>
      <c r="AJ160" s="226"/>
      <c r="AK160" s="223"/>
      <c r="AL160" s="224"/>
      <c r="AM160" s="365"/>
      <c r="AN160" s="223"/>
      <c r="AO160" s="226"/>
      <c r="AP160" s="223"/>
      <c r="AQ160" s="224"/>
      <c r="AR160" s="223"/>
      <c r="AS160" s="226"/>
      <c r="AT160" s="223"/>
      <c r="AU160" s="223"/>
      <c r="AV160" s="227"/>
    </row>
    <row r="161" spans="1:48" x14ac:dyDescent="0.25">
      <c r="A161" s="365" t="s">
        <v>119</v>
      </c>
      <c r="B161" s="365" t="s">
        <v>35</v>
      </c>
      <c r="C161" s="328">
        <v>2</v>
      </c>
      <c r="D161" s="328">
        <f>Kennzahlen!D39</f>
        <v>32</v>
      </c>
      <c r="E161" s="223">
        <f>'KiGa - PS'!C162+H161*'KiGa - PS'!L162</f>
        <v>233101.08808552352</v>
      </c>
      <c r="F161" s="223">
        <f t="shared" si="285"/>
        <v>116550.54404276176</v>
      </c>
      <c r="G161" s="224">
        <f t="shared" si="264"/>
        <v>7284.4090026726099</v>
      </c>
      <c r="H161" s="223">
        <f>I161-'KiGa - PS'!H162</f>
        <v>464078.90000000014</v>
      </c>
      <c r="I161" s="223">
        <f t="shared" si="286"/>
        <v>1541775.85</v>
      </c>
      <c r="J161" s="365">
        <v>1671334.85</v>
      </c>
      <c r="K161" s="365">
        <v>69114.75</v>
      </c>
      <c r="L161" s="365">
        <v>0</v>
      </c>
      <c r="M161" s="365">
        <v>60444.25</v>
      </c>
      <c r="N161" s="365"/>
      <c r="O161" s="365"/>
      <c r="P161" s="365">
        <v>1082780.45</v>
      </c>
      <c r="Q161" s="27">
        <f t="shared" si="287"/>
        <v>1022336.2</v>
      </c>
      <c r="R161" s="223">
        <f>(Q161-'KiGa - PS'!H162)*'KiGa - PS'!L162+'KiGa - PS'!C162</f>
        <v>154567.00830358666</v>
      </c>
      <c r="S161" s="226">
        <f t="shared" si="269"/>
        <v>0.66309003348314211</v>
      </c>
      <c r="T161" s="223">
        <f t="shared" si="270"/>
        <v>77283.504151793328</v>
      </c>
      <c r="U161" s="224">
        <f t="shared" si="271"/>
        <v>4830.219009487083</v>
      </c>
      <c r="V161" s="365">
        <v>61240.15</v>
      </c>
      <c r="W161" s="223">
        <f>V161*'KiGa - PS'!L162</f>
        <v>9258.8981722088029</v>
      </c>
      <c r="X161" s="226">
        <f t="shared" si="272"/>
        <v>3.9720527468373568E-2</v>
      </c>
      <c r="Y161" s="223">
        <f t="shared" si="273"/>
        <v>4629.4490861044014</v>
      </c>
      <c r="Z161" s="224">
        <f t="shared" si="265"/>
        <v>289.34056788152509</v>
      </c>
      <c r="AA161" s="365">
        <v>264869.3</v>
      </c>
      <c r="AB161" s="365">
        <v>88586.3</v>
      </c>
      <c r="AC161" s="225">
        <f>Artengliederung!AE161</f>
        <v>98800</v>
      </c>
      <c r="AD161" s="223">
        <f>AC161*'KiGa - PS'!L162</f>
        <v>14937.571828518214</v>
      </c>
      <c r="AE161" s="226">
        <f t="shared" si="266"/>
        <v>6.4081948099005442E-2</v>
      </c>
      <c r="AF161" s="223">
        <f t="shared" si="274"/>
        <v>7468.7859142591069</v>
      </c>
      <c r="AG161" s="224">
        <f t="shared" si="275"/>
        <v>466.79911964119418</v>
      </c>
      <c r="AH161" s="225">
        <f t="shared" si="268"/>
        <v>176283</v>
      </c>
      <c r="AI161" s="223">
        <f>AH161*'KiGa - PS'!L162</f>
        <v>26652.226464035186</v>
      </c>
      <c r="AJ161" s="226">
        <f t="shared" si="276"/>
        <v>0.11433763215320826</v>
      </c>
      <c r="AK161" s="223">
        <f t="shared" si="277"/>
        <v>13326.113232017593</v>
      </c>
      <c r="AL161" s="224">
        <f t="shared" si="278"/>
        <v>832.88207700109956</v>
      </c>
      <c r="AM161" s="365">
        <v>9921.5</v>
      </c>
      <c r="AN161" s="223">
        <f>AM161*'KiGa - PS'!L162</f>
        <v>1500.0315677797921</v>
      </c>
      <c r="AO161" s="226">
        <f t="shared" si="279"/>
        <v>6.4351118225129808E-3</v>
      </c>
      <c r="AP161" s="223">
        <f t="shared" si="280"/>
        <v>750.01578388989606</v>
      </c>
      <c r="AQ161" s="224">
        <f t="shared" si="267"/>
        <v>46.875986493118504</v>
      </c>
      <c r="AR161" s="223">
        <f>Artengliederung!X161*'KiGa - PS'!L162</f>
        <v>8202.0574058412258</v>
      </c>
      <c r="AS161" s="226">
        <f t="shared" si="281"/>
        <v>3.518669721023325E-2</v>
      </c>
      <c r="AT161" s="223">
        <f t="shared" si="282"/>
        <v>4101.0287029206129</v>
      </c>
      <c r="AU161" s="223">
        <f t="shared" si="283"/>
        <v>256.31429393253831</v>
      </c>
      <c r="AV161" s="227">
        <f t="shared" si="284"/>
        <v>7.7148049763524407E-2</v>
      </c>
    </row>
    <row r="162" spans="1:48" x14ac:dyDescent="0.25">
      <c r="A162" s="365" t="s">
        <v>120</v>
      </c>
      <c r="B162" s="365" t="s">
        <v>35</v>
      </c>
      <c r="C162" s="328">
        <v>0</v>
      </c>
      <c r="D162" s="328"/>
      <c r="E162" s="223"/>
      <c r="F162" s="223"/>
      <c r="G162" s="224"/>
      <c r="H162" s="223"/>
      <c r="I162" s="223"/>
      <c r="J162" s="365"/>
      <c r="K162" s="365"/>
      <c r="L162" s="365"/>
      <c r="M162" s="365"/>
      <c r="N162" s="365"/>
      <c r="O162" s="365"/>
      <c r="P162" s="365"/>
      <c r="Q162" s="27"/>
      <c r="R162" s="223"/>
      <c r="S162" s="226"/>
      <c r="T162" s="223"/>
      <c r="U162" s="224"/>
      <c r="V162" s="365"/>
      <c r="W162" s="223"/>
      <c r="X162" s="226"/>
      <c r="Y162" s="223"/>
      <c r="Z162" s="224"/>
      <c r="AA162" s="365"/>
      <c r="AB162" s="365"/>
      <c r="AC162" s="225"/>
      <c r="AD162" s="223"/>
      <c r="AE162" s="226"/>
      <c r="AF162" s="223"/>
      <c r="AG162" s="224"/>
      <c r="AH162" s="225"/>
      <c r="AI162" s="223"/>
      <c r="AJ162" s="226"/>
      <c r="AK162" s="223"/>
      <c r="AL162" s="224"/>
      <c r="AM162" s="365"/>
      <c r="AN162" s="223"/>
      <c r="AO162" s="226"/>
      <c r="AP162" s="223"/>
      <c r="AQ162" s="224"/>
      <c r="AR162" s="223"/>
      <c r="AS162" s="226"/>
      <c r="AT162" s="223"/>
      <c r="AU162" s="223"/>
      <c r="AV162" s="227"/>
    </row>
    <row r="163" spans="1:48" x14ac:dyDescent="0.25">
      <c r="A163" s="365" t="s">
        <v>121</v>
      </c>
      <c r="B163" s="365" t="s">
        <v>35</v>
      </c>
      <c r="C163" s="328">
        <v>0</v>
      </c>
      <c r="D163" s="328"/>
      <c r="E163" s="223"/>
      <c r="F163" s="223"/>
      <c r="G163" s="224"/>
      <c r="H163" s="223"/>
      <c r="I163" s="223"/>
      <c r="J163" s="365"/>
      <c r="K163" s="365"/>
      <c r="L163" s="365"/>
      <c r="M163" s="365"/>
      <c r="N163" s="365"/>
      <c r="O163" s="365"/>
      <c r="P163" s="365"/>
      <c r="Q163" s="27"/>
      <c r="R163" s="223"/>
      <c r="S163" s="226"/>
      <c r="T163" s="223"/>
      <c r="U163" s="224"/>
      <c r="V163" s="365"/>
      <c r="W163" s="223"/>
      <c r="X163" s="226"/>
      <c r="Y163" s="223"/>
      <c r="Z163" s="224"/>
      <c r="AA163" s="365"/>
      <c r="AB163" s="365"/>
      <c r="AC163" s="225"/>
      <c r="AD163" s="223"/>
      <c r="AE163" s="226"/>
      <c r="AF163" s="223"/>
      <c r="AG163" s="224"/>
      <c r="AH163" s="225"/>
      <c r="AI163" s="223"/>
      <c r="AJ163" s="226"/>
      <c r="AK163" s="223"/>
      <c r="AL163" s="224"/>
      <c r="AM163" s="365"/>
      <c r="AN163" s="223"/>
      <c r="AO163" s="226"/>
      <c r="AP163" s="223"/>
      <c r="AQ163" s="224"/>
      <c r="AR163" s="223"/>
      <c r="AS163" s="226"/>
      <c r="AT163" s="223"/>
      <c r="AU163" s="223"/>
      <c r="AV163" s="227"/>
    </row>
    <row r="164" spans="1:48" x14ac:dyDescent="0.25">
      <c r="A164" s="365" t="s">
        <v>122</v>
      </c>
      <c r="B164" s="365" t="s">
        <v>35</v>
      </c>
      <c r="C164" s="328">
        <v>3</v>
      </c>
      <c r="D164" s="328">
        <f>Kennzahlen!D42</f>
        <v>55</v>
      </c>
      <c r="E164" s="223">
        <f>'KiGa - PS'!C165+H164*'KiGa - PS'!L165</f>
        <v>479133.2029510428</v>
      </c>
      <c r="F164" s="223">
        <f t="shared" si="285"/>
        <v>159711.0676503476</v>
      </c>
      <c r="G164" s="224">
        <f t="shared" ref="G164:G178" si="288">E164/D164</f>
        <v>8711.5127809280511</v>
      </c>
      <c r="H164" s="223">
        <f>I164-'KiGa - PS'!H165</f>
        <v>1370067.15</v>
      </c>
      <c r="I164" s="223">
        <f t="shared" si="286"/>
        <v>3025153.3</v>
      </c>
      <c r="J164" s="365">
        <v>3115009</v>
      </c>
      <c r="K164" s="365">
        <v>134109.70000000001</v>
      </c>
      <c r="L164" s="365">
        <v>0</v>
      </c>
      <c r="M164" s="365">
        <v>-44254</v>
      </c>
      <c r="N164" s="365"/>
      <c r="O164" s="365"/>
      <c r="P164" s="365">
        <v>1709893.25</v>
      </c>
      <c r="Q164" s="27">
        <f t="shared" si="287"/>
        <v>1754147.25</v>
      </c>
      <c r="R164" s="223">
        <f>(Q164-'KiGa - PS'!H165)*'KiGa - PS'!L165+'KiGa - PS'!C165</f>
        <v>277827.30559150956</v>
      </c>
      <c r="S164" s="226">
        <f t="shared" si="269"/>
        <v>0.57985400277070254</v>
      </c>
      <c r="T164" s="223">
        <f t="shared" si="270"/>
        <v>92609.10186383652</v>
      </c>
      <c r="U164" s="224">
        <f t="shared" si="271"/>
        <v>5051.4055562092644</v>
      </c>
      <c r="V164" s="365">
        <v>121032.85</v>
      </c>
      <c r="W164" s="223">
        <f>V164*'KiGa - PS'!L165</f>
        <v>19169.559798107792</v>
      </c>
      <c r="X164" s="226">
        <f t="shared" si="272"/>
        <v>4.0008831949111472E-2</v>
      </c>
      <c r="Y164" s="223">
        <f t="shared" si="273"/>
        <v>6389.8532660359306</v>
      </c>
      <c r="Z164" s="224">
        <f t="shared" ref="Z164:Z178" si="289">W164/D164</f>
        <v>348.53745087468712</v>
      </c>
      <c r="AA164" s="365">
        <v>516925.5</v>
      </c>
      <c r="AB164" s="365">
        <v>155222.20000000001</v>
      </c>
      <c r="AC164" s="225">
        <f>Artengliederung!AE164</f>
        <v>437897.25</v>
      </c>
      <c r="AD164" s="223">
        <f>AC164*'KiGa - PS'!L165</f>
        <v>69355.530496901934</v>
      </c>
      <c r="AE164" s="226">
        <f t="shared" ref="AE164:AE178" si="290">AD164/$E164</f>
        <v>0.14475208578685914</v>
      </c>
      <c r="AF164" s="223">
        <f t="shared" si="274"/>
        <v>23118.510165633979</v>
      </c>
      <c r="AG164" s="224">
        <f t="shared" si="275"/>
        <v>1261.0096453982169</v>
      </c>
      <c r="AH164" s="225">
        <f t="shared" si="268"/>
        <v>361703.3</v>
      </c>
      <c r="AI164" s="223">
        <f>AH164*'KiGa - PS'!L165</f>
        <v>57287.695353145216</v>
      </c>
      <c r="AJ164" s="226">
        <f t="shared" si="276"/>
        <v>0.11956527955128753</v>
      </c>
      <c r="AK164" s="223">
        <f t="shared" si="277"/>
        <v>19095.898451048404</v>
      </c>
      <c r="AL164" s="224">
        <f t="shared" si="278"/>
        <v>1041.5944609662768</v>
      </c>
      <c r="AM164" s="365">
        <v>9935.7999999999993</v>
      </c>
      <c r="AN164" s="223">
        <f>AM164*'KiGa - PS'!L165</f>
        <v>1573.6629538347597</v>
      </c>
      <c r="AO164" s="226">
        <f t="shared" si="279"/>
        <v>3.2843955379054674E-3</v>
      </c>
      <c r="AP164" s="223">
        <f t="shared" si="280"/>
        <v>524.55431794491994</v>
      </c>
      <c r="AQ164" s="224">
        <f t="shared" ref="AQ164:AQ178" si="291">AN164/D164</f>
        <v>28.612053706086542</v>
      </c>
      <c r="AR164" s="223">
        <f>Artengliederung!X164*'KiGa - PS'!L165</f>
        <v>24809.48749273565</v>
      </c>
      <c r="AS164" s="226">
        <f t="shared" si="281"/>
        <v>5.1779937896039845E-2</v>
      </c>
      <c r="AT164" s="223">
        <f t="shared" si="282"/>
        <v>8269.8291642452168</v>
      </c>
      <c r="AU164" s="223">
        <f t="shared" si="283"/>
        <v>451.08159077701185</v>
      </c>
      <c r="AV164" s="227">
        <f t="shared" si="284"/>
        <v>6.0755466508093998E-2</v>
      </c>
    </row>
    <row r="165" spans="1:48" x14ac:dyDescent="0.25">
      <c r="A165" s="365" t="s">
        <v>123</v>
      </c>
      <c r="B165" s="365" t="s">
        <v>35</v>
      </c>
      <c r="C165" s="328">
        <v>2</v>
      </c>
      <c r="D165" s="328">
        <f>Kennzahlen!D43</f>
        <v>48</v>
      </c>
      <c r="E165" s="223">
        <f>'KiGa - PS'!C166+H165*'KiGa - PS'!L166</f>
        <v>246909.46564961248</v>
      </c>
      <c r="F165" s="223">
        <f t="shared" si="285"/>
        <v>123454.73282480624</v>
      </c>
      <c r="G165" s="224">
        <f t="shared" si="288"/>
        <v>5143.947201033593</v>
      </c>
      <c r="H165" s="223">
        <f>I165-'KiGa - PS'!H166</f>
        <v>415381.80000000005</v>
      </c>
      <c r="I165" s="223">
        <f t="shared" si="286"/>
        <v>1563041.05</v>
      </c>
      <c r="J165" s="365">
        <v>1694703.85</v>
      </c>
      <c r="K165" s="365">
        <v>72974.3</v>
      </c>
      <c r="L165" s="365">
        <v>0</v>
      </c>
      <c r="M165" s="365">
        <v>58688.5</v>
      </c>
      <c r="N165" s="365"/>
      <c r="O165" s="365"/>
      <c r="P165" s="365">
        <v>1148668.6000000001</v>
      </c>
      <c r="Q165" s="27">
        <f t="shared" si="287"/>
        <v>1089980.1000000001</v>
      </c>
      <c r="R165" s="223">
        <f>(Q165-'KiGa - PS'!H166)*'KiGa - PS'!L166+'KiGa - PS'!C166</f>
        <v>172181.27704305091</v>
      </c>
      <c r="S165" s="226">
        <f t="shared" si="269"/>
        <v>0.69734579267767793</v>
      </c>
      <c r="T165" s="223">
        <f t="shared" si="270"/>
        <v>86090.638521525456</v>
      </c>
      <c r="U165" s="224">
        <f t="shared" si="271"/>
        <v>3587.109938396894</v>
      </c>
      <c r="V165" s="365">
        <v>66015.8</v>
      </c>
      <c r="W165" s="223">
        <f>V165*'KiGa - PS'!L166</f>
        <v>10428.341534876316</v>
      </c>
      <c r="X165" s="226">
        <f t="shared" si="272"/>
        <v>4.2235487033433959E-2</v>
      </c>
      <c r="Y165" s="223">
        <f t="shared" si="273"/>
        <v>5214.1707674381578</v>
      </c>
      <c r="Z165" s="224">
        <f t="shared" si="289"/>
        <v>217.25711530992325</v>
      </c>
      <c r="AA165" s="365">
        <v>198778.35</v>
      </c>
      <c r="AB165" s="365">
        <v>49029</v>
      </c>
      <c r="AC165" s="225">
        <f>Artengliederung!AE165</f>
        <v>74119</v>
      </c>
      <c r="AD165" s="223">
        <f>AC165*'KiGa - PS'!L166</f>
        <v>11708.382632998428</v>
      </c>
      <c r="AE165" s="226">
        <f t="shared" si="290"/>
        <v>4.74197398718351E-2</v>
      </c>
      <c r="AF165" s="223">
        <f t="shared" si="274"/>
        <v>5854.1913164992138</v>
      </c>
      <c r="AG165" s="224">
        <f t="shared" si="275"/>
        <v>243.92463818746725</v>
      </c>
      <c r="AH165" s="225">
        <f t="shared" ref="AH165:AH180" si="292">AA165-AB165</f>
        <v>149749.35</v>
      </c>
      <c r="AI165" s="223">
        <f>AH165*'KiGa - PS'!L166</f>
        <v>23655.509233028013</v>
      </c>
      <c r="AJ165" s="226">
        <f t="shared" si="276"/>
        <v>9.580640892316937E-2</v>
      </c>
      <c r="AK165" s="223">
        <f t="shared" si="277"/>
        <v>11827.754616514007</v>
      </c>
      <c r="AL165" s="224">
        <f t="shared" si="278"/>
        <v>492.82310902141694</v>
      </c>
      <c r="AM165" s="365">
        <v>6914.5</v>
      </c>
      <c r="AN165" s="223">
        <f>AM165*'KiGa - PS'!L166</f>
        <v>1092.2652992602118</v>
      </c>
      <c r="AO165" s="226">
        <f t="shared" si="279"/>
        <v>4.4237481798702601E-3</v>
      </c>
      <c r="AP165" s="223">
        <f t="shared" si="280"/>
        <v>546.1326496301059</v>
      </c>
      <c r="AQ165" s="224">
        <f t="shared" si="291"/>
        <v>22.755527067921079</v>
      </c>
      <c r="AR165" s="223">
        <f>Artengliederung!X165*'KiGa - PS'!L166</f>
        <v>13334.561806720942</v>
      </c>
      <c r="AS165" s="226">
        <f t="shared" si="281"/>
        <v>5.400587527755589E-2</v>
      </c>
      <c r="AT165" s="223">
        <f t="shared" si="282"/>
        <v>6667.2809033604708</v>
      </c>
      <c r="AU165" s="223">
        <f t="shared" si="283"/>
        <v>277.80337097335297</v>
      </c>
      <c r="AV165" s="227">
        <f t="shared" si="284"/>
        <v>5.8762948036457499E-2</v>
      </c>
    </row>
    <row r="166" spans="1:48" x14ac:dyDescent="0.25">
      <c r="A166" s="365" t="s">
        <v>124</v>
      </c>
      <c r="B166" s="365" t="s">
        <v>35</v>
      </c>
      <c r="C166" s="328">
        <v>1.5</v>
      </c>
      <c r="D166" s="328">
        <f>Kennzahlen!D44</f>
        <v>28</v>
      </c>
      <c r="E166" s="223">
        <f>'KiGa - PS'!C167+H166*'KiGa - PS'!L167</f>
        <v>177606.41060378141</v>
      </c>
      <c r="F166" s="223">
        <f t="shared" si="285"/>
        <v>118404.27373585427</v>
      </c>
      <c r="G166" s="224">
        <f t="shared" si="288"/>
        <v>6343.0860929921928</v>
      </c>
      <c r="H166" s="223">
        <f>I166-'KiGa - PS'!H167</f>
        <v>359063.39999999979</v>
      </c>
      <c r="I166" s="223">
        <f t="shared" si="286"/>
        <v>1054490.5499999998</v>
      </c>
      <c r="J166" s="365">
        <v>1125867.6499999999</v>
      </c>
      <c r="K166" s="365">
        <v>31902</v>
      </c>
      <c r="L166" s="365">
        <v>-2182.9</v>
      </c>
      <c r="M166" s="365">
        <v>41658</v>
      </c>
      <c r="N166" s="365"/>
      <c r="O166" s="365"/>
      <c r="P166" s="365">
        <v>703725.3</v>
      </c>
      <c r="Q166" s="27">
        <f t="shared" si="287"/>
        <v>662067.30000000005</v>
      </c>
      <c r="R166" s="223">
        <f>(Q166-'KiGa - PS'!H167)*'KiGa - PS'!L167+'KiGa - PS'!C167</f>
        <v>111511.09579041458</v>
      </c>
      <c r="S166" s="226">
        <f t="shared" ref="S166:S181" si="293">R166/$E166</f>
        <v>0.6278551287159474</v>
      </c>
      <c r="T166" s="223">
        <f t="shared" ref="T166:T181" si="294">R166/C166</f>
        <v>74340.730526943051</v>
      </c>
      <c r="U166" s="224">
        <f t="shared" ref="U166:U181" si="295">R166/D166</f>
        <v>3982.5391353719492</v>
      </c>
      <c r="V166" s="365">
        <v>40894.75</v>
      </c>
      <c r="W166" s="223">
        <f>V166*'KiGa - PS'!L167</f>
        <v>6887.8471789424675</v>
      </c>
      <c r="X166" s="226">
        <f t="shared" ref="X166:X181" si="296">W166/$E166</f>
        <v>3.8781523456990687E-2</v>
      </c>
      <c r="Y166" s="223">
        <f t="shared" ref="Y166:Y181" si="297">W166/C166</f>
        <v>4591.8981192949786</v>
      </c>
      <c r="Z166" s="224">
        <f t="shared" si="289"/>
        <v>245.99454210508813</v>
      </c>
      <c r="AA166" s="365">
        <v>175257.45</v>
      </c>
      <c r="AB166" s="365">
        <v>40317</v>
      </c>
      <c r="AC166" s="225">
        <f>Artengliederung!AE166</f>
        <v>69688</v>
      </c>
      <c r="AD166" s="223">
        <f>AC166*'KiGa - PS'!L167</f>
        <v>11737.455155151765</v>
      </c>
      <c r="AE166" s="226">
        <f t="shared" si="290"/>
        <v>6.6086889066952773E-2</v>
      </c>
      <c r="AF166" s="223">
        <f t="shared" ref="AF166:AF181" si="298">AD166/C166</f>
        <v>7824.9701034345098</v>
      </c>
      <c r="AG166" s="224">
        <f t="shared" ref="AG166:AG181" si="299">AD166/D166</f>
        <v>419.1948269697059</v>
      </c>
      <c r="AH166" s="225">
        <f t="shared" si="292"/>
        <v>134940.45000000001</v>
      </c>
      <c r="AI166" s="223">
        <f>AH166*'KiGa - PS'!L167</f>
        <v>22727.836650370209</v>
      </c>
      <c r="AJ166" s="226">
        <f t="shared" ref="AJ166:AJ181" si="300">AI166/$E166</f>
        <v>0.12796743413205555</v>
      </c>
      <c r="AK166" s="223">
        <f t="shared" ref="AK166:AK181" si="301">AI166/C166</f>
        <v>15151.891100246807</v>
      </c>
      <c r="AL166" s="224">
        <f t="shared" ref="AL166:AL181" si="302">AI166/D166</f>
        <v>811.70845179893604</v>
      </c>
      <c r="AM166" s="365">
        <v>4370.3999999999996</v>
      </c>
      <c r="AN166" s="223">
        <f>AM166*'KiGa - PS'!L167</f>
        <v>736.10053395240607</v>
      </c>
      <c r="AO166" s="226">
        <f t="shared" ref="AO166:AO181" si="303">AN166/$E166</f>
        <v>4.1445606127053494E-3</v>
      </c>
      <c r="AP166" s="223">
        <f t="shared" ref="AP166:AP181" si="304">AN166/C166</f>
        <v>490.73368930160404</v>
      </c>
      <c r="AQ166" s="224">
        <f t="shared" si="291"/>
        <v>26.289304784014501</v>
      </c>
      <c r="AR166" s="223">
        <f>Artengliederung!X166*'KiGa - PS'!L167</f>
        <v>6236.988380353715</v>
      </c>
      <c r="AS166" s="226">
        <f t="shared" ref="AS166:AS181" si="305">AR166/E166</f>
        <v>3.5116910246374429E-2</v>
      </c>
      <c r="AT166" s="223">
        <f t="shared" ref="AT166:AT181" si="306">AR166/C166</f>
        <v>4157.992253569143</v>
      </c>
      <c r="AU166" s="223">
        <f t="shared" ref="AU166:AU181" si="307">AR166/D166</f>
        <v>222.74958501263268</v>
      </c>
      <c r="AV166" s="227">
        <f t="shared" ref="AV166:AV181" si="308">1-S166-X166-AJ166-AE166-AO166-AS166</f>
        <v>0.10004755376897378</v>
      </c>
    </row>
    <row r="167" spans="1:48" x14ac:dyDescent="0.25">
      <c r="A167" s="365" t="s">
        <v>125</v>
      </c>
      <c r="B167" s="365" t="s">
        <v>35</v>
      </c>
      <c r="C167" s="328">
        <v>3</v>
      </c>
      <c r="D167" s="328">
        <f>Kennzahlen!D45</f>
        <v>60</v>
      </c>
      <c r="E167" s="223">
        <f>'KiGa - PS'!C168+H167*'KiGa - PS'!L168</f>
        <v>338051.67958430736</v>
      </c>
      <c r="F167" s="223">
        <f t="shared" ref="F167:F182" si="309">E167/C167</f>
        <v>112683.89319476912</v>
      </c>
      <c r="G167" s="224">
        <f t="shared" si="288"/>
        <v>5634.1946597384558</v>
      </c>
      <c r="H167" s="223">
        <f>I167-'KiGa - PS'!H168</f>
        <v>695179.5</v>
      </c>
      <c r="I167" s="223">
        <f t="shared" si="286"/>
        <v>2233239</v>
      </c>
      <c r="J167" s="365">
        <v>2414075</v>
      </c>
      <c r="K167" s="365">
        <v>104540.15</v>
      </c>
      <c r="L167" s="365">
        <v>0</v>
      </c>
      <c r="M167" s="365">
        <v>76295.850000000006</v>
      </c>
      <c r="N167" s="365"/>
      <c r="O167" s="365"/>
      <c r="P167" s="365">
        <v>1553401.5</v>
      </c>
      <c r="Q167" s="27">
        <f t="shared" si="287"/>
        <v>1477105.65</v>
      </c>
      <c r="R167" s="223">
        <f>(Q167-'KiGa - PS'!H168)*'KiGa - PS'!L168+'KiGa - PS'!C168</f>
        <v>223593.64398793413</v>
      </c>
      <c r="S167" s="226">
        <f t="shared" si="293"/>
        <v>0.66141852708106919</v>
      </c>
      <c r="T167" s="223">
        <f t="shared" si="294"/>
        <v>74531.214662644707</v>
      </c>
      <c r="U167" s="224">
        <f t="shared" si="295"/>
        <v>3726.5607331322358</v>
      </c>
      <c r="V167" s="365">
        <v>148312.95000000001</v>
      </c>
      <c r="W167" s="223">
        <f>V167*'KiGa - PS'!L168</f>
        <v>22450.549113464076</v>
      </c>
      <c r="X167" s="226">
        <f t="shared" si="296"/>
        <v>6.6411588728300011E-2</v>
      </c>
      <c r="Y167" s="223">
        <f t="shared" si="297"/>
        <v>7483.516371154692</v>
      </c>
      <c r="Z167" s="224">
        <f t="shared" si="289"/>
        <v>374.1758185577346</v>
      </c>
      <c r="AA167" s="365">
        <v>293714.5</v>
      </c>
      <c r="AB167" s="365">
        <v>67719</v>
      </c>
      <c r="AC167" s="225">
        <f>Artengliederung!AE167</f>
        <v>165300</v>
      </c>
      <c r="AD167" s="223">
        <f>AC167*'KiGa - PS'!L168</f>
        <v>25021.9267330035</v>
      </c>
      <c r="AE167" s="226">
        <f t="shared" si="290"/>
        <v>7.4018051807262897E-2</v>
      </c>
      <c r="AF167" s="223">
        <f t="shared" si="298"/>
        <v>8340.6422443345</v>
      </c>
      <c r="AG167" s="224">
        <f t="shared" si="299"/>
        <v>417.03211221672501</v>
      </c>
      <c r="AH167" s="225">
        <f t="shared" si="292"/>
        <v>225995.5</v>
      </c>
      <c r="AI167" s="223">
        <f>AH167*'KiGa - PS'!L168</f>
        <v>34209.575577667834</v>
      </c>
      <c r="AJ167" s="226">
        <f t="shared" si="300"/>
        <v>0.1011962893358033</v>
      </c>
      <c r="AK167" s="223">
        <f t="shared" si="301"/>
        <v>11403.191859222612</v>
      </c>
      <c r="AL167" s="224">
        <f t="shared" si="302"/>
        <v>570.15959296113056</v>
      </c>
      <c r="AM167" s="365">
        <v>11405.85</v>
      </c>
      <c r="AN167" s="223">
        <f>AM167*'KiGa - PS'!L168</f>
        <v>1726.535650499867</v>
      </c>
      <c r="AO167" s="226">
        <f t="shared" si="303"/>
        <v>5.1073127417172997E-3</v>
      </c>
      <c r="AP167" s="223">
        <f t="shared" si="304"/>
        <v>575.51188349995562</v>
      </c>
      <c r="AQ167" s="224">
        <f t="shared" si="291"/>
        <v>28.775594174997781</v>
      </c>
      <c r="AR167" s="223">
        <f>Artengliederung!X167*'KiGa - PS'!L168</f>
        <v>16194.227311076065</v>
      </c>
      <c r="AS167" s="226">
        <f t="shared" si="305"/>
        <v>4.7904590596886398E-2</v>
      </c>
      <c r="AT167" s="223">
        <f t="shared" si="306"/>
        <v>5398.0757703586887</v>
      </c>
      <c r="AU167" s="223">
        <f t="shared" si="307"/>
        <v>269.9037885179344</v>
      </c>
      <c r="AV167" s="227">
        <f t="shared" si="308"/>
        <v>4.3943639708960924E-2</v>
      </c>
    </row>
    <row r="168" spans="1:48" x14ac:dyDescent="0.25">
      <c r="A168" s="365" t="s">
        <v>126</v>
      </c>
      <c r="B168" s="365" t="s">
        <v>35</v>
      </c>
      <c r="C168" s="328">
        <v>0.5</v>
      </c>
      <c r="D168" s="328">
        <f>Kennzahlen!D46</f>
        <v>15</v>
      </c>
      <c r="E168" s="223">
        <f>'KiGa - PS'!C169+H168*'KiGa - PS'!L169</f>
        <v>145131.45179896854</v>
      </c>
      <c r="F168" s="223">
        <f t="shared" si="309"/>
        <v>290262.90359793708</v>
      </c>
      <c r="G168" s="224">
        <f t="shared" si="288"/>
        <v>9675.4301199312358</v>
      </c>
      <c r="H168" s="223">
        <f>I168-'KiGa - PS'!H169</f>
        <v>178919.49</v>
      </c>
      <c r="I168" s="223">
        <f t="shared" ref="I168:I183" si="310">J168-K168-L168-M168</f>
        <v>711191.44</v>
      </c>
      <c r="J168" s="365">
        <v>757084.59</v>
      </c>
      <c r="K168" s="365">
        <v>2639.9</v>
      </c>
      <c r="L168" s="365">
        <v>0</v>
      </c>
      <c r="M168" s="365">
        <v>43253.25</v>
      </c>
      <c r="N168" s="365"/>
      <c r="O168" s="365"/>
      <c r="P168" s="365">
        <v>537959.18999999994</v>
      </c>
      <c r="Q168" s="27">
        <f t="shared" ref="Q168:Q183" si="311">P168-M168</f>
        <v>494705.93999999994</v>
      </c>
      <c r="R168" s="223">
        <f>(Q168-'KiGa - PS'!H169)*'KiGa - PS'!L169+'KiGa - PS'!C169</f>
        <v>100953.67751582249</v>
      </c>
      <c r="S168" s="226">
        <f t="shared" si="293"/>
        <v>0.69560165122347362</v>
      </c>
      <c r="T168" s="223">
        <f t="shared" si="294"/>
        <v>201907.35503164498</v>
      </c>
      <c r="U168" s="224">
        <f t="shared" si="295"/>
        <v>6730.2451677214995</v>
      </c>
      <c r="V168" s="365">
        <v>28360.05</v>
      </c>
      <c r="W168" s="223">
        <f>V168*'KiGa - PS'!L169</f>
        <v>5787.380159681531</v>
      </c>
      <c r="X168" s="226">
        <f t="shared" si="296"/>
        <v>3.9876815727703359E-2</v>
      </c>
      <c r="Y168" s="223">
        <f t="shared" si="297"/>
        <v>11574.760319363062</v>
      </c>
      <c r="Z168" s="224">
        <f t="shared" si="289"/>
        <v>385.82534397876873</v>
      </c>
      <c r="AA168" s="365">
        <v>55759.55</v>
      </c>
      <c r="AB168" s="365">
        <v>11400</v>
      </c>
      <c r="AC168" s="225">
        <f>Artengliederung!AE168</f>
        <v>46500</v>
      </c>
      <c r="AD168" s="223">
        <f>AC168*'KiGa - PS'!L169</f>
        <v>9489.1644205560715</v>
      </c>
      <c r="AE168" s="226">
        <f t="shared" si="290"/>
        <v>6.5383239145847996E-2</v>
      </c>
      <c r="AF168" s="223">
        <f t="shared" si="298"/>
        <v>18978.328841112143</v>
      </c>
      <c r="AG168" s="224">
        <f t="shared" si="299"/>
        <v>632.61096137040477</v>
      </c>
      <c r="AH168" s="225">
        <f t="shared" si="292"/>
        <v>44359.55</v>
      </c>
      <c r="AI168" s="223">
        <f>AH168*'KiGa - PS'!L169</f>
        <v>9052.3669585350126</v>
      </c>
      <c r="AJ168" s="226">
        <f t="shared" si="300"/>
        <v>6.2373571312950571E-2</v>
      </c>
      <c r="AK168" s="223">
        <f t="shared" si="301"/>
        <v>18104.733917070025</v>
      </c>
      <c r="AL168" s="224">
        <f t="shared" si="302"/>
        <v>603.4911305690008</v>
      </c>
      <c r="AM168" s="365">
        <v>3620.7</v>
      </c>
      <c r="AN168" s="223">
        <f>AM168*'KiGa - PS'!L169</f>
        <v>738.86919607542723</v>
      </c>
      <c r="AO168" s="226">
        <f t="shared" si="303"/>
        <v>5.0910342790402539E-3</v>
      </c>
      <c r="AP168" s="223">
        <f t="shared" si="304"/>
        <v>1477.7383921508545</v>
      </c>
      <c r="AQ168" s="224">
        <f t="shared" si="291"/>
        <v>49.257946405028484</v>
      </c>
      <c r="AR168" s="223">
        <f>Artengliederung!X168*'KiGa - PS'!L169</f>
        <v>7867.9355776027651</v>
      </c>
      <c r="AS168" s="226">
        <f t="shared" si="305"/>
        <v>5.4212477585500754E-2</v>
      </c>
      <c r="AT168" s="223">
        <f t="shared" si="306"/>
        <v>15735.87115520553</v>
      </c>
      <c r="AU168" s="223">
        <f t="shared" si="307"/>
        <v>524.52903850685095</v>
      </c>
      <c r="AV168" s="227">
        <f t="shared" si="308"/>
        <v>7.7461210725483468E-2</v>
      </c>
    </row>
    <row r="169" spans="1:48" ht="12.6" customHeight="1" x14ac:dyDescent="0.25">
      <c r="A169" s="365" t="s">
        <v>127</v>
      </c>
      <c r="B169" s="365" t="s">
        <v>35</v>
      </c>
      <c r="C169" s="328">
        <v>1</v>
      </c>
      <c r="D169" s="328">
        <f>Kennzahlen!D47</f>
        <v>20</v>
      </c>
      <c r="E169" s="223">
        <f>'KiGa - PS'!C170+H169*'KiGa - PS'!L170</f>
        <v>157202.65009648458</v>
      </c>
      <c r="F169" s="223">
        <f t="shared" si="309"/>
        <v>157202.65009648458</v>
      </c>
      <c r="G169" s="224">
        <f t="shared" si="288"/>
        <v>7860.1325048242288</v>
      </c>
      <c r="H169" s="223">
        <f>I169-'KiGa - PS'!H170</f>
        <v>203745.09999999998</v>
      </c>
      <c r="I169" s="223">
        <f t="shared" si="310"/>
        <v>641405.75</v>
      </c>
      <c r="J169" s="365">
        <v>704329.5</v>
      </c>
      <c r="K169" s="365">
        <v>38191.5</v>
      </c>
      <c r="L169" s="365">
        <v>0</v>
      </c>
      <c r="M169" s="365">
        <v>24732.25</v>
      </c>
      <c r="N169" s="365"/>
      <c r="O169" s="365"/>
      <c r="P169" s="365">
        <v>437660.65</v>
      </c>
      <c r="Q169" s="27">
        <f t="shared" si="311"/>
        <v>412928.4</v>
      </c>
      <c r="R169" s="223">
        <f>(Q169-'KiGa - PS'!H170)*'KiGa - PS'!L170+'KiGa - PS'!C170</f>
        <v>101204.95299597988</v>
      </c>
      <c r="S169" s="226">
        <f t="shared" si="293"/>
        <v>0.64378655788477113</v>
      </c>
      <c r="T169" s="223">
        <f t="shared" si="294"/>
        <v>101204.95299597988</v>
      </c>
      <c r="U169" s="224">
        <f t="shared" si="295"/>
        <v>5060.2476497989937</v>
      </c>
      <c r="V169" s="365">
        <v>17280.099999999999</v>
      </c>
      <c r="W169" s="223">
        <f>V169*'KiGa - PS'!L170</f>
        <v>4235.1935789977915</v>
      </c>
      <c r="X169" s="226">
        <f t="shared" si="296"/>
        <v>2.6940980806611101E-2</v>
      </c>
      <c r="Y169" s="223">
        <f t="shared" si="297"/>
        <v>4235.1935789977915</v>
      </c>
      <c r="Z169" s="224">
        <f t="shared" si="289"/>
        <v>211.75967894988958</v>
      </c>
      <c r="AA169" s="365">
        <v>131496.4</v>
      </c>
      <c r="AB169" s="365">
        <v>18960</v>
      </c>
      <c r="AC169" s="225">
        <f>Artengliederung!AE169</f>
        <v>16739</v>
      </c>
      <c r="AD169" s="223">
        <f>AC169*'KiGa - PS'!L170</f>
        <v>4102.5749456799458</v>
      </c>
      <c r="AE169" s="226">
        <f t="shared" si="290"/>
        <v>2.6097365045448996E-2</v>
      </c>
      <c r="AF169" s="223">
        <f t="shared" si="298"/>
        <v>4102.5749456799458</v>
      </c>
      <c r="AG169" s="224">
        <f t="shared" si="299"/>
        <v>205.12874728399728</v>
      </c>
      <c r="AH169" s="225">
        <f t="shared" si="292"/>
        <v>112536.4</v>
      </c>
      <c r="AI169" s="223">
        <f>AH169*'KiGa - PS'!L170</f>
        <v>27581.63660415895</v>
      </c>
      <c r="AJ169" s="226">
        <f t="shared" si="300"/>
        <v>0.17545274578533165</v>
      </c>
      <c r="AK169" s="223">
        <f t="shared" si="301"/>
        <v>27581.63660415895</v>
      </c>
      <c r="AL169" s="224">
        <f t="shared" si="302"/>
        <v>1379.0818302079474</v>
      </c>
      <c r="AM169" s="365">
        <v>1464.9</v>
      </c>
      <c r="AN169" s="223">
        <f>AM169*'KiGa - PS'!L170</f>
        <v>359.03351681262643</v>
      </c>
      <c r="AO169" s="226">
        <f t="shared" si="303"/>
        <v>2.2838897219115981E-3</v>
      </c>
      <c r="AP169" s="223">
        <f t="shared" si="304"/>
        <v>359.03351681262643</v>
      </c>
      <c r="AQ169" s="224">
        <f t="shared" si="291"/>
        <v>17.951675840631321</v>
      </c>
      <c r="AR169" s="223">
        <f>Artengliederung!X169*'KiGa - PS'!L170</f>
        <v>3530.9374121022756</v>
      </c>
      <c r="AS169" s="226">
        <f t="shared" si="305"/>
        <v>2.2461055268057695E-2</v>
      </c>
      <c r="AT169" s="223">
        <f t="shared" si="306"/>
        <v>3530.9374121022756</v>
      </c>
      <c r="AU169" s="223">
        <f t="shared" si="307"/>
        <v>176.54687060511378</v>
      </c>
      <c r="AV169" s="227">
        <f t="shared" si="308"/>
        <v>0.10297740548786782</v>
      </c>
    </row>
    <row r="170" spans="1:48" x14ac:dyDescent="0.25">
      <c r="A170" s="365" t="s">
        <v>128</v>
      </c>
      <c r="B170" s="365" t="s">
        <v>35</v>
      </c>
      <c r="C170" s="328">
        <v>22</v>
      </c>
      <c r="D170" s="328">
        <f>Kennzahlen!D48</f>
        <v>476</v>
      </c>
      <c r="E170" s="223">
        <f>'KiGa - PS'!C171+H170*'KiGa - PS'!L171</f>
        <v>3362493.3032789156</v>
      </c>
      <c r="F170" s="223">
        <f t="shared" si="309"/>
        <v>152840.60469449617</v>
      </c>
      <c r="G170" s="224">
        <f t="shared" si="288"/>
        <v>7064.061561510327</v>
      </c>
      <c r="H170" s="223">
        <f>I170-'KiGa - PS'!H171</f>
        <v>7223300.8000000007</v>
      </c>
      <c r="I170" s="223">
        <f t="shared" si="310"/>
        <v>20322663.050000001</v>
      </c>
      <c r="J170" s="365">
        <v>22642236.350000001</v>
      </c>
      <c r="K170" s="365">
        <v>2103315.7999999998</v>
      </c>
      <c r="L170" s="365">
        <v>209818.65</v>
      </c>
      <c r="M170" s="365">
        <v>6438.85</v>
      </c>
      <c r="N170" s="365"/>
      <c r="O170" s="365"/>
      <c r="P170" s="365">
        <v>13323451.35</v>
      </c>
      <c r="Q170" s="27">
        <f t="shared" si="311"/>
        <v>13317012.5</v>
      </c>
      <c r="R170" s="223">
        <f>(Q170-'KiGa - PS'!H171)*'KiGa - PS'!L171+'KiGa - PS'!C171</f>
        <v>2203370.9480279754</v>
      </c>
      <c r="S170" s="226">
        <f t="shared" si="293"/>
        <v>0.65527891040834818</v>
      </c>
      <c r="T170" s="223">
        <f t="shared" si="294"/>
        <v>100153.22491036252</v>
      </c>
      <c r="U170" s="224">
        <f t="shared" si="295"/>
        <v>4628.9305630839817</v>
      </c>
      <c r="V170" s="365">
        <v>1160458.2</v>
      </c>
      <c r="W170" s="223">
        <f>V170*'KiGa - PS'!L171</f>
        <v>192004.01623718816</v>
      </c>
      <c r="X170" s="226">
        <f t="shared" si="296"/>
        <v>5.710167989032322E-2</v>
      </c>
      <c r="Y170" s="223">
        <f t="shared" si="297"/>
        <v>8727.4552835085524</v>
      </c>
      <c r="Z170" s="224">
        <f t="shared" si="289"/>
        <v>403.36978201089948</v>
      </c>
      <c r="AA170" s="365">
        <v>1985955.85</v>
      </c>
      <c r="AB170" s="365">
        <v>402196.5</v>
      </c>
      <c r="AC170" s="225">
        <f>Artengliederung!AE170</f>
        <v>1346100</v>
      </c>
      <c r="AD170" s="223">
        <f>AC170*'KiGa - PS'!L171</f>
        <v>222719.44500618722</v>
      </c>
      <c r="AE170" s="226">
        <f t="shared" si="290"/>
        <v>6.6236398088586126E-2</v>
      </c>
      <c r="AF170" s="223">
        <f t="shared" si="298"/>
        <v>10123.611136644873</v>
      </c>
      <c r="AG170" s="224">
        <f t="shared" si="299"/>
        <v>467.89799371047735</v>
      </c>
      <c r="AH170" s="225">
        <f t="shared" si="292"/>
        <v>1583759.35</v>
      </c>
      <c r="AI170" s="223">
        <f>AH170*'KiGa - PS'!L171</f>
        <v>262041.45565363631</v>
      </c>
      <c r="AJ170" s="226">
        <f t="shared" si="300"/>
        <v>7.7930699638303555E-2</v>
      </c>
      <c r="AK170" s="223">
        <f t="shared" si="301"/>
        <v>11910.975256983469</v>
      </c>
      <c r="AL170" s="224">
        <f t="shared" si="302"/>
        <v>550.5072597765469</v>
      </c>
      <c r="AM170" s="365">
        <v>-67901.600000000006</v>
      </c>
      <c r="AN170" s="223">
        <f>AM170*'KiGa - PS'!L171</f>
        <v>-11234.682911397462</v>
      </c>
      <c r="AO170" s="226">
        <f t="shared" si="303"/>
        <v>-3.3411762933303175E-3</v>
      </c>
      <c r="AP170" s="223">
        <f t="shared" si="304"/>
        <v>-510.66740506352102</v>
      </c>
      <c r="AQ170" s="224">
        <f t="shared" si="291"/>
        <v>-23.602275023944248</v>
      </c>
      <c r="AR170" s="223">
        <f>Artengliederung!X170*'KiGa - PS'!L171</f>
        <v>225075.28926270074</v>
      </c>
      <c r="AS170" s="226">
        <f t="shared" si="305"/>
        <v>6.6937022311158181E-2</v>
      </c>
      <c r="AT170" s="223">
        <f t="shared" si="306"/>
        <v>10230.694966486397</v>
      </c>
      <c r="AU170" s="223">
        <f t="shared" si="307"/>
        <v>472.84724635021166</v>
      </c>
      <c r="AV170" s="227">
        <f t="shared" si="308"/>
        <v>7.9856465956611042E-2</v>
      </c>
    </row>
    <row r="171" spans="1:48" x14ac:dyDescent="0.25">
      <c r="A171" s="365" t="s">
        <v>129</v>
      </c>
      <c r="B171" s="365" t="s">
        <v>35</v>
      </c>
      <c r="C171" s="328">
        <v>0</v>
      </c>
      <c r="D171" s="328"/>
      <c r="E171" s="223"/>
      <c r="F171" s="223"/>
      <c r="G171" s="224"/>
      <c r="H171" s="223"/>
      <c r="I171" s="223"/>
      <c r="J171" s="365"/>
      <c r="K171" s="365"/>
      <c r="L171" s="365"/>
      <c r="M171" s="365"/>
      <c r="N171" s="365"/>
      <c r="O171" s="365"/>
      <c r="P171" s="365"/>
      <c r="Q171" s="27"/>
      <c r="R171" s="223"/>
      <c r="S171" s="226"/>
      <c r="T171" s="223"/>
      <c r="U171" s="224"/>
      <c r="V171" s="365"/>
      <c r="W171" s="223"/>
      <c r="X171" s="226"/>
      <c r="Y171" s="223"/>
      <c r="Z171" s="224"/>
      <c r="AA171" s="365"/>
      <c r="AB171" s="365"/>
      <c r="AC171" s="225"/>
      <c r="AD171" s="223"/>
      <c r="AE171" s="226"/>
      <c r="AF171" s="223"/>
      <c r="AG171" s="224"/>
      <c r="AH171" s="225"/>
      <c r="AI171" s="223"/>
      <c r="AJ171" s="226"/>
      <c r="AK171" s="223"/>
      <c r="AL171" s="224"/>
      <c r="AM171" s="365"/>
      <c r="AN171" s="223"/>
      <c r="AO171" s="226"/>
      <c r="AP171" s="223"/>
      <c r="AQ171" s="224"/>
      <c r="AR171" s="223"/>
      <c r="AS171" s="226"/>
      <c r="AT171" s="223"/>
      <c r="AU171" s="223"/>
      <c r="AV171" s="227"/>
    </row>
    <row r="172" spans="1:48" x14ac:dyDescent="0.25">
      <c r="A172" s="365" t="s">
        <v>130</v>
      </c>
      <c r="B172" s="365" t="s">
        <v>35</v>
      </c>
      <c r="C172" s="328">
        <v>4</v>
      </c>
      <c r="D172" s="328">
        <f>Kennzahlen!D50</f>
        <v>87</v>
      </c>
      <c r="E172" s="223">
        <f>'KiGa - PS'!C173+H172*'KiGa - PS'!L173</f>
        <v>552252.000079897</v>
      </c>
      <c r="F172" s="223">
        <f t="shared" si="309"/>
        <v>138063.00001997425</v>
      </c>
      <c r="G172" s="224">
        <f t="shared" si="288"/>
        <v>6347.7241388493912</v>
      </c>
      <c r="H172" s="223">
        <f>I172-'KiGa - PS'!H173</f>
        <v>1183785.25</v>
      </c>
      <c r="I172" s="223">
        <f t="shared" si="310"/>
        <v>3285553.5</v>
      </c>
      <c r="J172" s="365">
        <v>3476452.1</v>
      </c>
      <c r="K172" s="365">
        <v>150602.65</v>
      </c>
      <c r="L172" s="365">
        <v>0</v>
      </c>
      <c r="M172" s="365">
        <v>40295.949999999997</v>
      </c>
      <c r="N172" s="365"/>
      <c r="O172" s="365"/>
      <c r="P172" s="365">
        <v>2279401.15</v>
      </c>
      <c r="Q172" s="27">
        <f t="shared" si="311"/>
        <v>2239105.1999999997</v>
      </c>
      <c r="R172" s="223">
        <f>(Q172-'KiGa - PS'!H173)*'KiGa - PS'!L173+'KiGa - PS'!C173</f>
        <v>376359.82037403976</v>
      </c>
      <c r="S172" s="226">
        <f t="shared" si="293"/>
        <v>0.68150014906164202</v>
      </c>
      <c r="T172" s="223">
        <f t="shared" si="294"/>
        <v>94089.95509350994</v>
      </c>
      <c r="U172" s="224">
        <f t="shared" si="295"/>
        <v>4325.9749468280434</v>
      </c>
      <c r="V172" s="365">
        <v>199283.85</v>
      </c>
      <c r="W172" s="223">
        <f>V172*'KiGa - PS'!L173</f>
        <v>33496.610159025622</v>
      </c>
      <c r="X172" s="226">
        <f t="shared" si="296"/>
        <v>6.0654574640163376E-2</v>
      </c>
      <c r="Y172" s="223">
        <f t="shared" si="297"/>
        <v>8374.1525397564055</v>
      </c>
      <c r="Z172" s="224">
        <f t="shared" si="289"/>
        <v>385.01850757500716</v>
      </c>
      <c r="AA172" s="365">
        <v>413690.65</v>
      </c>
      <c r="AB172" s="365">
        <v>25458</v>
      </c>
      <c r="AC172" s="225">
        <f>Artengliederung!AE172</f>
        <v>204645</v>
      </c>
      <c r="AD172" s="223">
        <f>AC172*'KiGa - PS'!L173</f>
        <v>34397.738632577595</v>
      </c>
      <c r="AE172" s="226">
        <f t="shared" si="290"/>
        <v>6.2286308836547635E-2</v>
      </c>
      <c r="AF172" s="223">
        <f t="shared" si="298"/>
        <v>8599.4346581443988</v>
      </c>
      <c r="AG172" s="224">
        <f t="shared" si="299"/>
        <v>395.37630612158154</v>
      </c>
      <c r="AH172" s="225">
        <f t="shared" si="292"/>
        <v>388232.65</v>
      </c>
      <c r="AI172" s="223">
        <f>AH172*'KiGa - PS'!L173</f>
        <v>65256.054256556359</v>
      </c>
      <c r="AJ172" s="226">
        <f t="shared" si="300"/>
        <v>0.11816354535088229</v>
      </c>
      <c r="AK172" s="223">
        <f t="shared" si="301"/>
        <v>16314.01356413909</v>
      </c>
      <c r="AL172" s="224">
        <f t="shared" si="302"/>
        <v>750.06958915582027</v>
      </c>
      <c r="AM172" s="365">
        <v>8444.7999999999993</v>
      </c>
      <c r="AN172" s="223">
        <f>AM172*'KiGa - PS'!L173</f>
        <v>1419.4435398098719</v>
      </c>
      <c r="AO172" s="226">
        <f t="shared" si="303"/>
        <v>2.5702822979446231E-3</v>
      </c>
      <c r="AP172" s="223">
        <f t="shared" si="304"/>
        <v>354.86088495246798</v>
      </c>
      <c r="AQ172" s="224">
        <f t="shared" si="291"/>
        <v>16.315442986320367</v>
      </c>
      <c r="AR172" s="223">
        <f>Artengliederung!X172*'KiGa - PS'!L173</f>
        <v>24633.719195900881</v>
      </c>
      <c r="AS172" s="226">
        <f t="shared" si="305"/>
        <v>4.4605939303682014E-2</v>
      </c>
      <c r="AT172" s="223">
        <f t="shared" si="306"/>
        <v>6158.4297989752204</v>
      </c>
      <c r="AU172" s="223">
        <f t="shared" si="307"/>
        <v>283.14619765403313</v>
      </c>
      <c r="AV172" s="227">
        <f t="shared" si="308"/>
        <v>3.0219200509138018E-2</v>
      </c>
    </row>
    <row r="173" spans="1:48" x14ac:dyDescent="0.25">
      <c r="A173" s="365" t="s">
        <v>131</v>
      </c>
      <c r="B173" s="365" t="s">
        <v>35</v>
      </c>
      <c r="C173" s="328">
        <v>1</v>
      </c>
      <c r="D173" s="328">
        <f>Kennzahlen!D51</f>
        <v>18</v>
      </c>
      <c r="E173" s="223">
        <f>'KiGa - PS'!C174+H173*'KiGa - PS'!L174</f>
        <v>172329.65457250323</v>
      </c>
      <c r="F173" s="223">
        <f t="shared" si="309"/>
        <v>172329.65457250323</v>
      </c>
      <c r="G173" s="224">
        <f t="shared" si="288"/>
        <v>9573.8696984724011</v>
      </c>
      <c r="H173" s="223">
        <f>I173-'KiGa - PS'!H174</f>
        <v>314507.35000000009</v>
      </c>
      <c r="I173" s="223">
        <f t="shared" si="310"/>
        <v>850712.55</v>
      </c>
      <c r="J173" s="365">
        <v>878251</v>
      </c>
      <c r="K173" s="365">
        <v>0</v>
      </c>
      <c r="L173" s="365">
        <v>0</v>
      </c>
      <c r="M173" s="365">
        <v>27538.45</v>
      </c>
      <c r="N173" s="365"/>
      <c r="O173" s="365"/>
      <c r="P173" s="365">
        <v>539017.65</v>
      </c>
      <c r="Q173" s="27">
        <f t="shared" si="311"/>
        <v>511479.2</v>
      </c>
      <c r="R173" s="223">
        <f>(Q173-'KiGa - PS'!H174)*'KiGa - PS'!L174+'KiGa - PS'!C174</f>
        <v>103610.8305408452</v>
      </c>
      <c r="S173" s="226">
        <f t="shared" si="293"/>
        <v>0.60123622250547504</v>
      </c>
      <c r="T173" s="223">
        <f t="shared" si="294"/>
        <v>103610.8305408452</v>
      </c>
      <c r="U173" s="224">
        <f t="shared" si="295"/>
        <v>5756.1572522691777</v>
      </c>
      <c r="V173" s="365">
        <v>31833.55</v>
      </c>
      <c r="W173" s="223">
        <f>V173*'KiGa - PS'!L174</f>
        <v>6448.5526577884739</v>
      </c>
      <c r="X173" s="226">
        <f t="shared" si="296"/>
        <v>3.7419866440197687E-2</v>
      </c>
      <c r="Y173" s="223">
        <f t="shared" si="297"/>
        <v>6448.5526577884739</v>
      </c>
      <c r="Z173" s="224">
        <f t="shared" si="289"/>
        <v>358.25292543269302</v>
      </c>
      <c r="AA173" s="365">
        <v>84809.75</v>
      </c>
      <c r="AB173" s="365">
        <v>17855</v>
      </c>
      <c r="AC173" s="225">
        <f>Artengliederung!AE173</f>
        <v>99883.7</v>
      </c>
      <c r="AD173" s="223">
        <f>AC173*'KiGa - PS'!L174</f>
        <v>20233.536602256005</v>
      </c>
      <c r="AE173" s="226">
        <f t="shared" si="290"/>
        <v>0.11741180966473341</v>
      </c>
      <c r="AF173" s="223">
        <f t="shared" si="298"/>
        <v>20233.536602256005</v>
      </c>
      <c r="AG173" s="224">
        <f t="shared" si="299"/>
        <v>1124.0853667920003</v>
      </c>
      <c r="AH173" s="225">
        <f t="shared" si="292"/>
        <v>66954.75</v>
      </c>
      <c r="AI173" s="223">
        <f>AH173*'KiGa - PS'!L174</f>
        <v>13563.087719216452</v>
      </c>
      <c r="AJ173" s="226">
        <f t="shared" si="300"/>
        <v>7.8704316751880526E-2</v>
      </c>
      <c r="AK173" s="223">
        <f t="shared" si="301"/>
        <v>13563.087719216452</v>
      </c>
      <c r="AL173" s="224">
        <f t="shared" si="302"/>
        <v>753.50487328980284</v>
      </c>
      <c r="AM173" s="365">
        <v>4917.95</v>
      </c>
      <c r="AN173" s="223">
        <f>AM173*'KiGa - PS'!L174</f>
        <v>996.23383327875229</v>
      </c>
      <c r="AO173" s="226">
        <f t="shared" si="303"/>
        <v>5.780977370088169E-3</v>
      </c>
      <c r="AP173" s="223">
        <f t="shared" si="304"/>
        <v>996.23383327875229</v>
      </c>
      <c r="AQ173" s="224">
        <f t="shared" si="291"/>
        <v>55.346324071041792</v>
      </c>
      <c r="AR173" s="223">
        <f>Artengliederung!X173*'KiGa - PS'!L174</f>
        <v>9222.1440594011401</v>
      </c>
      <c r="AS173" s="226">
        <f t="shared" si="305"/>
        <v>5.3514550831535279E-2</v>
      </c>
      <c r="AT173" s="223">
        <f t="shared" si="306"/>
        <v>9222.1440594011401</v>
      </c>
      <c r="AU173" s="223">
        <f t="shared" si="307"/>
        <v>512.34133663339662</v>
      </c>
      <c r="AV173" s="227">
        <f t="shared" si="308"/>
        <v>0.10593225643608992</v>
      </c>
    </row>
    <row r="174" spans="1:48" x14ac:dyDescent="0.25">
      <c r="A174" s="365" t="s">
        <v>132</v>
      </c>
      <c r="B174" s="365" t="s">
        <v>35</v>
      </c>
      <c r="C174" s="328">
        <v>0</v>
      </c>
      <c r="D174" s="328"/>
      <c r="E174" s="223"/>
      <c r="F174" s="223"/>
      <c r="G174" s="224"/>
      <c r="H174" s="223"/>
      <c r="I174" s="223"/>
      <c r="J174" s="365"/>
      <c r="K174" s="365"/>
      <c r="L174" s="365"/>
      <c r="M174" s="365"/>
      <c r="N174" s="365"/>
      <c r="O174" s="365"/>
      <c r="P174" s="365"/>
      <c r="Q174" s="27"/>
      <c r="R174" s="223"/>
      <c r="S174" s="226"/>
      <c r="T174" s="223"/>
      <c r="U174" s="224"/>
      <c r="V174" s="365"/>
      <c r="W174" s="223"/>
      <c r="X174" s="226"/>
      <c r="Y174" s="223"/>
      <c r="Z174" s="224"/>
      <c r="AA174" s="365"/>
      <c r="AB174" s="365"/>
      <c r="AC174" s="225"/>
      <c r="AD174" s="223"/>
      <c r="AE174" s="226"/>
      <c r="AF174" s="223"/>
      <c r="AG174" s="224"/>
      <c r="AH174" s="225"/>
      <c r="AI174" s="223"/>
      <c r="AJ174" s="226"/>
      <c r="AK174" s="223"/>
      <c r="AL174" s="224"/>
      <c r="AM174" s="365"/>
      <c r="AN174" s="223"/>
      <c r="AO174" s="226"/>
      <c r="AP174" s="223"/>
      <c r="AQ174" s="224"/>
      <c r="AR174" s="223"/>
      <c r="AS174" s="226"/>
      <c r="AT174" s="223"/>
      <c r="AU174" s="223"/>
      <c r="AV174" s="227"/>
    </row>
    <row r="175" spans="1:48" x14ac:dyDescent="0.25">
      <c r="A175" s="365" t="s">
        <v>133</v>
      </c>
      <c r="B175" s="365" t="s">
        <v>35</v>
      </c>
      <c r="C175" s="328">
        <v>0.5</v>
      </c>
      <c r="D175" s="328">
        <f>Kennzahlen!D53</f>
        <v>17</v>
      </c>
      <c r="E175" s="223">
        <f>'KiGa - PS'!C176+H175*'KiGa - PS'!L176</f>
        <v>126125.42400374384</v>
      </c>
      <c r="F175" s="223">
        <f t="shared" si="309"/>
        <v>252250.84800748769</v>
      </c>
      <c r="G175" s="224">
        <f t="shared" si="288"/>
        <v>7419.1425884555201</v>
      </c>
      <c r="H175" s="223">
        <f>I175-'KiGa - PS'!H176</f>
        <v>402151.44999999995</v>
      </c>
      <c r="I175" s="223">
        <f t="shared" si="310"/>
        <v>950677.54999999993</v>
      </c>
      <c r="J175" s="365">
        <v>963541.1</v>
      </c>
      <c r="K175" s="365">
        <v>7596</v>
      </c>
      <c r="L175" s="365">
        <v>0</v>
      </c>
      <c r="M175" s="365">
        <v>5267.55</v>
      </c>
      <c r="N175" s="365"/>
      <c r="O175" s="365"/>
      <c r="P175" s="365">
        <v>658029.80000000005</v>
      </c>
      <c r="Q175" s="27">
        <f t="shared" si="311"/>
        <v>652762.25</v>
      </c>
      <c r="R175" s="223">
        <f>(Q175-'KiGa - PS'!H176)*'KiGa - PS'!L176+'KiGa - PS'!C176</f>
        <v>86601.3040435086</v>
      </c>
      <c r="S175" s="226">
        <f t="shared" si="293"/>
        <v>0.68662844725848426</v>
      </c>
      <c r="T175" s="223">
        <f t="shared" si="294"/>
        <v>173202.6080870172</v>
      </c>
      <c r="U175" s="224">
        <f t="shared" si="295"/>
        <v>5094.1943555005055</v>
      </c>
      <c r="V175" s="365">
        <v>46130</v>
      </c>
      <c r="W175" s="223">
        <f>V175*'KiGa - PS'!L176</f>
        <v>6120.0201995857624</v>
      </c>
      <c r="X175" s="226">
        <f t="shared" si="296"/>
        <v>4.8523287417484511E-2</v>
      </c>
      <c r="Y175" s="223">
        <f t="shared" si="297"/>
        <v>12240.040399171525</v>
      </c>
      <c r="Z175" s="224">
        <f t="shared" si="289"/>
        <v>360.00118821092718</v>
      </c>
      <c r="AA175" s="365">
        <v>208745.8</v>
      </c>
      <c r="AB175" s="365">
        <v>34677</v>
      </c>
      <c r="AC175" s="225">
        <f>Artengliederung!AE175</f>
        <v>16980</v>
      </c>
      <c r="AD175" s="223">
        <f>AC175*'KiGa - PS'!L176</f>
        <v>2252.7193364180848</v>
      </c>
      <c r="AE175" s="226">
        <f t="shared" si="290"/>
        <v>1.7860945596117214E-2</v>
      </c>
      <c r="AF175" s="223">
        <f t="shared" si="298"/>
        <v>4505.4386728361696</v>
      </c>
      <c r="AG175" s="224">
        <f t="shared" si="299"/>
        <v>132.51290214224028</v>
      </c>
      <c r="AH175" s="225">
        <f t="shared" si="292"/>
        <v>174068.8</v>
      </c>
      <c r="AI175" s="223">
        <f>AH175*'KiGa - PS'!L176</f>
        <v>23093.530720087885</v>
      </c>
      <c r="AJ175" s="226">
        <f t="shared" si="300"/>
        <v>0.18309972713671424</v>
      </c>
      <c r="AK175" s="223">
        <f t="shared" si="301"/>
        <v>46187.06144017577</v>
      </c>
      <c r="AL175" s="224">
        <f t="shared" si="302"/>
        <v>1358.4429835345816</v>
      </c>
      <c r="AM175" s="365">
        <v>3625.8</v>
      </c>
      <c r="AN175" s="223">
        <f>AM175*'KiGa - PS'!L176</f>
        <v>481.03119964574159</v>
      </c>
      <c r="AO175" s="226">
        <f t="shared" si="303"/>
        <v>3.8139114571496932E-3</v>
      </c>
      <c r="AP175" s="223">
        <f t="shared" si="304"/>
        <v>962.06239929148319</v>
      </c>
      <c r="AQ175" s="224">
        <f t="shared" si="291"/>
        <v>28.29595292033774</v>
      </c>
      <c r="AR175" s="223">
        <f>Artengliederung!X175*'KiGa - PS'!L176</f>
        <v>391.17449725728642</v>
      </c>
      <c r="AS175" s="226">
        <f t="shared" si="305"/>
        <v>3.1014722079005658E-3</v>
      </c>
      <c r="AT175" s="223">
        <f t="shared" si="306"/>
        <v>782.34899451457284</v>
      </c>
      <c r="AU175" s="223">
        <f t="shared" si="307"/>
        <v>23.01026454454626</v>
      </c>
      <c r="AV175" s="227">
        <f t="shared" si="308"/>
        <v>5.6972208926149501E-2</v>
      </c>
    </row>
    <row r="176" spans="1:48" x14ac:dyDescent="0.25">
      <c r="A176" s="365" t="s">
        <v>134</v>
      </c>
      <c r="B176" s="365" t="s">
        <v>35</v>
      </c>
      <c r="C176" s="328">
        <v>0.5</v>
      </c>
      <c r="D176" s="328">
        <f>Kennzahlen!D54</f>
        <v>20</v>
      </c>
      <c r="E176" s="223">
        <f>'KiGa - PS'!C177+H176*'KiGa - PS'!L177</f>
        <v>106183.52203744321</v>
      </c>
      <c r="F176" s="223">
        <f t="shared" si="309"/>
        <v>212367.04407488642</v>
      </c>
      <c r="G176" s="224">
        <f t="shared" si="288"/>
        <v>5309.1761018721609</v>
      </c>
      <c r="H176" s="223">
        <f>I176-'KiGa - PS'!H177</f>
        <v>268729.90000000002</v>
      </c>
      <c r="I176" s="223">
        <f t="shared" si="310"/>
        <v>861894.9</v>
      </c>
      <c r="J176" s="365">
        <v>905202.9</v>
      </c>
      <c r="K176" s="365">
        <v>32005.55</v>
      </c>
      <c r="L176" s="365">
        <v>0</v>
      </c>
      <c r="M176" s="365">
        <v>11302.45</v>
      </c>
      <c r="N176" s="365"/>
      <c r="O176" s="365"/>
      <c r="P176" s="365">
        <v>593165</v>
      </c>
      <c r="Q176" s="27">
        <f t="shared" si="311"/>
        <v>581862.55000000005</v>
      </c>
      <c r="R176" s="223">
        <f>(Q176-'KiGa - PS'!H177)*'KiGa - PS'!L177+'KiGa - PS'!C177</f>
        <v>71684.163464348036</v>
      </c>
      <c r="S176" s="226">
        <f t="shared" si="293"/>
        <v>0.67509687085977654</v>
      </c>
      <c r="T176" s="223">
        <f t="shared" si="294"/>
        <v>143368.32692869607</v>
      </c>
      <c r="U176" s="224">
        <f t="shared" si="295"/>
        <v>3584.208173217402</v>
      </c>
      <c r="V176" s="365">
        <v>38106.85</v>
      </c>
      <c r="W176" s="223">
        <f>V176*'KiGa - PS'!L177</f>
        <v>4694.6786049581488</v>
      </c>
      <c r="X176" s="226">
        <f t="shared" si="296"/>
        <v>4.4212873286522528E-2</v>
      </c>
      <c r="Y176" s="223">
        <f t="shared" si="297"/>
        <v>9389.3572099162975</v>
      </c>
      <c r="Z176" s="224">
        <f t="shared" si="289"/>
        <v>234.73393024790744</v>
      </c>
      <c r="AA176" s="365">
        <v>125739</v>
      </c>
      <c r="AB176" s="365">
        <v>9700</v>
      </c>
      <c r="AC176" s="225">
        <f>Artengliederung!AE176</f>
        <v>41670</v>
      </c>
      <c r="AD176" s="223">
        <f>AC176*'KiGa - PS'!L177</f>
        <v>5133.6507076445851</v>
      </c>
      <c r="AE176" s="226">
        <f t="shared" si="290"/>
        <v>4.8346962025184279E-2</v>
      </c>
      <c r="AF176" s="223">
        <f t="shared" si="298"/>
        <v>10267.30141528917</v>
      </c>
      <c r="AG176" s="224">
        <f t="shared" si="299"/>
        <v>256.68253538222928</v>
      </c>
      <c r="AH176" s="225">
        <f t="shared" si="292"/>
        <v>116039</v>
      </c>
      <c r="AI176" s="223">
        <f>AH176*'KiGa - PS'!L177</f>
        <v>14295.745007544278</v>
      </c>
      <c r="AJ176" s="226">
        <f t="shared" si="300"/>
        <v>0.13463242444061338</v>
      </c>
      <c r="AK176" s="223">
        <f t="shared" si="301"/>
        <v>28591.490015088555</v>
      </c>
      <c r="AL176" s="224">
        <f t="shared" si="302"/>
        <v>714.78725037721392</v>
      </c>
      <c r="AM176" s="365">
        <v>7058.85</v>
      </c>
      <c r="AN176" s="223">
        <f>AM176*'KiGa - PS'!L177</f>
        <v>869.63451638245692</v>
      </c>
      <c r="AO176" s="226">
        <f t="shared" si="303"/>
        <v>8.1899196758212639E-3</v>
      </c>
      <c r="AP176" s="223">
        <f t="shared" si="304"/>
        <v>1739.2690327649138</v>
      </c>
      <c r="AQ176" s="224">
        <f t="shared" si="291"/>
        <v>43.481725819122843</v>
      </c>
      <c r="AR176" s="223">
        <f>Artengliederung!X176*'KiGa - PS'!L177</f>
        <v>4250.5876352954074</v>
      </c>
      <c r="AS176" s="226">
        <f t="shared" si="305"/>
        <v>4.003057681394797E-2</v>
      </c>
      <c r="AT176" s="223">
        <f t="shared" si="306"/>
        <v>8501.1752705908148</v>
      </c>
      <c r="AU176" s="223">
        <f t="shared" si="307"/>
        <v>212.52938176477036</v>
      </c>
      <c r="AV176" s="227">
        <f t="shared" si="308"/>
        <v>4.9490372898134051E-2</v>
      </c>
    </row>
    <row r="177" spans="1:48" x14ac:dyDescent="0.25">
      <c r="A177" s="365" t="s">
        <v>135</v>
      </c>
      <c r="B177" s="365" t="s">
        <v>35</v>
      </c>
      <c r="C177" s="328">
        <v>1</v>
      </c>
      <c r="D177" s="328">
        <f>Kennzahlen!D55</f>
        <v>20</v>
      </c>
      <c r="E177" s="223">
        <f>'KiGa - PS'!C178+H177*'KiGa - PS'!L178</f>
        <v>193297.8481762989</v>
      </c>
      <c r="F177" s="223">
        <f t="shared" si="309"/>
        <v>193297.8481762989</v>
      </c>
      <c r="G177" s="224">
        <f t="shared" si="288"/>
        <v>9664.8924088149452</v>
      </c>
      <c r="H177" s="223">
        <f>I177-'KiGa - PS'!H178</f>
        <v>846058.10999999975</v>
      </c>
      <c r="I177" s="223">
        <f t="shared" si="310"/>
        <v>1698623.0099999998</v>
      </c>
      <c r="J177" s="365">
        <v>1728836.16</v>
      </c>
      <c r="K177" s="365">
        <v>14902.35</v>
      </c>
      <c r="L177" s="365">
        <v>0</v>
      </c>
      <c r="M177" s="365">
        <v>15310.8</v>
      </c>
      <c r="N177" s="365"/>
      <c r="O177" s="365"/>
      <c r="P177" s="365">
        <v>853611.35</v>
      </c>
      <c r="Q177" s="27">
        <f t="shared" si="311"/>
        <v>838300.54999999993</v>
      </c>
      <c r="R177" s="223">
        <f>(Q177-'KiGa - PS'!H178)*'KiGa - PS'!L178+'KiGa - PS'!C178</f>
        <v>95395.912739936262</v>
      </c>
      <c r="S177" s="226">
        <f t="shared" si="293"/>
        <v>0.49351771703598912</v>
      </c>
      <c r="T177" s="223">
        <f t="shared" si="294"/>
        <v>95395.912739936262</v>
      </c>
      <c r="U177" s="224">
        <f t="shared" si="295"/>
        <v>4769.7956369968133</v>
      </c>
      <c r="V177" s="365">
        <v>47725.1</v>
      </c>
      <c r="W177" s="223">
        <f>V177*'KiGa - PS'!L178</f>
        <v>5430.9632447512204</v>
      </c>
      <c r="X177" s="226">
        <f t="shared" si="296"/>
        <v>2.8096346110370901E-2</v>
      </c>
      <c r="Y177" s="223">
        <f t="shared" si="297"/>
        <v>5430.9632447512204</v>
      </c>
      <c r="Z177" s="224">
        <f t="shared" si="289"/>
        <v>271.54816223756103</v>
      </c>
      <c r="AA177" s="365">
        <v>184039.61</v>
      </c>
      <c r="AB177" s="365">
        <v>57557.85</v>
      </c>
      <c r="AC177" s="225">
        <f>Artengliederung!AE177</f>
        <v>242984.8</v>
      </c>
      <c r="AD177" s="223">
        <f>AC177*'KiGa - PS'!L178</f>
        <v>27650.890576095728</v>
      </c>
      <c r="AE177" s="226">
        <f t="shared" si="290"/>
        <v>0.14304810341642554</v>
      </c>
      <c r="AF177" s="223">
        <f t="shared" si="298"/>
        <v>27650.890576095728</v>
      </c>
      <c r="AG177" s="224">
        <f t="shared" si="299"/>
        <v>1382.5445288047863</v>
      </c>
      <c r="AH177" s="225">
        <f t="shared" si="292"/>
        <v>126481.75999999998</v>
      </c>
      <c r="AI177" s="223">
        <f>AH177*'KiGa - PS'!L178</f>
        <v>14393.218446717659</v>
      </c>
      <c r="AJ177" s="226">
        <f t="shared" si="300"/>
        <v>7.4461348548433948E-2</v>
      </c>
      <c r="AK177" s="223">
        <f t="shared" si="301"/>
        <v>14393.218446717659</v>
      </c>
      <c r="AL177" s="224">
        <f t="shared" si="302"/>
        <v>719.66092233588301</v>
      </c>
      <c r="AM177" s="365">
        <v>3930.25</v>
      </c>
      <c r="AN177" s="223">
        <f>AM177*'KiGa - PS'!L178</f>
        <v>447.2498390298498</v>
      </c>
      <c r="AO177" s="226">
        <f t="shared" si="303"/>
        <v>2.3137859176887055E-3</v>
      </c>
      <c r="AP177" s="223">
        <f t="shared" si="304"/>
        <v>447.2498390298498</v>
      </c>
      <c r="AQ177" s="224">
        <f t="shared" si="291"/>
        <v>22.36249195149249</v>
      </c>
      <c r="AR177" s="223">
        <f>Artengliederung!X177*'KiGa - PS'!L178</f>
        <v>20473.482285333936</v>
      </c>
      <c r="AS177" s="226">
        <f t="shared" si="305"/>
        <v>0.10591676254285524</v>
      </c>
      <c r="AT177" s="223">
        <f t="shared" si="306"/>
        <v>20473.482285333936</v>
      </c>
      <c r="AU177" s="223">
        <f t="shared" si="307"/>
        <v>1023.6741142666967</v>
      </c>
      <c r="AV177" s="227">
        <f t="shared" si="308"/>
        <v>0.15264593642823648</v>
      </c>
    </row>
    <row r="178" spans="1:48" x14ac:dyDescent="0.25">
      <c r="A178" s="365" t="s">
        <v>136</v>
      </c>
      <c r="B178" s="365" t="s">
        <v>35</v>
      </c>
      <c r="C178" s="328">
        <v>1.5</v>
      </c>
      <c r="D178" s="328">
        <f>Kennzahlen!D56</f>
        <v>30</v>
      </c>
      <c r="E178" s="223">
        <f>'KiGa - PS'!C179+H178*'KiGa - PS'!L179</f>
        <v>184788.15214906129</v>
      </c>
      <c r="F178" s="223">
        <f t="shared" si="309"/>
        <v>123192.10143270752</v>
      </c>
      <c r="G178" s="224">
        <f t="shared" si="288"/>
        <v>6159.6050716353766</v>
      </c>
      <c r="H178" s="223">
        <f>I178-'KiGa - PS'!H179</f>
        <v>383698.80000000005</v>
      </c>
      <c r="I178" s="223">
        <f t="shared" si="310"/>
        <v>1347377.7</v>
      </c>
      <c r="J178" s="365">
        <v>1429117.2</v>
      </c>
      <c r="K178" s="365">
        <v>58957.9</v>
      </c>
      <c r="L178" s="365">
        <v>0</v>
      </c>
      <c r="M178" s="365">
        <v>22781.599999999999</v>
      </c>
      <c r="N178" s="365"/>
      <c r="O178" s="365"/>
      <c r="P178" s="365">
        <v>1007758.4</v>
      </c>
      <c r="Q178" s="27">
        <f t="shared" si="311"/>
        <v>984976.8</v>
      </c>
      <c r="R178" s="223">
        <f>(Q178-'KiGa - PS'!H179)*'KiGa - PS'!L179+'KiGa - PS'!C179</f>
        <v>135086.1327018367</v>
      </c>
      <c r="S178" s="226">
        <f t="shared" si="293"/>
        <v>0.73103243433522758</v>
      </c>
      <c r="T178" s="223">
        <f t="shared" si="294"/>
        <v>90057.421801224467</v>
      </c>
      <c r="U178" s="224">
        <f t="shared" si="295"/>
        <v>4502.8710900612232</v>
      </c>
      <c r="V178" s="365">
        <v>80906.649999999994</v>
      </c>
      <c r="W178" s="223">
        <f>V178*'KiGa - PS'!L179</f>
        <v>11096.064859965287</v>
      </c>
      <c r="X178" s="226">
        <f t="shared" si="296"/>
        <v>6.0047490766694446E-2</v>
      </c>
      <c r="Y178" s="223">
        <f t="shared" si="297"/>
        <v>7397.3765733101909</v>
      </c>
      <c r="Z178" s="224">
        <f t="shared" si="289"/>
        <v>369.86882866550957</v>
      </c>
      <c r="AA178" s="365">
        <v>165083.70000000001</v>
      </c>
      <c r="AB178" s="365">
        <v>384.7</v>
      </c>
      <c r="AC178" s="225">
        <f>Artengliederung!AE178</f>
        <v>0</v>
      </c>
      <c r="AD178" s="223">
        <f>AC178*'KiGa - PS'!L179</f>
        <v>0</v>
      </c>
      <c r="AE178" s="226">
        <f t="shared" si="290"/>
        <v>0</v>
      </c>
      <c r="AF178" s="223">
        <f t="shared" si="298"/>
        <v>0</v>
      </c>
      <c r="AG178" s="224">
        <f t="shared" si="299"/>
        <v>0</v>
      </c>
      <c r="AH178" s="225">
        <f t="shared" si="292"/>
        <v>164699</v>
      </c>
      <c r="AI178" s="223">
        <f>AH178*'KiGa - PS'!L179</f>
        <v>22587.893410139004</v>
      </c>
      <c r="AJ178" s="226">
        <f t="shared" si="300"/>
        <v>0.12223669725274509</v>
      </c>
      <c r="AK178" s="223">
        <f t="shared" si="301"/>
        <v>15058.595606759336</v>
      </c>
      <c r="AL178" s="224">
        <f t="shared" si="302"/>
        <v>752.9297803379668</v>
      </c>
      <c r="AM178" s="365">
        <v>5653.7</v>
      </c>
      <c r="AN178" s="223">
        <f>AM178*'KiGa - PS'!L179</f>
        <v>775.38523593284049</v>
      </c>
      <c r="AO178" s="226">
        <f t="shared" si="303"/>
        <v>4.1960765715507988E-3</v>
      </c>
      <c r="AP178" s="223">
        <f t="shared" si="304"/>
        <v>516.92349062189362</v>
      </c>
      <c r="AQ178" s="224">
        <f t="shared" si="291"/>
        <v>25.846174531094682</v>
      </c>
      <c r="AR178" s="223">
        <f>Artengliederung!X178*'KiGa - PS'!L179</f>
        <v>1484.0144070602773</v>
      </c>
      <c r="AS178" s="226">
        <f t="shared" si="305"/>
        <v>8.0308958653538647E-3</v>
      </c>
      <c r="AT178" s="223">
        <f t="shared" si="306"/>
        <v>989.34293804018489</v>
      </c>
      <c r="AU178" s="223">
        <f t="shared" si="307"/>
        <v>49.467146902009247</v>
      </c>
      <c r="AV178" s="227">
        <f t="shared" si="308"/>
        <v>7.4456405208428222E-2</v>
      </c>
    </row>
    <row r="179" spans="1:48" x14ac:dyDescent="0.25">
      <c r="A179" s="365" t="s">
        <v>137</v>
      </c>
      <c r="B179" s="365" t="s">
        <v>35</v>
      </c>
      <c r="C179" s="328">
        <v>1</v>
      </c>
      <c r="D179" s="328">
        <f>Kennzahlen!D57</f>
        <v>23</v>
      </c>
      <c r="E179" s="223">
        <f>'KiGa - PS'!C180+H179*'KiGa - PS'!L180</f>
        <v>93296.324893298413</v>
      </c>
      <c r="F179" s="223">
        <f t="shared" si="309"/>
        <v>93296.324893298413</v>
      </c>
      <c r="G179" s="224">
        <f t="shared" ref="G179:G194" si="312">E179/D179</f>
        <v>4056.3619518825399</v>
      </c>
      <c r="H179" s="223">
        <f>I179-'KiGa - PS'!H180</f>
        <v>165217.00000000012</v>
      </c>
      <c r="I179" s="223">
        <f t="shared" si="310"/>
        <v>720855.3</v>
      </c>
      <c r="J179" s="365">
        <v>739092.65</v>
      </c>
      <c r="K179" s="365">
        <v>4428</v>
      </c>
      <c r="L179" s="365">
        <v>0</v>
      </c>
      <c r="M179" s="365">
        <v>13809.35</v>
      </c>
      <c r="N179" s="365"/>
      <c r="O179" s="365"/>
      <c r="P179" s="365">
        <v>562233.35</v>
      </c>
      <c r="Q179" s="27">
        <f t="shared" si="311"/>
        <v>548424</v>
      </c>
      <c r="R179" s="223">
        <f>(Q179-'KiGa - PS'!H180)*'KiGa - PS'!L180+'KiGa - PS'!C180</f>
        <v>70979.492948560248</v>
      </c>
      <c r="S179" s="226">
        <f t="shared" si="293"/>
        <v>0.76079623746957248</v>
      </c>
      <c r="T179" s="223">
        <f t="shared" si="294"/>
        <v>70979.492948560248</v>
      </c>
      <c r="U179" s="224">
        <f t="shared" si="295"/>
        <v>3086.0649108069674</v>
      </c>
      <c r="V179" s="365">
        <v>31431.55</v>
      </c>
      <c r="W179" s="223">
        <f>V179*'KiGa - PS'!L180</f>
        <v>4068.0121249021172</v>
      </c>
      <c r="X179" s="226">
        <f t="shared" si="296"/>
        <v>4.3603133666354391E-2</v>
      </c>
      <c r="Y179" s="223">
        <f t="shared" si="297"/>
        <v>4068.0121249021172</v>
      </c>
      <c r="Z179" s="224">
        <f t="shared" ref="Z179:Z194" si="313">W179/D179</f>
        <v>176.87009238704857</v>
      </c>
      <c r="AA179" s="365">
        <v>69166.600000000006</v>
      </c>
      <c r="AB179" s="365">
        <v>29657.5</v>
      </c>
      <c r="AC179" s="225">
        <f>Artengliederung!AE179</f>
        <v>37898</v>
      </c>
      <c r="AD179" s="223">
        <f>AC179*'KiGa - PS'!L180</f>
        <v>4904.9290763433692</v>
      </c>
      <c r="AE179" s="226">
        <f t="shared" ref="AE179:AE194" si="314">AD179/$E179</f>
        <v>5.2573657986561224E-2</v>
      </c>
      <c r="AF179" s="223">
        <f t="shared" si="298"/>
        <v>4904.9290763433692</v>
      </c>
      <c r="AG179" s="224">
        <f t="shared" si="299"/>
        <v>213.25778592797258</v>
      </c>
      <c r="AH179" s="225">
        <f t="shared" si="292"/>
        <v>39509.100000000006</v>
      </c>
      <c r="AI179" s="223">
        <f>AH179*'KiGa - PS'!L180</f>
        <v>5113.4448617382932</v>
      </c>
      <c r="AJ179" s="226">
        <f t="shared" si="300"/>
        <v>5.4808641900808655E-2</v>
      </c>
      <c r="AK179" s="223">
        <f t="shared" si="301"/>
        <v>5113.4448617382932</v>
      </c>
      <c r="AL179" s="224">
        <f t="shared" si="302"/>
        <v>222.32368964079535</v>
      </c>
      <c r="AM179" s="365">
        <v>5895.85</v>
      </c>
      <c r="AN179" s="223">
        <f>AM179*'KiGa - PS'!L180</f>
        <v>763.06734114620974</v>
      </c>
      <c r="AO179" s="226">
        <f t="shared" si="303"/>
        <v>8.1789646271588756E-3</v>
      </c>
      <c r="AP179" s="223">
        <f t="shared" si="304"/>
        <v>763.06734114620974</v>
      </c>
      <c r="AQ179" s="224">
        <f t="shared" ref="AQ179:AQ194" si="315">AN179/D179</f>
        <v>33.176840919400426</v>
      </c>
      <c r="AR179" s="223">
        <f>Artengliederung!X179*'KiGa - PS'!L180</f>
        <v>2434.90163575837</v>
      </c>
      <c r="AS179" s="226">
        <f t="shared" si="305"/>
        <v>2.6098580394706115E-2</v>
      </c>
      <c r="AT179" s="223">
        <f t="shared" si="306"/>
        <v>2434.90163575837</v>
      </c>
      <c r="AU179" s="223">
        <f t="shared" si="307"/>
        <v>105.86528851123349</v>
      </c>
      <c r="AV179" s="227">
        <f t="shared" si="308"/>
        <v>5.3940783954838298E-2</v>
      </c>
    </row>
    <row r="180" spans="1:48" x14ac:dyDescent="0.25">
      <c r="A180" s="365" t="s">
        <v>138</v>
      </c>
      <c r="B180" s="365" t="s">
        <v>35</v>
      </c>
      <c r="C180" s="328">
        <v>1</v>
      </c>
      <c r="D180" s="328">
        <f>Kennzahlen!D58</f>
        <v>22</v>
      </c>
      <c r="E180" s="223">
        <f>'KiGa - PS'!C181+H180*'KiGa - PS'!L181</f>
        <v>224712.7902973798</v>
      </c>
      <c r="F180" s="223">
        <f t="shared" si="309"/>
        <v>224712.7902973798</v>
      </c>
      <c r="G180" s="224">
        <f t="shared" si="312"/>
        <v>10214.217740789991</v>
      </c>
      <c r="H180" s="223">
        <f>I180-'KiGa - PS'!H181</f>
        <v>945113.35000000009</v>
      </c>
      <c r="I180" s="223">
        <f t="shared" si="310"/>
        <v>1900950</v>
      </c>
      <c r="J180" s="365">
        <v>1956680.3</v>
      </c>
      <c r="K180" s="365">
        <v>22929.3</v>
      </c>
      <c r="L180" s="365">
        <v>0</v>
      </c>
      <c r="M180" s="365">
        <v>32801</v>
      </c>
      <c r="N180" s="365"/>
      <c r="O180" s="365"/>
      <c r="P180" s="365">
        <v>958091.8</v>
      </c>
      <c r="Q180" s="27">
        <f t="shared" si="311"/>
        <v>925290.8</v>
      </c>
      <c r="R180" s="223">
        <f>(Q180-'KiGa - PS'!H181)*'KiGa - PS'!L181+'KiGa - PS'!C181</f>
        <v>109379.35111628124</v>
      </c>
      <c r="S180" s="226">
        <f t="shared" si="293"/>
        <v>0.48675178200373503</v>
      </c>
      <c r="T180" s="223">
        <f t="shared" si="294"/>
        <v>109379.35111628124</v>
      </c>
      <c r="U180" s="224">
        <f t="shared" si="295"/>
        <v>4971.7886871036926</v>
      </c>
      <c r="V180" s="365">
        <v>62686.400000000001</v>
      </c>
      <c r="W180" s="223">
        <f>V180*'KiGa - PS'!L181</f>
        <v>7410.2085050620326</v>
      </c>
      <c r="X180" s="226">
        <f t="shared" si="296"/>
        <v>3.2976353928299014E-2</v>
      </c>
      <c r="Y180" s="223">
        <f t="shared" si="297"/>
        <v>7410.2085050620326</v>
      </c>
      <c r="Z180" s="224">
        <f t="shared" si="313"/>
        <v>336.82765932100148</v>
      </c>
      <c r="AA180" s="365">
        <v>226855.4</v>
      </c>
      <c r="AB180" s="365">
        <v>44114.75</v>
      </c>
      <c r="AC180" s="225">
        <f>Artengliederung!AE180</f>
        <v>172037.2</v>
      </c>
      <c r="AD180" s="223">
        <f>AC180*'KiGa - PS'!L181</f>
        <v>20336.652330123565</v>
      </c>
      <c r="AE180" s="226">
        <f t="shared" si="314"/>
        <v>9.050064441463479E-2</v>
      </c>
      <c r="AF180" s="223">
        <f t="shared" si="298"/>
        <v>20336.652330123565</v>
      </c>
      <c r="AG180" s="224">
        <f t="shared" si="299"/>
        <v>924.39328773288935</v>
      </c>
      <c r="AH180" s="225">
        <f t="shared" si="292"/>
        <v>182740.65</v>
      </c>
      <c r="AI180" s="223">
        <f>AH180*'KiGa - PS'!L181</f>
        <v>21601.91554867665</v>
      </c>
      <c r="AJ180" s="226">
        <f t="shared" si="300"/>
        <v>9.6131223861753337E-2</v>
      </c>
      <c r="AK180" s="223">
        <f t="shared" si="301"/>
        <v>21601.91554867665</v>
      </c>
      <c r="AL180" s="224">
        <f t="shared" si="302"/>
        <v>981.90525221257496</v>
      </c>
      <c r="AM180" s="365">
        <v>1857.45</v>
      </c>
      <c r="AN180" s="223">
        <f>AM180*'KiGa - PS'!L181</f>
        <v>219.57062118302329</v>
      </c>
      <c r="AO180" s="226">
        <f t="shared" si="303"/>
        <v>9.7711670480549206E-4</v>
      </c>
      <c r="AP180" s="223">
        <f t="shared" si="304"/>
        <v>219.57062118302329</v>
      </c>
      <c r="AQ180" s="224">
        <f t="shared" si="315"/>
        <v>9.9804827810465131</v>
      </c>
      <c r="AR180" s="223">
        <f>Artengliederung!X180*'KiGa - PS'!L181</f>
        <v>23873.87953741887</v>
      </c>
      <c r="AS180" s="226">
        <f t="shared" si="305"/>
        <v>0.106241747547279</v>
      </c>
      <c r="AT180" s="223">
        <f t="shared" si="306"/>
        <v>23873.87953741887</v>
      </c>
      <c r="AU180" s="223">
        <f t="shared" si="307"/>
        <v>1085.1763426099487</v>
      </c>
      <c r="AV180" s="227">
        <f t="shared" si="308"/>
        <v>0.18642113153949336</v>
      </c>
    </row>
    <row r="181" spans="1:48" x14ac:dyDescent="0.25">
      <c r="A181" s="365" t="s">
        <v>139</v>
      </c>
      <c r="B181" s="365" t="s">
        <v>35</v>
      </c>
      <c r="C181" s="328">
        <v>1</v>
      </c>
      <c r="D181" s="328">
        <f>Kennzahlen!D59</f>
        <v>11</v>
      </c>
      <c r="E181" s="223">
        <f>'KiGa - PS'!C182+H181*'KiGa - PS'!L182</f>
        <v>119568.50743308497</v>
      </c>
      <c r="F181" s="223">
        <f t="shared" si="309"/>
        <v>119568.50743308497</v>
      </c>
      <c r="G181" s="224">
        <f t="shared" si="312"/>
        <v>10869.864312098634</v>
      </c>
      <c r="H181" s="223">
        <f>I181-'KiGa - PS'!H182</f>
        <v>289195.50000000006</v>
      </c>
      <c r="I181" s="223">
        <f t="shared" si="310"/>
        <v>748841.8</v>
      </c>
      <c r="J181" s="365">
        <v>759737.8</v>
      </c>
      <c r="K181" s="365">
        <v>0</v>
      </c>
      <c r="L181" s="365">
        <v>0</v>
      </c>
      <c r="M181" s="365">
        <v>10896</v>
      </c>
      <c r="N181" s="365"/>
      <c r="O181" s="365"/>
      <c r="P181" s="365">
        <v>521088.75</v>
      </c>
      <c r="Q181" s="27">
        <f t="shared" si="311"/>
        <v>510192.75</v>
      </c>
      <c r="R181" s="223">
        <f>(Q181-'KiGa - PS'!H182)*'KiGa - PS'!L182+'KiGa - PS'!C182</f>
        <v>81463.114933863282</v>
      </c>
      <c r="S181" s="226">
        <f t="shared" si="293"/>
        <v>0.68130912296829582</v>
      </c>
      <c r="T181" s="223">
        <f t="shared" si="294"/>
        <v>81463.114933863282</v>
      </c>
      <c r="U181" s="224">
        <f t="shared" si="295"/>
        <v>7405.7377212602987</v>
      </c>
      <c r="V181" s="365">
        <v>26768.2</v>
      </c>
      <c r="W181" s="223">
        <f>V181*'KiGa - PS'!L182</f>
        <v>4274.1119962458097</v>
      </c>
      <c r="X181" s="226">
        <f t="shared" si="296"/>
        <v>3.5746134897918364E-2</v>
      </c>
      <c r="Y181" s="223">
        <f t="shared" si="297"/>
        <v>4274.1119962458097</v>
      </c>
      <c r="Z181" s="224">
        <f t="shared" si="313"/>
        <v>388.55563602234633</v>
      </c>
      <c r="AA181" s="365">
        <v>72528.75</v>
      </c>
      <c r="AB181" s="365">
        <v>20297.5</v>
      </c>
      <c r="AC181" s="225">
        <f>Artengliederung!AE181</f>
        <v>73338</v>
      </c>
      <c r="AD181" s="223">
        <f>AC181*'KiGa - PS'!L182</f>
        <v>11709.970247557743</v>
      </c>
      <c r="AE181" s="226">
        <f t="shared" si="314"/>
        <v>9.7935238123726537E-2</v>
      </c>
      <c r="AF181" s="223">
        <f t="shared" si="298"/>
        <v>11709.970247557743</v>
      </c>
      <c r="AG181" s="224">
        <f t="shared" si="299"/>
        <v>1064.5427497779767</v>
      </c>
      <c r="AH181" s="225">
        <f t="shared" ref="AH181:AH196" si="316">AA181-AB181</f>
        <v>52231.25</v>
      </c>
      <c r="AI181" s="223">
        <f>AH181*'KiGa - PS'!L182</f>
        <v>8339.8290585065097</v>
      </c>
      <c r="AJ181" s="226">
        <f t="shared" si="300"/>
        <v>6.9749378306606283E-2</v>
      </c>
      <c r="AK181" s="223">
        <f t="shared" si="301"/>
        <v>8339.8290585065097</v>
      </c>
      <c r="AL181" s="224">
        <f t="shared" si="302"/>
        <v>758.16627804604639</v>
      </c>
      <c r="AM181" s="365">
        <v>1179.4000000000001</v>
      </c>
      <c r="AN181" s="223">
        <f>AM181*'KiGa - PS'!L182</f>
        <v>188.31627410032456</v>
      </c>
      <c r="AO181" s="226">
        <f t="shared" si="303"/>
        <v>1.5749655000562202E-3</v>
      </c>
      <c r="AP181" s="223">
        <f t="shared" si="304"/>
        <v>188.31627410032456</v>
      </c>
      <c r="AQ181" s="224">
        <f t="shared" si="315"/>
        <v>17.119661281847687</v>
      </c>
      <c r="AR181" s="223">
        <f>Artengliederung!X181*'KiGa - PS'!L182</f>
        <v>7119.5654690791598</v>
      </c>
      <c r="AS181" s="226">
        <f t="shared" si="305"/>
        <v>5.9543818200319475E-2</v>
      </c>
      <c r="AT181" s="223">
        <f t="shared" si="306"/>
        <v>7119.5654690791598</v>
      </c>
      <c r="AU181" s="223">
        <f t="shared" si="307"/>
        <v>647.23322446174177</v>
      </c>
      <c r="AV181" s="227">
        <f t="shared" si="308"/>
        <v>5.4141342003077346E-2</v>
      </c>
    </row>
    <row r="182" spans="1:48" x14ac:dyDescent="0.25">
      <c r="A182" s="365" t="s">
        <v>140</v>
      </c>
      <c r="B182" s="365" t="s">
        <v>35</v>
      </c>
      <c r="C182" s="328">
        <v>1</v>
      </c>
      <c r="D182" s="328">
        <f>Kennzahlen!D60</f>
        <v>43</v>
      </c>
      <c r="E182" s="223">
        <f>'KiGa - PS'!C183+H182*'KiGa - PS'!L183</f>
        <v>200037.86469232923</v>
      </c>
      <c r="F182" s="223">
        <f t="shared" si="309"/>
        <v>200037.86469232923</v>
      </c>
      <c r="G182" s="224">
        <f t="shared" si="312"/>
        <v>4652.0433649378892</v>
      </c>
      <c r="H182" s="223">
        <f>I182-'KiGa - PS'!H183</f>
        <v>460885.50000000012</v>
      </c>
      <c r="I182" s="223">
        <f t="shared" si="310"/>
        <v>1445950.55</v>
      </c>
      <c r="J182" s="365">
        <v>1551408.75</v>
      </c>
      <c r="K182" s="365">
        <v>44806.5</v>
      </c>
      <c r="L182" s="365">
        <v>0</v>
      </c>
      <c r="M182" s="365">
        <v>60651.7</v>
      </c>
      <c r="N182" s="365"/>
      <c r="O182" s="365"/>
      <c r="P182" s="365">
        <v>1008379.75</v>
      </c>
      <c r="Q182" s="27">
        <f t="shared" si="311"/>
        <v>947728.05</v>
      </c>
      <c r="R182" s="223">
        <f>(Q182-'KiGa - PS'!H183)*'KiGa - PS'!L183+'KiGa - PS'!C183</f>
        <v>131112.01861711318</v>
      </c>
      <c r="S182" s="226">
        <f t="shared" ref="S182:S196" si="317">R182/$E182</f>
        <v>0.65543600367246313</v>
      </c>
      <c r="T182" s="223">
        <f t="shared" ref="T182:T196" si="318">R182/C182</f>
        <v>131112.01861711318</v>
      </c>
      <c r="U182" s="224">
        <f t="shared" ref="U182:U196" si="319">R182/D182</f>
        <v>3049.1167120258879</v>
      </c>
      <c r="V182" s="365">
        <v>51346.95</v>
      </c>
      <c r="W182" s="223">
        <f>V182*'KiGa - PS'!L183</f>
        <v>7103.5169470102519</v>
      </c>
      <c r="X182" s="226">
        <f t="shared" ref="X182:X196" si="320">W182/$E182</f>
        <v>3.5510861695788973E-2</v>
      </c>
      <c r="Y182" s="223">
        <f t="shared" ref="Y182:Y196" si="321">W182/C182</f>
        <v>7103.5169470102519</v>
      </c>
      <c r="Z182" s="224">
        <f t="shared" si="313"/>
        <v>165.19806853512213</v>
      </c>
      <c r="AA182" s="365">
        <v>158908.70000000001</v>
      </c>
      <c r="AB182" s="365">
        <v>29927.8</v>
      </c>
      <c r="AC182" s="225">
        <f>Artengliederung!AE182</f>
        <v>117933</v>
      </c>
      <c r="AD182" s="223">
        <f>AC182*'KiGa - PS'!L183</f>
        <v>16315.264375230858</v>
      </c>
      <c r="AE182" s="226">
        <f t="shared" si="314"/>
        <v>8.1560880487925411E-2</v>
      </c>
      <c r="AF182" s="223">
        <f t="shared" ref="AF182:AF196" si="322">AD182/C182</f>
        <v>16315.264375230858</v>
      </c>
      <c r="AG182" s="224">
        <f t="shared" ref="AG182:AG196" si="323">AD182/D182</f>
        <v>379.42475291234553</v>
      </c>
      <c r="AH182" s="225">
        <f t="shared" si="316"/>
        <v>128980.90000000001</v>
      </c>
      <c r="AI182" s="223">
        <f>AH182*'KiGa - PS'!L183</f>
        <v>17843.669565390635</v>
      </c>
      <c r="AJ182" s="226">
        <f t="shared" ref="AJ182:AJ196" si="324">AI182/$E182</f>
        <v>8.9201459897781443E-2</v>
      </c>
      <c r="AK182" s="223">
        <f t="shared" ref="AK182:AK196" si="325">AI182/C182</f>
        <v>17843.669565390635</v>
      </c>
      <c r="AL182" s="224">
        <f t="shared" ref="AL182:AL196" si="326">AI182/D182</f>
        <v>414.96905966024735</v>
      </c>
      <c r="AM182" s="365">
        <v>7738.55</v>
      </c>
      <c r="AN182" s="223">
        <f>AM182*'KiGa - PS'!L183</f>
        <v>1070.5781174984334</v>
      </c>
      <c r="AO182" s="226">
        <f t="shared" ref="AO182:AO196" si="327">AN182/$E182</f>
        <v>5.3518773515456664E-3</v>
      </c>
      <c r="AP182" s="223">
        <f t="shared" ref="AP182:AP196" si="328">AN182/C182</f>
        <v>1070.5781174984334</v>
      </c>
      <c r="AQ182" s="224">
        <f t="shared" si="315"/>
        <v>24.897165523219382</v>
      </c>
      <c r="AR182" s="223">
        <f>Artengliederung!X182*'KiGa - PS'!L183</f>
        <v>9945.1685938152023</v>
      </c>
      <c r="AS182" s="226">
        <f t="shared" ref="AS182:AS196" si="329">AR182/E182</f>
        <v>4.9716430482356404E-2</v>
      </c>
      <c r="AT182" s="223">
        <f t="shared" ref="AT182:AT196" si="330">AR182/C182</f>
        <v>9945.1685938152023</v>
      </c>
      <c r="AU182" s="223">
        <f t="shared" ref="AU182:AU196" si="331">AR182/D182</f>
        <v>231.28299055384193</v>
      </c>
      <c r="AV182" s="227">
        <f t="shared" ref="AV182:AV196" si="332">1-S182-X182-AJ182-AE182-AO182-AS182</f>
        <v>8.3222486412138946E-2</v>
      </c>
    </row>
    <row r="183" spans="1:48" x14ac:dyDescent="0.25">
      <c r="A183" s="365" t="s">
        <v>141</v>
      </c>
      <c r="B183" s="365" t="s">
        <v>35</v>
      </c>
      <c r="C183" s="328">
        <v>1</v>
      </c>
      <c r="D183" s="328">
        <f>Kennzahlen!D61</f>
        <v>19</v>
      </c>
      <c r="E183" s="223">
        <f>'KiGa - PS'!C184+H183*'KiGa - PS'!L184</f>
        <v>116830.52522263382</v>
      </c>
      <c r="F183" s="223">
        <f t="shared" ref="F183:F198" si="333">E183/C183</f>
        <v>116830.52522263382</v>
      </c>
      <c r="G183" s="224">
        <f t="shared" si="312"/>
        <v>6148.975011717569</v>
      </c>
      <c r="H183" s="223">
        <f>I183-'KiGa - PS'!H184</f>
        <v>143942.44999999995</v>
      </c>
      <c r="I183" s="223">
        <f t="shared" si="310"/>
        <v>542376.94999999995</v>
      </c>
      <c r="J183" s="365">
        <v>590524.44999999995</v>
      </c>
      <c r="K183" s="365">
        <v>28299.4</v>
      </c>
      <c r="L183" s="365">
        <v>0</v>
      </c>
      <c r="M183" s="365">
        <v>19848.099999999999</v>
      </c>
      <c r="N183" s="365"/>
      <c r="O183" s="365"/>
      <c r="P183" s="365">
        <v>400282.95</v>
      </c>
      <c r="Q183" s="27">
        <f t="shared" si="311"/>
        <v>380434.85000000003</v>
      </c>
      <c r="R183" s="223">
        <f>(Q183-'KiGa - PS'!H184)*'KiGa - PS'!L184+'KiGa - PS'!C184</f>
        <v>81947.44142149463</v>
      </c>
      <c r="S183" s="226">
        <f t="shared" si="317"/>
        <v>0.70142149293033207</v>
      </c>
      <c r="T183" s="223">
        <f t="shared" si="318"/>
        <v>81947.44142149463</v>
      </c>
      <c r="U183" s="224">
        <f t="shared" si="319"/>
        <v>4313.023232710244</v>
      </c>
      <c r="V183" s="365">
        <v>26348.7</v>
      </c>
      <c r="W183" s="223">
        <f>V183*'KiGa - PS'!L184</f>
        <v>5675.6328968876942</v>
      </c>
      <c r="X183" s="226">
        <f t="shared" si="320"/>
        <v>4.8580051198709687E-2</v>
      </c>
      <c r="Y183" s="223">
        <f t="shared" si="321"/>
        <v>5675.6328968876942</v>
      </c>
      <c r="Z183" s="224">
        <f t="shared" si="313"/>
        <v>298.71752088882602</v>
      </c>
      <c r="AA183" s="365">
        <v>66000.100000000006</v>
      </c>
      <c r="AB183" s="365">
        <v>25369</v>
      </c>
      <c r="AC183" s="225">
        <f>Artengliederung!AE183</f>
        <v>30530</v>
      </c>
      <c r="AD183" s="223">
        <f>AC183*'KiGa - PS'!L184</f>
        <v>6576.3044226842803</v>
      </c>
      <c r="AE183" s="226">
        <f t="shared" si="314"/>
        <v>5.6289265242558707E-2</v>
      </c>
      <c r="AF183" s="223">
        <f t="shared" si="322"/>
        <v>6576.3044226842803</v>
      </c>
      <c r="AG183" s="224">
        <f t="shared" si="323"/>
        <v>346.12128540443581</v>
      </c>
      <c r="AH183" s="225">
        <f t="shared" si="316"/>
        <v>40631.100000000006</v>
      </c>
      <c r="AI183" s="223">
        <f>AH183*'KiGa - PS'!L184</f>
        <v>8752.1284843932954</v>
      </c>
      <c r="AJ183" s="226">
        <f t="shared" si="324"/>
        <v>7.4913028660233458E-2</v>
      </c>
      <c r="AK183" s="223">
        <f t="shared" si="325"/>
        <v>8752.1284843932954</v>
      </c>
      <c r="AL183" s="224">
        <f t="shared" si="326"/>
        <v>460.63834128385764</v>
      </c>
      <c r="AM183" s="365">
        <v>1898.95</v>
      </c>
      <c r="AN183" s="223">
        <f>AM183*'KiGa - PS'!L184</f>
        <v>409.0426886163221</v>
      </c>
      <c r="AO183" s="226">
        <f t="shared" si="327"/>
        <v>3.5011627983084458E-3</v>
      </c>
      <c r="AP183" s="223">
        <f t="shared" si="328"/>
        <v>409.0426886163221</v>
      </c>
      <c r="AQ183" s="224">
        <f t="shared" si="315"/>
        <v>21.528562558753794</v>
      </c>
      <c r="AR183" s="223">
        <f>Artengliederung!X183*'KiGa - PS'!L184</f>
        <v>5256.8862281127767</v>
      </c>
      <c r="AS183" s="226">
        <f t="shared" si="329"/>
        <v>4.4995828085983382E-2</v>
      </c>
      <c r="AT183" s="223">
        <f t="shared" si="330"/>
        <v>5256.8862281127767</v>
      </c>
      <c r="AU183" s="223">
        <f t="shared" si="331"/>
        <v>276.67822253225143</v>
      </c>
      <c r="AV183" s="227">
        <f t="shared" si="332"/>
        <v>7.0299171083874262E-2</v>
      </c>
    </row>
    <row r="184" spans="1:48" x14ac:dyDescent="0.25">
      <c r="A184" s="365" t="s">
        <v>142</v>
      </c>
      <c r="B184" s="365" t="s">
        <v>35</v>
      </c>
      <c r="C184" s="328">
        <v>1</v>
      </c>
      <c r="D184" s="328">
        <f>Kennzahlen!D62</f>
        <v>18</v>
      </c>
      <c r="E184" s="223">
        <f>'KiGa - PS'!C185+H184*'KiGa - PS'!L185</f>
        <v>95131.009123283744</v>
      </c>
      <c r="F184" s="223">
        <f t="shared" si="333"/>
        <v>95131.009123283744</v>
      </c>
      <c r="G184" s="224">
        <f t="shared" si="312"/>
        <v>5285.056062404652</v>
      </c>
      <c r="H184" s="223">
        <f>I184-'KiGa - PS'!H185</f>
        <v>178113.10000000009</v>
      </c>
      <c r="I184" s="223">
        <f t="shared" ref="I184:I199" si="334">J184-K184-L184-M184</f>
        <v>652558.50000000012</v>
      </c>
      <c r="J184" s="365">
        <v>668724.80000000005</v>
      </c>
      <c r="K184" s="365">
        <v>6070.6</v>
      </c>
      <c r="L184" s="365">
        <v>0</v>
      </c>
      <c r="M184" s="365">
        <v>10095.700000000001</v>
      </c>
      <c r="N184" s="365"/>
      <c r="O184" s="365"/>
      <c r="P184" s="365">
        <v>487581.4</v>
      </c>
      <c r="Q184" s="27">
        <f t="shared" ref="Q184:Q199" si="335">P184-M184</f>
        <v>477485.7</v>
      </c>
      <c r="R184" s="223">
        <f>(Q184-'KiGa - PS'!H185)*'KiGa - PS'!L185+'KiGa - PS'!C185</f>
        <v>69608.619737445013</v>
      </c>
      <c r="S184" s="226">
        <f t="shared" si="317"/>
        <v>0.73171324869724297</v>
      </c>
      <c r="T184" s="223">
        <f t="shared" si="318"/>
        <v>69608.619737445013</v>
      </c>
      <c r="U184" s="224">
        <f t="shared" si="319"/>
        <v>3867.1455409691675</v>
      </c>
      <c r="V184" s="365">
        <v>34869.949999999997</v>
      </c>
      <c r="W184" s="223">
        <f>V184*'KiGa - PS'!L185</f>
        <v>5083.3964028948321</v>
      </c>
      <c r="X184" s="226">
        <f t="shared" si="320"/>
        <v>5.3435745607481926E-2</v>
      </c>
      <c r="Y184" s="223">
        <f t="shared" si="321"/>
        <v>5083.3964028948321</v>
      </c>
      <c r="Z184" s="224">
        <f t="shared" si="313"/>
        <v>282.41091127193511</v>
      </c>
      <c r="AA184" s="365">
        <v>97556.6</v>
      </c>
      <c r="AB184" s="365">
        <v>34643</v>
      </c>
      <c r="AC184" s="225">
        <f>Artengliederung!AE184</f>
        <v>17630</v>
      </c>
      <c r="AD184" s="223">
        <f>AC184*'KiGa - PS'!L185</f>
        <v>2570.1292540722284</v>
      </c>
      <c r="AE184" s="226">
        <f t="shared" si="314"/>
        <v>2.7016734898097257E-2</v>
      </c>
      <c r="AF184" s="223">
        <f t="shared" si="322"/>
        <v>2570.1292540722284</v>
      </c>
      <c r="AG184" s="224">
        <f t="shared" si="323"/>
        <v>142.78495855956825</v>
      </c>
      <c r="AH184" s="225">
        <f t="shared" si="316"/>
        <v>62913.600000000006</v>
      </c>
      <c r="AI184" s="223">
        <f>AH184*'KiGa - PS'!L185</f>
        <v>9171.6440067497751</v>
      </c>
      <c r="AJ184" s="226">
        <f t="shared" si="324"/>
        <v>9.6410666629888342E-2</v>
      </c>
      <c r="AK184" s="223">
        <f t="shared" si="325"/>
        <v>9171.6440067497751</v>
      </c>
      <c r="AL184" s="224">
        <f t="shared" si="326"/>
        <v>509.53577815276526</v>
      </c>
      <c r="AM184" s="365">
        <v>2270.1</v>
      </c>
      <c r="AN184" s="223">
        <f>AM184*'KiGa - PS'!L185</f>
        <v>330.93876458703147</v>
      </c>
      <c r="AO184" s="226">
        <f t="shared" si="327"/>
        <v>3.4787685701741676E-3</v>
      </c>
      <c r="AP184" s="223">
        <f t="shared" si="328"/>
        <v>330.93876458703147</v>
      </c>
      <c r="AQ184" s="224">
        <f t="shared" si="315"/>
        <v>18.385486921501748</v>
      </c>
      <c r="AR184" s="223">
        <f>Artengliederung!X184*'KiGa - PS'!L185</f>
        <v>2993.9891977032548</v>
      </c>
      <c r="AS184" s="226">
        <f t="shared" si="329"/>
        <v>3.1472274133276933E-2</v>
      </c>
      <c r="AT184" s="223">
        <f t="shared" si="330"/>
        <v>2993.9891977032548</v>
      </c>
      <c r="AU184" s="223">
        <f t="shared" si="331"/>
        <v>166.33273320573639</v>
      </c>
      <c r="AV184" s="227">
        <f t="shared" si="332"/>
        <v>5.647256146383841E-2</v>
      </c>
    </row>
    <row r="185" spans="1:48" x14ac:dyDescent="0.25">
      <c r="A185" s="365" t="s">
        <v>143</v>
      </c>
      <c r="B185" s="365" t="s">
        <v>35</v>
      </c>
      <c r="C185" s="328">
        <v>1</v>
      </c>
      <c r="D185" s="328">
        <f>Kennzahlen!D63</f>
        <v>21</v>
      </c>
      <c r="E185" s="223">
        <f>'KiGa - PS'!C186+H185*'KiGa - PS'!L186</f>
        <v>118543.24560416165</v>
      </c>
      <c r="F185" s="223">
        <f t="shared" si="333"/>
        <v>118543.24560416165</v>
      </c>
      <c r="G185" s="224">
        <f t="shared" si="312"/>
        <v>5644.9164573410308</v>
      </c>
      <c r="H185" s="223">
        <f>I185-'KiGa - PS'!H186</f>
        <v>143997.39999999991</v>
      </c>
      <c r="I185" s="223">
        <f t="shared" si="334"/>
        <v>534937.04999999993</v>
      </c>
      <c r="J185" s="365">
        <v>571332.65</v>
      </c>
      <c r="K185" s="365">
        <v>3180.3</v>
      </c>
      <c r="L185" s="365">
        <v>0</v>
      </c>
      <c r="M185" s="365">
        <v>33215.300000000003</v>
      </c>
      <c r="N185" s="365"/>
      <c r="O185" s="365"/>
      <c r="P185" s="365">
        <v>440007.55</v>
      </c>
      <c r="Q185" s="27">
        <f t="shared" si="335"/>
        <v>406792.25</v>
      </c>
      <c r="R185" s="223">
        <f>(Q185-'KiGa - PS'!H186)*'KiGa - PS'!L186+'KiGa - PS'!C186</f>
        <v>90146.071582851728</v>
      </c>
      <c r="S185" s="226">
        <f t="shared" si="317"/>
        <v>0.76044882290355487</v>
      </c>
      <c r="T185" s="223">
        <f t="shared" si="318"/>
        <v>90146.071582851728</v>
      </c>
      <c r="U185" s="224">
        <f t="shared" si="319"/>
        <v>4292.6700753738914</v>
      </c>
      <c r="V185" s="365">
        <v>37918.25</v>
      </c>
      <c r="W185" s="223">
        <f>V185*'KiGa - PS'!L186</f>
        <v>8402.7689288487363</v>
      </c>
      <c r="X185" s="226">
        <f t="shared" si="320"/>
        <v>7.0883574057919535E-2</v>
      </c>
      <c r="Y185" s="223">
        <f t="shared" si="321"/>
        <v>8402.7689288487363</v>
      </c>
      <c r="Z185" s="224">
        <f t="shared" si="313"/>
        <v>400.13185375470175</v>
      </c>
      <c r="AA185" s="365">
        <v>20823.599999999999</v>
      </c>
      <c r="AB185" s="365">
        <v>5040</v>
      </c>
      <c r="AC185" s="225">
        <f>Artengliederung!AE185</f>
        <v>5075.45</v>
      </c>
      <c r="AD185" s="223">
        <f>AC185*'KiGa - PS'!L186</f>
        <v>1124.7310611625094</v>
      </c>
      <c r="AE185" s="226">
        <f t="shared" si="314"/>
        <v>9.487938814482939E-3</v>
      </c>
      <c r="AF185" s="223">
        <f t="shared" si="322"/>
        <v>1124.7310611625094</v>
      </c>
      <c r="AG185" s="224">
        <f t="shared" si="323"/>
        <v>53.558621960119495</v>
      </c>
      <c r="AH185" s="225">
        <f t="shared" si="316"/>
        <v>15783.599999999999</v>
      </c>
      <c r="AI185" s="223">
        <f>AH185*'KiGa - PS'!L186</f>
        <v>3497.6810286702816</v>
      </c>
      <c r="AJ185" s="226">
        <f t="shared" si="324"/>
        <v>2.9505527799953284E-2</v>
      </c>
      <c r="AK185" s="223">
        <f t="shared" si="325"/>
        <v>3497.6810286702816</v>
      </c>
      <c r="AL185" s="224">
        <f t="shared" si="326"/>
        <v>166.55623946048959</v>
      </c>
      <c r="AM185" s="365">
        <v>1656.2</v>
      </c>
      <c r="AN185" s="223">
        <f>AM185*'KiGa - PS'!L186</f>
        <v>367.01762080157386</v>
      </c>
      <c r="AO185" s="226">
        <f t="shared" si="327"/>
        <v>3.0960652286096098E-3</v>
      </c>
      <c r="AP185" s="223">
        <f t="shared" si="328"/>
        <v>367.01762080157386</v>
      </c>
      <c r="AQ185" s="224">
        <f t="shared" si="315"/>
        <v>17.477029561979709</v>
      </c>
      <c r="AR185" s="223">
        <f>Artengliederung!X185*'KiGa - PS'!L186</f>
        <v>711.58693524691091</v>
      </c>
      <c r="AS185" s="226">
        <f t="shared" si="329"/>
        <v>6.0027623811063384E-3</v>
      </c>
      <c r="AT185" s="223">
        <f t="shared" si="330"/>
        <v>711.58693524691091</v>
      </c>
      <c r="AU185" s="223">
        <f t="shared" si="331"/>
        <v>33.885092154614803</v>
      </c>
      <c r="AV185" s="227">
        <f t="shared" si="332"/>
        <v>0.12057530881437345</v>
      </c>
    </row>
    <row r="186" spans="1:48" x14ac:dyDescent="0.25">
      <c r="A186" s="365" t="s">
        <v>144</v>
      </c>
      <c r="B186" s="365" t="s">
        <v>35</v>
      </c>
      <c r="C186" s="328">
        <v>1</v>
      </c>
      <c r="D186" s="328">
        <f>Kennzahlen!D64</f>
        <v>11</v>
      </c>
      <c r="E186" s="223">
        <f>'KiGa - PS'!C187+H186*'KiGa - PS'!L187</f>
        <v>160406.7184135908</v>
      </c>
      <c r="F186" s="223">
        <f t="shared" si="333"/>
        <v>160406.7184135908</v>
      </c>
      <c r="G186" s="224">
        <f t="shared" si="312"/>
        <v>14582.428946690074</v>
      </c>
      <c r="H186" s="223">
        <f>I186-'KiGa - PS'!H187</f>
        <v>213545.39999999997</v>
      </c>
      <c r="I186" s="223">
        <f t="shared" si="334"/>
        <v>572812.1</v>
      </c>
      <c r="J186" s="365">
        <v>623049.6</v>
      </c>
      <c r="K186" s="365">
        <v>1034.5</v>
      </c>
      <c r="L186" s="365">
        <v>0</v>
      </c>
      <c r="M186" s="365">
        <v>49203</v>
      </c>
      <c r="N186" s="365"/>
      <c r="O186" s="365"/>
      <c r="P186" s="365">
        <v>433380.25</v>
      </c>
      <c r="Q186" s="27">
        <f t="shared" si="335"/>
        <v>384177.25</v>
      </c>
      <c r="R186" s="223">
        <f>(Q186-'KiGa - PS'!H187)*'KiGa - PS'!L187+'KiGa - PS'!C187</f>
        <v>107582.59464431298</v>
      </c>
      <c r="S186" s="226">
        <f t="shared" si="317"/>
        <v>0.67068633850437165</v>
      </c>
      <c r="T186" s="223">
        <f t="shared" si="318"/>
        <v>107582.59464431298</v>
      </c>
      <c r="U186" s="224">
        <f t="shared" si="319"/>
        <v>9780.2358767557253</v>
      </c>
      <c r="V186" s="365">
        <v>35009.25</v>
      </c>
      <c r="W186" s="223">
        <f>V186*'KiGa - PS'!L187</f>
        <v>9803.7714402698602</v>
      </c>
      <c r="X186" s="226">
        <f t="shared" si="320"/>
        <v>6.1118209618826129E-2</v>
      </c>
      <c r="Y186" s="223">
        <f t="shared" si="321"/>
        <v>9803.7714402698602</v>
      </c>
      <c r="Z186" s="224">
        <f t="shared" si="313"/>
        <v>891.25194911544179</v>
      </c>
      <c r="AA186" s="365">
        <v>51666.1</v>
      </c>
      <c r="AB186" s="365">
        <v>0</v>
      </c>
      <c r="AC186" s="225">
        <f>Artengliederung!AE186</f>
        <v>24672.05</v>
      </c>
      <c r="AD186" s="223">
        <f>AC186*'KiGa - PS'!L187</f>
        <v>6909.0065957685474</v>
      </c>
      <c r="AE186" s="226">
        <f t="shared" si="314"/>
        <v>4.307180312706383E-2</v>
      </c>
      <c r="AF186" s="223">
        <f t="shared" si="322"/>
        <v>6909.0065957685474</v>
      </c>
      <c r="AG186" s="224">
        <f t="shared" si="323"/>
        <v>628.09150870623159</v>
      </c>
      <c r="AH186" s="225">
        <f t="shared" si="316"/>
        <v>51666.1</v>
      </c>
      <c r="AI186" s="223">
        <f>AH186*'KiGa - PS'!L187</f>
        <v>14468.251550950867</v>
      </c>
      <c r="AJ186" s="226">
        <f t="shared" si="324"/>
        <v>9.0197291572576763E-2</v>
      </c>
      <c r="AK186" s="223">
        <f t="shared" si="325"/>
        <v>14468.251550950867</v>
      </c>
      <c r="AL186" s="224">
        <f t="shared" si="326"/>
        <v>1315.295595540988</v>
      </c>
      <c r="AM186" s="365">
        <v>3512.25</v>
      </c>
      <c r="AN186" s="223">
        <f>AM186*'KiGa - PS'!L187</f>
        <v>983.54852620629742</v>
      </c>
      <c r="AO186" s="226">
        <f t="shared" si="327"/>
        <v>6.1315918431192355E-3</v>
      </c>
      <c r="AP186" s="223">
        <f t="shared" si="328"/>
        <v>983.54852620629742</v>
      </c>
      <c r="AQ186" s="224">
        <f t="shared" si="315"/>
        <v>89.413502382390675</v>
      </c>
      <c r="AR186" s="223">
        <f>Artengliederung!X186*'KiGa - PS'!L187</f>
        <v>7273.9185708555797</v>
      </c>
      <c r="AS186" s="226">
        <f t="shared" si="329"/>
        <v>4.5346720154829136E-2</v>
      </c>
      <c r="AT186" s="223">
        <f t="shared" si="330"/>
        <v>7273.9185708555797</v>
      </c>
      <c r="AU186" s="223">
        <f t="shared" si="331"/>
        <v>661.26532462323451</v>
      </c>
      <c r="AV186" s="227">
        <f t="shared" si="332"/>
        <v>8.3448045179213254E-2</v>
      </c>
    </row>
    <row r="187" spans="1:48" x14ac:dyDescent="0.25">
      <c r="A187" s="365" t="s">
        <v>145</v>
      </c>
      <c r="B187" s="365" t="s">
        <v>35</v>
      </c>
      <c r="C187" s="328">
        <v>1</v>
      </c>
      <c r="D187" s="328">
        <f>Kennzahlen!D65</f>
        <v>26</v>
      </c>
      <c r="E187" s="223">
        <f>'KiGa - PS'!C188+H187*'KiGa - PS'!L188</f>
        <v>157878.92746150002</v>
      </c>
      <c r="F187" s="223">
        <f t="shared" si="333"/>
        <v>157878.92746150002</v>
      </c>
      <c r="G187" s="224">
        <f t="shared" si="312"/>
        <v>6072.2664408269238</v>
      </c>
      <c r="H187" s="223">
        <f>I187-'KiGa - PS'!H188</f>
        <v>564273.5</v>
      </c>
      <c r="I187" s="223">
        <f t="shared" si="334"/>
        <v>1143848.45</v>
      </c>
      <c r="J187" s="365">
        <v>1178577.45</v>
      </c>
      <c r="K187" s="365">
        <v>20426</v>
      </c>
      <c r="L187" s="365">
        <v>0</v>
      </c>
      <c r="M187" s="365">
        <v>14303</v>
      </c>
      <c r="N187" s="365"/>
      <c r="O187" s="365"/>
      <c r="P187" s="365">
        <v>632990.44999999995</v>
      </c>
      <c r="Q187" s="27">
        <f t="shared" si="335"/>
        <v>618687.44999999995</v>
      </c>
      <c r="R187" s="223">
        <f>(Q187-'KiGa - PS'!H188)*'KiGa - PS'!L188+'KiGa - PS'!C188</f>
        <v>85393.927001335192</v>
      </c>
      <c r="S187" s="226">
        <f t="shared" si="317"/>
        <v>0.54088236077078211</v>
      </c>
      <c r="T187" s="223">
        <f t="shared" si="318"/>
        <v>85393.927001335192</v>
      </c>
      <c r="U187" s="224">
        <f t="shared" si="319"/>
        <v>3284.3818077436613</v>
      </c>
      <c r="V187" s="365">
        <v>48243.75</v>
      </c>
      <c r="W187" s="223">
        <f>V187*'KiGa - PS'!L188</f>
        <v>6658.8117566804785</v>
      </c>
      <c r="X187" s="226">
        <f t="shared" si="320"/>
        <v>4.2176697446239496E-2</v>
      </c>
      <c r="Y187" s="223">
        <f t="shared" si="321"/>
        <v>6658.8117566804785</v>
      </c>
      <c r="Z187" s="224">
        <f t="shared" si="313"/>
        <v>256.10814448771072</v>
      </c>
      <c r="AA187" s="365">
        <v>147421.35</v>
      </c>
      <c r="AB187" s="365">
        <v>39992</v>
      </c>
      <c r="AC187" s="225">
        <f>Artengliederung!AE187</f>
        <v>136213</v>
      </c>
      <c r="AD187" s="223">
        <f>AC187*'KiGa - PS'!L188</f>
        <v>18800.709435164514</v>
      </c>
      <c r="AE187" s="226">
        <f t="shared" si="314"/>
        <v>0.11908308307800743</v>
      </c>
      <c r="AF187" s="223">
        <f t="shared" si="322"/>
        <v>18800.709435164514</v>
      </c>
      <c r="AG187" s="224">
        <f t="shared" si="323"/>
        <v>723.10420904478894</v>
      </c>
      <c r="AH187" s="225">
        <f t="shared" si="316"/>
        <v>107429.35</v>
      </c>
      <c r="AI187" s="223">
        <f>AH187*'KiGa - PS'!L188</f>
        <v>14827.865138853052</v>
      </c>
      <c r="AJ187" s="226">
        <f t="shared" si="324"/>
        <v>9.3919216308768885E-2</v>
      </c>
      <c r="AK187" s="223">
        <f t="shared" si="325"/>
        <v>14827.865138853052</v>
      </c>
      <c r="AL187" s="224">
        <f t="shared" si="326"/>
        <v>570.30250534050197</v>
      </c>
      <c r="AM187" s="365">
        <v>5705.3</v>
      </c>
      <c r="AN187" s="223">
        <f>AM187*'KiGa - PS'!L188</f>
        <v>787.47026745203539</v>
      </c>
      <c r="AO187" s="226">
        <f t="shared" si="327"/>
        <v>4.9878111038223639E-3</v>
      </c>
      <c r="AP187" s="223">
        <f t="shared" si="328"/>
        <v>787.47026745203539</v>
      </c>
      <c r="AQ187" s="224">
        <f t="shared" si="315"/>
        <v>30.287317978924438</v>
      </c>
      <c r="AR187" s="223">
        <f>Artengliederung!X187*'KiGa - PS'!L188</f>
        <v>13029.497703446294</v>
      </c>
      <c r="AS187" s="226">
        <f t="shared" si="329"/>
        <v>8.2528415368312125E-2</v>
      </c>
      <c r="AT187" s="223">
        <f t="shared" si="330"/>
        <v>13029.497703446294</v>
      </c>
      <c r="AU187" s="223">
        <f t="shared" si="331"/>
        <v>501.13452705562668</v>
      </c>
      <c r="AV187" s="227">
        <f t="shared" si="332"/>
        <v>0.11642241592406763</v>
      </c>
    </row>
    <row r="188" spans="1:48" x14ac:dyDescent="0.25">
      <c r="A188" s="365" t="s">
        <v>146</v>
      </c>
      <c r="B188" s="365" t="s">
        <v>35</v>
      </c>
      <c r="C188" s="328">
        <v>1</v>
      </c>
      <c r="D188" s="328">
        <f>Kennzahlen!D66</f>
        <v>18</v>
      </c>
      <c r="E188" s="223">
        <f>'KiGa - PS'!C189+H188*'KiGa - PS'!L189</f>
        <v>217065.74530950584</v>
      </c>
      <c r="F188" s="223">
        <f t="shared" si="333"/>
        <v>217065.74530950584</v>
      </c>
      <c r="G188" s="224">
        <f t="shared" si="312"/>
        <v>12059.208072750325</v>
      </c>
      <c r="H188" s="223">
        <f>I188-'KiGa - PS'!H189</f>
        <v>362956.25</v>
      </c>
      <c r="I188" s="223">
        <f t="shared" si="334"/>
        <v>872259.2</v>
      </c>
      <c r="J188" s="365">
        <v>925585.65</v>
      </c>
      <c r="K188" s="365">
        <v>14222.8</v>
      </c>
      <c r="L188" s="365">
        <v>0</v>
      </c>
      <c r="M188" s="365">
        <v>39103.65</v>
      </c>
      <c r="N188" s="365"/>
      <c r="O188" s="365"/>
      <c r="P188" s="365">
        <v>619674.55000000005</v>
      </c>
      <c r="Q188" s="27">
        <f t="shared" si="335"/>
        <v>580570.9</v>
      </c>
      <c r="R188" s="223">
        <f>(Q188-'KiGa - PS'!H189)*'KiGa - PS'!L189+'KiGa - PS'!C189</f>
        <v>144477.75972269551</v>
      </c>
      <c r="S188" s="226">
        <f t="shared" si="317"/>
        <v>0.66559447008412187</v>
      </c>
      <c r="T188" s="223">
        <f t="shared" si="318"/>
        <v>144477.75972269551</v>
      </c>
      <c r="U188" s="224">
        <f t="shared" si="319"/>
        <v>8026.5422068164171</v>
      </c>
      <c r="V188" s="365">
        <v>30703.55</v>
      </c>
      <c r="W188" s="223">
        <f>V188*'KiGa - PS'!L189</f>
        <v>7640.7207449318721</v>
      </c>
      <c r="X188" s="226">
        <f t="shared" si="320"/>
        <v>3.5200029991085222E-2</v>
      </c>
      <c r="Y188" s="223">
        <f t="shared" si="321"/>
        <v>7640.7207449318721</v>
      </c>
      <c r="Z188" s="224">
        <f t="shared" si="313"/>
        <v>424.48448582954848</v>
      </c>
      <c r="AA188" s="365">
        <v>143285.75</v>
      </c>
      <c r="AB188" s="365">
        <v>18528.5</v>
      </c>
      <c r="AC188" s="225">
        <f>Artengliederung!AE188</f>
        <v>47245</v>
      </c>
      <c r="AD188" s="223">
        <f>AC188*'KiGa - PS'!L189</f>
        <v>11757.137255929894</v>
      </c>
      <c r="AE188" s="226">
        <f t="shared" si="314"/>
        <v>5.4163945762910851E-2</v>
      </c>
      <c r="AF188" s="223">
        <f t="shared" si="322"/>
        <v>11757.137255929894</v>
      </c>
      <c r="AG188" s="224">
        <f t="shared" si="323"/>
        <v>653.17429199610524</v>
      </c>
      <c r="AH188" s="225">
        <f t="shared" si="316"/>
        <v>124757.25</v>
      </c>
      <c r="AI188" s="223">
        <f>AH188*'KiGa - PS'!L189</f>
        <v>31046.419979307011</v>
      </c>
      <c r="AJ188" s="226">
        <f t="shared" si="324"/>
        <v>0.14302772616213164</v>
      </c>
      <c r="AK188" s="223">
        <f t="shared" si="325"/>
        <v>31046.419979307011</v>
      </c>
      <c r="AL188" s="224">
        <f t="shared" si="326"/>
        <v>1724.8011099615005</v>
      </c>
      <c r="AM188" s="365">
        <v>3699.7</v>
      </c>
      <c r="AN188" s="223">
        <f>AM188*'KiGa - PS'!L189</f>
        <v>920.68749509501174</v>
      </c>
      <c r="AO188" s="226">
        <f t="shared" si="327"/>
        <v>4.2415144489161023E-3</v>
      </c>
      <c r="AP188" s="223">
        <f t="shared" si="328"/>
        <v>920.68749509501174</v>
      </c>
      <c r="AQ188" s="224">
        <f t="shared" si="315"/>
        <v>51.149305283056208</v>
      </c>
      <c r="AR188" s="223">
        <f>Artengliederung!X188*'KiGa - PS'!L189</f>
        <v>11686.835821390785</v>
      </c>
      <c r="AS188" s="226">
        <f t="shared" si="329"/>
        <v>5.384007414309875E-2</v>
      </c>
      <c r="AT188" s="223">
        <f t="shared" si="330"/>
        <v>11686.835821390785</v>
      </c>
      <c r="AU188" s="223">
        <f t="shared" si="331"/>
        <v>649.26865674393252</v>
      </c>
      <c r="AV188" s="227">
        <f t="shared" si="332"/>
        <v>4.3932239407735559E-2</v>
      </c>
    </row>
    <row r="189" spans="1:48" x14ac:dyDescent="0.25">
      <c r="A189" s="365" t="s">
        <v>147</v>
      </c>
      <c r="B189" s="365" t="s">
        <v>35</v>
      </c>
      <c r="C189" s="328">
        <v>2</v>
      </c>
      <c r="D189" s="328">
        <f>Kennzahlen!D67</f>
        <v>29</v>
      </c>
      <c r="E189" s="223">
        <f>'KiGa - PS'!C190+H189*'KiGa - PS'!L190</f>
        <v>219300.37309891754</v>
      </c>
      <c r="F189" s="223">
        <f t="shared" si="333"/>
        <v>109650.18654945877</v>
      </c>
      <c r="G189" s="224">
        <f t="shared" si="312"/>
        <v>7562.0818309971564</v>
      </c>
      <c r="H189" s="223">
        <f>I189-'KiGa - PS'!H190</f>
        <v>338962.11999999988</v>
      </c>
      <c r="I189" s="223">
        <f t="shared" si="334"/>
        <v>1087059.5999999999</v>
      </c>
      <c r="J189" s="365">
        <v>1135675.75</v>
      </c>
      <c r="K189" s="365">
        <v>24415.1</v>
      </c>
      <c r="L189" s="365">
        <v>0</v>
      </c>
      <c r="M189" s="365">
        <v>24201.05</v>
      </c>
      <c r="N189" s="365"/>
      <c r="O189" s="365"/>
      <c r="P189" s="365">
        <v>773834.63</v>
      </c>
      <c r="Q189" s="27">
        <f t="shared" si="335"/>
        <v>749633.58</v>
      </c>
      <c r="R189" s="223">
        <f>(Q189-'KiGa - PS'!H190)*'KiGa - PS'!L190+'KiGa - PS'!C190</f>
        <v>151228.98853151864</v>
      </c>
      <c r="S189" s="226">
        <f t="shared" si="317"/>
        <v>0.68959749769009904</v>
      </c>
      <c r="T189" s="223">
        <f t="shared" si="318"/>
        <v>75614.49426575932</v>
      </c>
      <c r="U189" s="224">
        <f t="shared" si="319"/>
        <v>5214.7927079834017</v>
      </c>
      <c r="V189" s="365">
        <v>60448.7</v>
      </c>
      <c r="W189" s="223">
        <f>V189*'KiGa - PS'!L190</f>
        <v>12194.752213535059</v>
      </c>
      <c r="X189" s="226">
        <f t="shared" si="320"/>
        <v>5.5607530626655612E-2</v>
      </c>
      <c r="Y189" s="223">
        <f t="shared" si="321"/>
        <v>6097.3761067675296</v>
      </c>
      <c r="Z189" s="224">
        <f t="shared" si="313"/>
        <v>420.50869701845033</v>
      </c>
      <c r="AA189" s="365">
        <v>158457.15</v>
      </c>
      <c r="AB189" s="365">
        <v>29790.35</v>
      </c>
      <c r="AC189" s="225">
        <f>Artengliederung!AE189</f>
        <v>89161</v>
      </c>
      <c r="AD189" s="223">
        <f>AC189*'KiGa - PS'!L190</f>
        <v>17987.091568735133</v>
      </c>
      <c r="AE189" s="226">
        <f t="shared" si="314"/>
        <v>8.2020341846941971E-2</v>
      </c>
      <c r="AF189" s="223">
        <f t="shared" si="322"/>
        <v>8993.5457843675667</v>
      </c>
      <c r="AG189" s="224">
        <f t="shared" si="323"/>
        <v>620.24453685293565</v>
      </c>
      <c r="AH189" s="225">
        <f t="shared" si="316"/>
        <v>128666.79999999999</v>
      </c>
      <c r="AI189" s="223">
        <f>AH189*'KiGa - PS'!L190</f>
        <v>25956.881522819724</v>
      </c>
      <c r="AJ189" s="226">
        <f t="shared" si="324"/>
        <v>0.11836223147286495</v>
      </c>
      <c r="AK189" s="223">
        <f t="shared" si="325"/>
        <v>12978.440761409862</v>
      </c>
      <c r="AL189" s="224">
        <f t="shared" si="326"/>
        <v>895.06488009723182</v>
      </c>
      <c r="AM189" s="365">
        <v>3214.4</v>
      </c>
      <c r="AN189" s="223">
        <f>AM189*'KiGa - PS'!L190</f>
        <v>648.46409459900872</v>
      </c>
      <c r="AO189" s="226">
        <f t="shared" si="327"/>
        <v>2.9569675848499935E-3</v>
      </c>
      <c r="AP189" s="223">
        <f t="shared" si="328"/>
        <v>324.23204729950436</v>
      </c>
      <c r="AQ189" s="224">
        <f t="shared" si="315"/>
        <v>22.36083084824168</v>
      </c>
      <c r="AR189" s="223">
        <f>Artengliederung!X189*'KiGa - PS'!L190</f>
        <v>2369.5750328352933</v>
      </c>
      <c r="AS189" s="226">
        <f t="shared" si="329"/>
        <v>1.0805157325320527E-2</v>
      </c>
      <c r="AT189" s="223">
        <f t="shared" si="330"/>
        <v>1184.7875164176467</v>
      </c>
      <c r="AU189" s="223">
        <f t="shared" si="331"/>
        <v>81.709483890872178</v>
      </c>
      <c r="AV189" s="227">
        <f t="shared" si="332"/>
        <v>4.0650273453267882E-2</v>
      </c>
    </row>
    <row r="190" spans="1:48" x14ac:dyDescent="0.25">
      <c r="A190" s="365" t="s">
        <v>148</v>
      </c>
      <c r="B190" s="365" t="s">
        <v>35</v>
      </c>
      <c r="C190" s="328">
        <v>1</v>
      </c>
      <c r="D190" s="328">
        <f>Kennzahlen!D68</f>
        <v>25</v>
      </c>
      <c r="E190" s="223">
        <f>'KiGa - PS'!C191+H190*'KiGa - PS'!L191</f>
        <v>135044.79393846306</v>
      </c>
      <c r="F190" s="223">
        <f t="shared" si="333"/>
        <v>135044.79393846306</v>
      </c>
      <c r="G190" s="224">
        <f t="shared" si="312"/>
        <v>5401.7917575385227</v>
      </c>
      <c r="H190" s="223">
        <f>I190-'KiGa - PS'!H191</f>
        <v>575132.85000000009</v>
      </c>
      <c r="I190" s="223">
        <f t="shared" si="334"/>
        <v>1193627.8</v>
      </c>
      <c r="J190" s="365">
        <v>1256277.7</v>
      </c>
      <c r="K190" s="365">
        <v>55700.65</v>
      </c>
      <c r="L190" s="365">
        <v>0</v>
      </c>
      <c r="M190" s="365">
        <v>6949.25</v>
      </c>
      <c r="N190" s="365"/>
      <c r="O190" s="365"/>
      <c r="P190" s="365">
        <v>726018.95</v>
      </c>
      <c r="Q190" s="27">
        <f t="shared" si="335"/>
        <v>719069.7</v>
      </c>
      <c r="R190" s="223">
        <f>(Q190-'KiGa - PS'!H191)*'KiGa - PS'!L191+'KiGa - PS'!C191</f>
        <v>81354.187179531553</v>
      </c>
      <c r="S190" s="226">
        <f t="shared" si="317"/>
        <v>0.60242372035906</v>
      </c>
      <c r="T190" s="223">
        <f t="shared" si="318"/>
        <v>81354.187179531553</v>
      </c>
      <c r="U190" s="224">
        <f t="shared" si="319"/>
        <v>3254.167487181262</v>
      </c>
      <c r="V190" s="365">
        <v>45305.7</v>
      </c>
      <c r="W190" s="223">
        <f>V190*'KiGa - PS'!L191</f>
        <v>5125.8012931148432</v>
      </c>
      <c r="X190" s="226">
        <f t="shared" si="320"/>
        <v>3.795630430189377E-2</v>
      </c>
      <c r="Y190" s="223">
        <f t="shared" si="321"/>
        <v>5125.8012931148432</v>
      </c>
      <c r="Z190" s="224">
        <f t="shared" si="313"/>
        <v>205.03205172459374</v>
      </c>
      <c r="AA190" s="365">
        <v>230090.55</v>
      </c>
      <c r="AB190" s="365">
        <v>147458.95000000001</v>
      </c>
      <c r="AC190" s="225">
        <f>Artengliederung!AE190</f>
        <v>123000</v>
      </c>
      <c r="AD190" s="223">
        <f>AC190*'KiGa - PS'!L191</f>
        <v>13915.987592137981</v>
      </c>
      <c r="AE190" s="226">
        <f t="shared" si="314"/>
        <v>0.10304719779482348</v>
      </c>
      <c r="AF190" s="223">
        <f t="shared" si="322"/>
        <v>13915.987592137981</v>
      </c>
      <c r="AG190" s="224">
        <f t="shared" si="323"/>
        <v>556.63950368551923</v>
      </c>
      <c r="AH190" s="225">
        <f t="shared" si="316"/>
        <v>82631.599999999977</v>
      </c>
      <c r="AI190" s="223">
        <f>AH190*'KiGa - PS'!L191</f>
        <v>9348.7830920203942</v>
      </c>
      <c r="AJ190" s="226">
        <f t="shared" si="324"/>
        <v>6.9227275034981564E-2</v>
      </c>
      <c r="AK190" s="223">
        <f t="shared" si="325"/>
        <v>9348.7830920203942</v>
      </c>
      <c r="AL190" s="224">
        <f t="shared" si="326"/>
        <v>373.95132368081579</v>
      </c>
      <c r="AM190" s="365">
        <v>3889.85</v>
      </c>
      <c r="AN190" s="223">
        <f>AM190*'KiGa - PS'!L191</f>
        <v>440.09027914860098</v>
      </c>
      <c r="AO190" s="226">
        <f t="shared" si="327"/>
        <v>3.2588466857088948E-3</v>
      </c>
      <c r="AP190" s="223">
        <f t="shared" si="328"/>
        <v>440.09027914860098</v>
      </c>
      <c r="AQ190" s="224">
        <f t="shared" si="315"/>
        <v>17.603611165944038</v>
      </c>
      <c r="AR190" s="223">
        <f>Artengliederung!X190*'KiGa - PS'!L191</f>
        <v>7868.054129350613</v>
      </c>
      <c r="AS190" s="226">
        <f t="shared" si="329"/>
        <v>5.8262550520354839E-2</v>
      </c>
      <c r="AT190" s="223">
        <f t="shared" si="330"/>
        <v>7868.054129350613</v>
      </c>
      <c r="AU190" s="223">
        <f t="shared" si="331"/>
        <v>314.7221651740245</v>
      </c>
      <c r="AV190" s="227">
        <f t="shared" si="332"/>
        <v>0.12582410530317747</v>
      </c>
    </row>
    <row r="191" spans="1:48" x14ac:dyDescent="0.25">
      <c r="A191" s="365" t="s">
        <v>149</v>
      </c>
      <c r="B191" s="365" t="s">
        <v>35</v>
      </c>
      <c r="C191" s="328">
        <v>0</v>
      </c>
      <c r="D191" s="328"/>
      <c r="E191" s="223"/>
      <c r="F191" s="223"/>
      <c r="G191" s="224"/>
      <c r="H191" s="223"/>
      <c r="I191" s="223"/>
      <c r="J191" s="365"/>
      <c r="K191" s="365"/>
      <c r="L191" s="365"/>
      <c r="M191" s="365"/>
      <c r="N191" s="365"/>
      <c r="O191" s="365"/>
      <c r="P191" s="365"/>
      <c r="Q191" s="27"/>
      <c r="R191" s="223"/>
      <c r="S191" s="226"/>
      <c r="T191" s="223"/>
      <c r="U191" s="224"/>
      <c r="V191" s="365"/>
      <c r="W191" s="223"/>
      <c r="X191" s="226"/>
      <c r="Y191" s="223"/>
      <c r="Z191" s="224"/>
      <c r="AA191" s="365"/>
      <c r="AB191" s="365"/>
      <c r="AC191" s="225"/>
      <c r="AD191" s="223"/>
      <c r="AE191" s="226"/>
      <c r="AF191" s="223"/>
      <c r="AG191" s="224"/>
      <c r="AH191" s="225"/>
      <c r="AI191" s="223"/>
      <c r="AJ191" s="226"/>
      <c r="AK191" s="223"/>
      <c r="AL191" s="224"/>
      <c r="AM191" s="365"/>
      <c r="AN191" s="223"/>
      <c r="AO191" s="226"/>
      <c r="AP191" s="223"/>
      <c r="AQ191" s="224"/>
      <c r="AR191" s="223"/>
      <c r="AS191" s="226"/>
      <c r="AT191" s="223"/>
      <c r="AU191" s="223"/>
      <c r="AV191" s="227"/>
    </row>
    <row r="192" spans="1:48" x14ac:dyDescent="0.25">
      <c r="A192" s="365" t="s">
        <v>150</v>
      </c>
      <c r="B192" s="365" t="s">
        <v>35</v>
      </c>
      <c r="C192" s="328">
        <v>1</v>
      </c>
      <c r="D192" s="328">
        <f>Kennzahlen!D70</f>
        <v>23</v>
      </c>
      <c r="E192" s="223">
        <f>'KiGa - PS'!C193+H192*'KiGa - PS'!L193</f>
        <v>171320.23653762543</v>
      </c>
      <c r="F192" s="223">
        <f t="shared" si="333"/>
        <v>171320.23653762543</v>
      </c>
      <c r="G192" s="224">
        <f t="shared" si="312"/>
        <v>7448.705936418497</v>
      </c>
      <c r="H192" s="223">
        <f>I192-'KiGa - PS'!H193</f>
        <v>293357.54999999993</v>
      </c>
      <c r="I192" s="223">
        <f t="shared" si="334"/>
        <v>860563.95</v>
      </c>
      <c r="J192" s="365">
        <v>893791.95</v>
      </c>
      <c r="K192" s="365">
        <v>5282.2</v>
      </c>
      <c r="L192" s="365">
        <v>0</v>
      </c>
      <c r="M192" s="365">
        <v>27945.8</v>
      </c>
      <c r="N192" s="365"/>
      <c r="O192" s="365"/>
      <c r="P192" s="365">
        <v>567456.30000000005</v>
      </c>
      <c r="Q192" s="27">
        <f t="shared" si="335"/>
        <v>539510.5</v>
      </c>
      <c r="R192" s="223">
        <f>(Q192-'KiGa - PS'!H193)*'KiGa - PS'!L193+'KiGa - PS'!C193</f>
        <v>107405.2270892042</v>
      </c>
      <c r="S192" s="226">
        <f t="shared" si="317"/>
        <v>0.62692667988241901</v>
      </c>
      <c r="T192" s="223">
        <f t="shared" si="318"/>
        <v>107405.2270892042</v>
      </c>
      <c r="U192" s="224">
        <f t="shared" si="319"/>
        <v>4669.7924821393126</v>
      </c>
      <c r="V192" s="365">
        <v>38159.949999999997</v>
      </c>
      <c r="W192" s="223">
        <f>V192*'KiGa - PS'!L193</f>
        <v>7596.8458361100993</v>
      </c>
      <c r="X192" s="226">
        <f t="shared" si="320"/>
        <v>4.4342956732036011E-2</v>
      </c>
      <c r="Y192" s="223">
        <f t="shared" si="321"/>
        <v>7596.8458361100993</v>
      </c>
      <c r="Z192" s="224">
        <f t="shared" si="313"/>
        <v>330.29764504826517</v>
      </c>
      <c r="AA192" s="365">
        <v>118316.83</v>
      </c>
      <c r="AB192" s="365">
        <v>16800</v>
      </c>
      <c r="AC192" s="225">
        <f>Artengliederung!AE192</f>
        <v>53000</v>
      </c>
      <c r="AD192" s="223">
        <f>AC192*'KiGa - PS'!L193</f>
        <v>10551.188597307788</v>
      </c>
      <c r="AE192" s="226">
        <f t="shared" si="314"/>
        <v>6.158752060204243E-2</v>
      </c>
      <c r="AF192" s="223">
        <f t="shared" si="322"/>
        <v>10551.188597307788</v>
      </c>
      <c r="AG192" s="224">
        <f t="shared" si="323"/>
        <v>458.7473303177299</v>
      </c>
      <c r="AH192" s="225">
        <f t="shared" si="316"/>
        <v>101516.83</v>
      </c>
      <c r="AI192" s="223">
        <f>AH192*'KiGa - PS'!L193</f>
        <v>20209.872059072324</v>
      </c>
      <c r="AJ192" s="226">
        <f t="shared" si="324"/>
        <v>0.11796546903922715</v>
      </c>
      <c r="AK192" s="223">
        <f t="shared" si="325"/>
        <v>20209.872059072324</v>
      </c>
      <c r="AL192" s="224">
        <f t="shared" si="326"/>
        <v>878.69008952488366</v>
      </c>
      <c r="AM192" s="365">
        <v>3711.2</v>
      </c>
      <c r="AN192" s="223">
        <f>AM192*'KiGa - PS'!L193</f>
        <v>738.82209664771051</v>
      </c>
      <c r="AO192" s="226">
        <f t="shared" si="327"/>
        <v>4.3125208765716948E-3</v>
      </c>
      <c r="AP192" s="223">
        <f t="shared" si="328"/>
        <v>738.82209664771051</v>
      </c>
      <c r="AQ192" s="224">
        <f t="shared" si="315"/>
        <v>32.122699854248282</v>
      </c>
      <c r="AR192" s="223">
        <f>Artengliederung!X192*'KiGa - PS'!L193</f>
        <v>15052.35551477381</v>
      </c>
      <c r="AS192" s="226">
        <f t="shared" si="329"/>
        <v>8.7860931195177308E-2</v>
      </c>
      <c r="AT192" s="223">
        <f t="shared" si="330"/>
        <v>15052.35551477381</v>
      </c>
      <c r="AU192" s="223">
        <f t="shared" si="331"/>
        <v>654.45023977277435</v>
      </c>
      <c r="AV192" s="227">
        <f t="shared" si="332"/>
        <v>5.7003921672526367E-2</v>
      </c>
    </row>
    <row r="193" spans="1:48" x14ac:dyDescent="0.25">
      <c r="A193" s="365" t="s">
        <v>151</v>
      </c>
      <c r="B193" s="365" t="s">
        <v>35</v>
      </c>
      <c r="C193" s="328">
        <v>1</v>
      </c>
      <c r="D193" s="328">
        <f>Kennzahlen!D71</f>
        <v>21</v>
      </c>
      <c r="E193" s="223">
        <f>'KiGa - PS'!C194+H193*'KiGa - PS'!L194</f>
        <v>138404.69953636508</v>
      </c>
      <c r="F193" s="223">
        <f t="shared" si="333"/>
        <v>138404.69953636508</v>
      </c>
      <c r="G193" s="224">
        <f t="shared" si="312"/>
        <v>6590.6999779221469</v>
      </c>
      <c r="H193" s="223">
        <f>I193-'KiGa - PS'!H194</f>
        <v>187973.94999999995</v>
      </c>
      <c r="I193" s="223">
        <f t="shared" si="334"/>
        <v>748490.39999999991</v>
      </c>
      <c r="J193" s="365">
        <v>835762.25</v>
      </c>
      <c r="K193" s="365">
        <v>73838.8</v>
      </c>
      <c r="L193" s="365">
        <v>0</v>
      </c>
      <c r="M193" s="365">
        <v>13433.05</v>
      </c>
      <c r="N193" s="365"/>
      <c r="O193" s="365"/>
      <c r="P193" s="365">
        <v>561677</v>
      </c>
      <c r="Q193" s="27">
        <f t="shared" si="335"/>
        <v>548243.94999999995</v>
      </c>
      <c r="R193" s="223">
        <f>(Q193-'KiGa - PS'!H194)*'KiGa - PS'!L194+'KiGa - PS'!C194</f>
        <v>101376.77005928195</v>
      </c>
      <c r="S193" s="226">
        <f t="shared" si="317"/>
        <v>0.73246624138399108</v>
      </c>
      <c r="T193" s="223">
        <f t="shared" si="318"/>
        <v>101376.77005928195</v>
      </c>
      <c r="U193" s="224">
        <f t="shared" si="319"/>
        <v>4827.4652409181881</v>
      </c>
      <c r="V193" s="365">
        <v>2191.8000000000002</v>
      </c>
      <c r="W193" s="223">
        <f>V193*'KiGa - PS'!L194</f>
        <v>405.2896609546429</v>
      </c>
      <c r="X193" s="226">
        <f t="shared" si="320"/>
        <v>2.9282940703047101E-3</v>
      </c>
      <c r="Y193" s="223">
        <f t="shared" si="321"/>
        <v>405.2896609546429</v>
      </c>
      <c r="Z193" s="224">
        <f t="shared" si="313"/>
        <v>19.299507664506805</v>
      </c>
      <c r="AA193" s="365">
        <v>143189.5</v>
      </c>
      <c r="AB193" s="365">
        <v>13602.3</v>
      </c>
      <c r="AC193" s="225">
        <f>Artengliederung!AE193</f>
        <v>12081.55</v>
      </c>
      <c r="AD193" s="223">
        <f>AC193*'KiGa - PS'!L194</f>
        <v>2234.021034449569</v>
      </c>
      <c r="AE193" s="226">
        <f t="shared" si="314"/>
        <v>1.6141222385751375E-2</v>
      </c>
      <c r="AF193" s="223">
        <f t="shared" si="322"/>
        <v>2234.021034449569</v>
      </c>
      <c r="AG193" s="224">
        <f t="shared" si="323"/>
        <v>106.38195402140805</v>
      </c>
      <c r="AH193" s="225">
        <f t="shared" si="316"/>
        <v>129587.2</v>
      </c>
      <c r="AI193" s="223">
        <f>AH193*'KiGa - PS'!L194</f>
        <v>23962.201091368508</v>
      </c>
      <c r="AJ193" s="226">
        <f t="shared" si="324"/>
        <v>0.17313141223988981</v>
      </c>
      <c r="AK193" s="223">
        <f t="shared" si="325"/>
        <v>23962.201091368508</v>
      </c>
      <c r="AL193" s="224">
        <f t="shared" si="326"/>
        <v>1141.0571948270717</v>
      </c>
      <c r="AM193" s="365">
        <v>7121.3</v>
      </c>
      <c r="AN193" s="223">
        <f>AM193*'KiGa - PS'!L194</f>
        <v>1316.812328933433</v>
      </c>
      <c r="AO193" s="226">
        <f t="shared" si="327"/>
        <v>9.5142168824075782E-3</v>
      </c>
      <c r="AP193" s="223">
        <f t="shared" si="328"/>
        <v>1316.812328933433</v>
      </c>
      <c r="AQ193" s="224">
        <f t="shared" si="315"/>
        <v>62.705348996830146</v>
      </c>
      <c r="AR193" s="223">
        <f>Artengliederung!X193*'KiGa - PS'!L194</f>
        <v>1514.8343646649446</v>
      </c>
      <c r="AS193" s="226">
        <f t="shared" si="329"/>
        <v>1.0944963355575437E-2</v>
      </c>
      <c r="AT193" s="223">
        <f t="shared" si="330"/>
        <v>1514.8343646649446</v>
      </c>
      <c r="AU193" s="223">
        <f t="shared" si="331"/>
        <v>72.134969745949746</v>
      </c>
      <c r="AV193" s="227">
        <f t="shared" si="332"/>
        <v>5.4873649682080007E-2</v>
      </c>
    </row>
    <row r="194" spans="1:48" x14ac:dyDescent="0.25">
      <c r="A194" s="365" t="s">
        <v>152</v>
      </c>
      <c r="B194" s="365" t="s">
        <v>35</v>
      </c>
      <c r="C194" s="328">
        <v>1</v>
      </c>
      <c r="D194" s="328">
        <f>Kennzahlen!D72</f>
        <v>18</v>
      </c>
      <c r="E194" s="223">
        <f>'KiGa - PS'!C195+H194*'KiGa - PS'!L195</f>
        <v>165799.83327337913</v>
      </c>
      <c r="F194" s="223">
        <f t="shared" si="333"/>
        <v>165799.83327337913</v>
      </c>
      <c r="G194" s="224">
        <f t="shared" si="312"/>
        <v>9211.1018485210625</v>
      </c>
      <c r="H194" s="223">
        <f>I194-'KiGa - PS'!H195</f>
        <v>490555.62000000011</v>
      </c>
      <c r="I194" s="223">
        <f t="shared" si="334"/>
        <v>1238904.2000000002</v>
      </c>
      <c r="J194" s="365">
        <v>1294152.3</v>
      </c>
      <c r="K194" s="365">
        <v>44090.2</v>
      </c>
      <c r="L194" s="365">
        <v>0</v>
      </c>
      <c r="M194" s="365">
        <v>11157.9</v>
      </c>
      <c r="N194" s="365"/>
      <c r="O194" s="365"/>
      <c r="P194" s="365">
        <v>749892.08</v>
      </c>
      <c r="Q194" s="27">
        <f t="shared" si="335"/>
        <v>738734.17999999993</v>
      </c>
      <c r="R194" s="223">
        <f>(Q194-'KiGa - PS'!H195)*'KiGa - PS'!L195+'KiGa - PS'!C195</f>
        <v>98863.175923809453</v>
      </c>
      <c r="S194" s="226">
        <f t="shared" si="317"/>
        <v>0.59628030964783219</v>
      </c>
      <c r="T194" s="223">
        <f t="shared" si="318"/>
        <v>98863.175923809453</v>
      </c>
      <c r="U194" s="224">
        <f t="shared" si="319"/>
        <v>5492.3986624338586</v>
      </c>
      <c r="V194" s="365">
        <v>43843.25</v>
      </c>
      <c r="W194" s="223">
        <f>V194*'KiGa - PS'!L195</f>
        <v>5867.446038332163</v>
      </c>
      <c r="X194" s="226">
        <f t="shared" si="320"/>
        <v>3.5388733043281301E-2</v>
      </c>
      <c r="Y194" s="223">
        <f t="shared" si="321"/>
        <v>5867.446038332163</v>
      </c>
      <c r="Z194" s="224">
        <f t="shared" si="313"/>
        <v>325.96922435178681</v>
      </c>
      <c r="AA194" s="365">
        <v>154561.20000000001</v>
      </c>
      <c r="AB194" s="365">
        <v>68241.600000000006</v>
      </c>
      <c r="AC194" s="225">
        <f>Artengliederung!AE194</f>
        <v>74258</v>
      </c>
      <c r="AD194" s="223">
        <f>AC194*'KiGa - PS'!L195</f>
        <v>9937.7853583954147</v>
      </c>
      <c r="AE194" s="226">
        <f t="shared" si="314"/>
        <v>5.993845206110366E-2</v>
      </c>
      <c r="AF194" s="223">
        <f t="shared" si="322"/>
        <v>9937.7853583954147</v>
      </c>
      <c r="AG194" s="224">
        <f t="shared" si="323"/>
        <v>552.09918657752303</v>
      </c>
      <c r="AH194" s="225">
        <f t="shared" si="316"/>
        <v>86319.6</v>
      </c>
      <c r="AI194" s="223">
        <f>AH194*'KiGa - PS'!L195</f>
        <v>11551.962846057648</v>
      </c>
      <c r="AJ194" s="226">
        <f t="shared" si="324"/>
        <v>6.9674152367874748E-2</v>
      </c>
      <c r="AK194" s="223">
        <f t="shared" si="325"/>
        <v>11551.962846057648</v>
      </c>
      <c r="AL194" s="224">
        <f t="shared" si="326"/>
        <v>641.77571366986933</v>
      </c>
      <c r="AM194" s="365">
        <v>3230.95</v>
      </c>
      <c r="AN194" s="223">
        <f>AM194*'KiGa - PS'!L195</f>
        <v>432.3909559065375</v>
      </c>
      <c r="AO194" s="226">
        <f t="shared" si="327"/>
        <v>2.6079094735492856E-3</v>
      </c>
      <c r="AP194" s="223">
        <f t="shared" si="328"/>
        <v>432.3909559065375</v>
      </c>
      <c r="AQ194" s="224">
        <f t="shared" si="315"/>
        <v>24.021719772585417</v>
      </c>
      <c r="AR194" s="223">
        <f>Artengliederung!X194*'KiGa - PS'!L195</f>
        <v>9998.0547116792823</v>
      </c>
      <c r="AS194" s="226">
        <f t="shared" si="329"/>
        <v>6.0301958779379383E-2</v>
      </c>
      <c r="AT194" s="223">
        <f t="shared" si="330"/>
        <v>9998.0547116792823</v>
      </c>
      <c r="AU194" s="223">
        <f t="shared" si="331"/>
        <v>555.44748398218235</v>
      </c>
      <c r="AV194" s="227">
        <f t="shared" si="332"/>
        <v>0.17580848462697946</v>
      </c>
    </row>
    <row r="195" spans="1:48" x14ac:dyDescent="0.25">
      <c r="A195" s="365" t="s">
        <v>153</v>
      </c>
      <c r="B195" s="365" t="s">
        <v>35</v>
      </c>
      <c r="C195" s="328">
        <v>15</v>
      </c>
      <c r="D195" s="328">
        <f>Kennzahlen!D73</f>
        <v>356</v>
      </c>
      <c r="E195" s="223">
        <f>'KiGa - PS'!C196+H195*'KiGa - PS'!L196</f>
        <v>2107171.5936868396</v>
      </c>
      <c r="F195" s="223">
        <f t="shared" si="333"/>
        <v>140478.1062457893</v>
      </c>
      <c r="G195" s="224">
        <f t="shared" ref="G195:G210" si="336">E195/D195</f>
        <v>5919.0213305810103</v>
      </c>
      <c r="H195" s="223">
        <f>I195-'KiGa - PS'!H196</f>
        <v>4702631.7999999989</v>
      </c>
      <c r="I195" s="223">
        <f t="shared" si="334"/>
        <v>14170710.939999999</v>
      </c>
      <c r="J195" s="365">
        <f>15710075.37+'KiGa - PS'!I36</f>
        <v>15735376.67</v>
      </c>
      <c r="K195" s="365">
        <v>1563719.73</v>
      </c>
      <c r="L195" s="365">
        <v>0</v>
      </c>
      <c r="M195" s="365">
        <v>946</v>
      </c>
      <c r="N195" s="365"/>
      <c r="O195" s="365"/>
      <c r="P195" s="365">
        <f>9585469.84+'KiGa - PS'!I36</f>
        <v>9610771.1400000006</v>
      </c>
      <c r="Q195" s="27">
        <f t="shared" si="335"/>
        <v>9609825.1400000006</v>
      </c>
      <c r="R195" s="223">
        <f>(Q195-'KiGa - PS'!H196)*'KiGa - PS'!L196+'KiGa - PS'!C196</f>
        <v>1428972.098933073</v>
      </c>
      <c r="S195" s="226">
        <f t="shared" si="317"/>
        <v>0.67814700198803168</v>
      </c>
      <c r="T195" s="223">
        <f t="shared" si="318"/>
        <v>95264.806595538204</v>
      </c>
      <c r="U195" s="224">
        <f t="shared" si="319"/>
        <v>4013.9665700367218</v>
      </c>
      <c r="V195" s="365">
        <v>846724.75</v>
      </c>
      <c r="W195" s="223">
        <f>V195*'KiGa - PS'!L196</f>
        <v>125907.18619736316</v>
      </c>
      <c r="X195" s="226">
        <f t="shared" si="320"/>
        <v>5.9751748065789007E-2</v>
      </c>
      <c r="Y195" s="223">
        <f t="shared" si="321"/>
        <v>8393.8124131575441</v>
      </c>
      <c r="Z195" s="224">
        <f t="shared" ref="Z195:Z210" si="337">W195/D195</f>
        <v>353.67187134090773</v>
      </c>
      <c r="AA195" s="365">
        <v>1822903.45</v>
      </c>
      <c r="AB195" s="365">
        <v>185652.8</v>
      </c>
      <c r="AC195" s="225">
        <f>Artengliederung!AE195</f>
        <v>272610.59999999998</v>
      </c>
      <c r="AD195" s="223">
        <f>AC195*'KiGa - PS'!L196</f>
        <v>40536.943763099975</v>
      </c>
      <c r="AE195" s="226">
        <f t="shared" ref="AE195:AE210" si="338">AD195/$E195</f>
        <v>1.9237609259991018E-2</v>
      </c>
      <c r="AF195" s="223">
        <f t="shared" si="322"/>
        <v>2702.4629175399982</v>
      </c>
      <c r="AG195" s="224">
        <f t="shared" si="323"/>
        <v>113.86781955926959</v>
      </c>
      <c r="AH195" s="225">
        <f t="shared" si="316"/>
        <v>1637250.65</v>
      </c>
      <c r="AI195" s="223">
        <f>AH195*'KiGa - PS'!L196</f>
        <v>243457.65544387812</v>
      </c>
      <c r="AJ195" s="226">
        <f t="shared" si="324"/>
        <v>0.11553765064662311</v>
      </c>
      <c r="AK195" s="223">
        <f t="shared" si="325"/>
        <v>16230.510362925208</v>
      </c>
      <c r="AL195" s="224">
        <f t="shared" si="326"/>
        <v>683.86981866257895</v>
      </c>
      <c r="AM195" s="365">
        <v>-36517.949999999997</v>
      </c>
      <c r="AN195" s="223">
        <f>AM195*'KiGa - PS'!L196</f>
        <v>-5430.1853467682358</v>
      </c>
      <c r="AO195" s="226">
        <f t="shared" si="327"/>
        <v>-2.5770019693874303E-3</v>
      </c>
      <c r="AP195" s="223">
        <f t="shared" si="328"/>
        <v>-362.01235645121574</v>
      </c>
      <c r="AQ195" s="224">
        <f t="shared" ref="AQ195:AQ210" si="339">AN195/D195</f>
        <v>-15.253329625753471</v>
      </c>
      <c r="AR195" s="223">
        <f>Artengliederung!X195*'KiGa - PS'!L196</f>
        <v>34752.995884502081</v>
      </c>
      <c r="AS195" s="226">
        <f t="shared" si="329"/>
        <v>1.6492722276924804E-2</v>
      </c>
      <c r="AT195" s="223">
        <f t="shared" si="330"/>
        <v>2316.8663923001386</v>
      </c>
      <c r="AU195" s="223">
        <f t="shared" si="331"/>
        <v>97.620774956466519</v>
      </c>
      <c r="AV195" s="227">
        <f t="shared" si="332"/>
        <v>0.11341026973202784</v>
      </c>
    </row>
    <row r="196" spans="1:48" x14ac:dyDescent="0.25">
      <c r="A196" s="365" t="s">
        <v>154</v>
      </c>
      <c r="B196" s="365" t="s">
        <v>35</v>
      </c>
      <c r="C196" s="328">
        <v>1</v>
      </c>
      <c r="D196" s="328">
        <f>Kennzahlen!D74</f>
        <v>27</v>
      </c>
      <c r="E196" s="223">
        <f>'KiGa - PS'!C197+H196*'KiGa - PS'!L197</f>
        <v>242700.70888951205</v>
      </c>
      <c r="F196" s="223">
        <f t="shared" si="333"/>
        <v>242700.70888951205</v>
      </c>
      <c r="G196" s="224">
        <f t="shared" si="336"/>
        <v>8988.9151440560017</v>
      </c>
      <c r="H196" s="223">
        <f>I196-'KiGa - PS'!H197</f>
        <v>619892.90000000014</v>
      </c>
      <c r="I196" s="223">
        <f t="shared" si="334"/>
        <v>1338268.1000000001</v>
      </c>
      <c r="J196" s="365">
        <v>1361712.55</v>
      </c>
      <c r="K196" s="365">
        <v>9216.7999999999993</v>
      </c>
      <c r="L196" s="365">
        <v>132</v>
      </c>
      <c r="M196" s="365">
        <v>14095.65</v>
      </c>
      <c r="N196" s="365"/>
      <c r="O196" s="365"/>
      <c r="P196" s="365">
        <v>720295.6</v>
      </c>
      <c r="Q196" s="27">
        <f t="shared" si="335"/>
        <v>706199.95</v>
      </c>
      <c r="R196" s="223">
        <f>(Q196-'KiGa - PS'!H197)*'KiGa - PS'!L197+'KiGa - PS'!C197</f>
        <v>128072.41574594655</v>
      </c>
      <c r="S196" s="226">
        <f t="shared" si="317"/>
        <v>0.52769691663426788</v>
      </c>
      <c r="T196" s="223">
        <f t="shared" si="318"/>
        <v>128072.41574594655</v>
      </c>
      <c r="U196" s="224">
        <f t="shared" si="319"/>
        <v>4743.4228054054274</v>
      </c>
      <c r="V196" s="365">
        <v>57018.15</v>
      </c>
      <c r="W196" s="223">
        <f>V196*'KiGa - PS'!L197</f>
        <v>10340.488146260477</v>
      </c>
      <c r="X196" s="226">
        <f t="shared" si="320"/>
        <v>4.2605924776956128E-2</v>
      </c>
      <c r="Y196" s="223">
        <f t="shared" si="321"/>
        <v>10340.488146260477</v>
      </c>
      <c r="Z196" s="224">
        <f t="shared" si="337"/>
        <v>382.98104245409172</v>
      </c>
      <c r="AA196" s="365">
        <v>212722.2</v>
      </c>
      <c r="AB196" s="365">
        <v>28495.200000000001</v>
      </c>
      <c r="AC196" s="225">
        <f>Artengliederung!AE196</f>
        <v>159840</v>
      </c>
      <c r="AD196" s="223">
        <f>AC196*'KiGa - PS'!L197</f>
        <v>28987.675420866421</v>
      </c>
      <c r="AE196" s="226">
        <f t="shared" si="338"/>
        <v>0.11943795118481865</v>
      </c>
      <c r="AF196" s="223">
        <f t="shared" si="322"/>
        <v>28987.675420866421</v>
      </c>
      <c r="AG196" s="224">
        <f t="shared" si="323"/>
        <v>1073.6176081802378</v>
      </c>
      <c r="AH196" s="225">
        <f t="shared" si="316"/>
        <v>184227</v>
      </c>
      <c r="AI196" s="223">
        <f>AH196*'KiGa - PS'!L197</f>
        <v>33410.3633618616</v>
      </c>
      <c r="AJ196" s="226">
        <f t="shared" si="324"/>
        <v>0.13766075721299789</v>
      </c>
      <c r="AK196" s="223">
        <f t="shared" si="325"/>
        <v>33410.3633618616</v>
      </c>
      <c r="AL196" s="224">
        <f t="shared" si="326"/>
        <v>1237.4208652541333</v>
      </c>
      <c r="AM196" s="365">
        <v>7405.95</v>
      </c>
      <c r="AN196" s="223">
        <f>AM196*'KiGa - PS'!L197</f>
        <v>1343.1010684632486</v>
      </c>
      <c r="AO196" s="226">
        <f t="shared" si="327"/>
        <v>5.5339808219294767E-3</v>
      </c>
      <c r="AP196" s="223">
        <f t="shared" si="328"/>
        <v>1343.1010684632486</v>
      </c>
      <c r="AQ196" s="224">
        <f t="shared" si="339"/>
        <v>49.744484017157355</v>
      </c>
      <c r="AR196" s="223">
        <f>Artengliederung!X196*'KiGa - PS'!L197</f>
        <v>23356.034206132812</v>
      </c>
      <c r="AS196" s="226">
        <f t="shared" si="329"/>
        <v>9.6233893642088605E-2</v>
      </c>
      <c r="AT196" s="223">
        <f t="shared" si="330"/>
        <v>23356.034206132812</v>
      </c>
      <c r="AU196" s="223">
        <f t="shared" si="331"/>
        <v>865.0383039308449</v>
      </c>
      <c r="AV196" s="227">
        <f t="shared" si="332"/>
        <v>7.0830575726941417E-2</v>
      </c>
    </row>
    <row r="197" spans="1:48" x14ac:dyDescent="0.25">
      <c r="A197" s="365" t="s">
        <v>155</v>
      </c>
      <c r="B197" s="365" t="s">
        <v>35</v>
      </c>
      <c r="C197" s="328">
        <v>0</v>
      </c>
      <c r="D197" s="328"/>
      <c r="E197" s="223"/>
      <c r="F197" s="223"/>
      <c r="G197" s="224"/>
      <c r="H197" s="223"/>
      <c r="I197" s="223"/>
      <c r="J197" s="365"/>
      <c r="K197" s="365"/>
      <c r="L197" s="365"/>
      <c r="M197" s="365"/>
      <c r="N197" s="365"/>
      <c r="O197" s="365"/>
      <c r="P197" s="365"/>
      <c r="Q197" s="27"/>
      <c r="R197" s="223"/>
      <c r="S197" s="226"/>
      <c r="T197" s="223"/>
      <c r="U197" s="224"/>
      <c r="V197" s="365"/>
      <c r="W197" s="223"/>
      <c r="X197" s="226"/>
      <c r="Y197" s="223"/>
      <c r="Z197" s="224"/>
      <c r="AA197" s="365"/>
      <c r="AB197" s="365"/>
      <c r="AC197" s="225"/>
      <c r="AD197" s="223"/>
      <c r="AE197" s="226"/>
      <c r="AF197" s="223"/>
      <c r="AG197" s="224"/>
      <c r="AH197" s="225"/>
      <c r="AI197" s="223"/>
      <c r="AJ197" s="226"/>
      <c r="AK197" s="223"/>
      <c r="AL197" s="224"/>
      <c r="AM197" s="365"/>
      <c r="AN197" s="223"/>
      <c r="AO197" s="226"/>
      <c r="AP197" s="223"/>
      <c r="AQ197" s="224"/>
      <c r="AR197" s="223"/>
      <c r="AS197" s="226"/>
      <c r="AT197" s="223"/>
      <c r="AU197" s="223"/>
      <c r="AV197" s="227"/>
    </row>
    <row r="198" spans="1:48" x14ac:dyDescent="0.25">
      <c r="A198" s="365" t="s">
        <v>156</v>
      </c>
      <c r="B198" s="365" t="s">
        <v>35</v>
      </c>
      <c r="C198" s="328">
        <v>1</v>
      </c>
      <c r="D198" s="328">
        <f>Kennzahlen!D76</f>
        <v>13</v>
      </c>
      <c r="E198" s="223">
        <f>'KiGa - PS'!C199+H198*'KiGa - PS'!L199</f>
        <v>90842.346341029741</v>
      </c>
      <c r="F198" s="223">
        <f t="shared" si="333"/>
        <v>90842.346341029741</v>
      </c>
      <c r="G198" s="224">
        <f t="shared" si="336"/>
        <v>6987.8727954638262</v>
      </c>
      <c r="H198" s="223">
        <f>I198-'KiGa - PS'!H199</f>
        <v>210114.94999999995</v>
      </c>
      <c r="I198" s="223">
        <f t="shared" si="334"/>
        <v>685086.7</v>
      </c>
      <c r="J198" s="365">
        <v>740336.6</v>
      </c>
      <c r="K198" s="365">
        <v>21135.05</v>
      </c>
      <c r="L198" s="365">
        <v>0</v>
      </c>
      <c r="M198" s="365">
        <v>34114.85</v>
      </c>
      <c r="N198" s="365"/>
      <c r="O198" s="365"/>
      <c r="P198" s="365">
        <v>474971.75</v>
      </c>
      <c r="Q198" s="27">
        <f t="shared" si="335"/>
        <v>440856.9</v>
      </c>
      <c r="R198" s="223">
        <f>(Q198-'KiGa - PS'!H199)*'KiGa - PS'!L199+'KiGa - PS'!C199</f>
        <v>58457.528363392143</v>
      </c>
      <c r="S198" s="226">
        <f t="shared" ref="S198:S213" si="340">R198/$E198</f>
        <v>0.64350526728952717</v>
      </c>
      <c r="T198" s="223">
        <f t="shared" ref="T198:T213" si="341">R198/C198</f>
        <v>58457.528363392143</v>
      </c>
      <c r="U198" s="224">
        <f t="shared" ref="U198:U213" si="342">R198/D198</f>
        <v>4496.7329510301652</v>
      </c>
      <c r="V198" s="365">
        <v>34750.9</v>
      </c>
      <c r="W198" s="223">
        <f>V198*'KiGa - PS'!L199</f>
        <v>4607.9617272711484</v>
      </c>
      <c r="X198" s="226">
        <f t="shared" ref="X198:X213" si="343">W198/$E198</f>
        <v>5.0724820668683258E-2</v>
      </c>
      <c r="Y198" s="223">
        <f t="shared" ref="Y198:Y213" si="344">W198/C198</f>
        <v>4607.9617272711484</v>
      </c>
      <c r="Z198" s="224">
        <f t="shared" si="337"/>
        <v>354.45859440547298</v>
      </c>
      <c r="AA198" s="365">
        <v>81570.100000000006</v>
      </c>
      <c r="AB198" s="365">
        <v>25060</v>
      </c>
      <c r="AC198" s="225">
        <f>Artengliederung!AE198</f>
        <v>67488</v>
      </c>
      <c r="AD198" s="223">
        <f>AC198*'KiGa - PS'!L199</f>
        <v>8948.8940156967219</v>
      </c>
      <c r="AE198" s="226">
        <f t="shared" si="338"/>
        <v>9.8510159371069383E-2</v>
      </c>
      <c r="AF198" s="223">
        <f t="shared" ref="AF198:AF213" si="345">AD198/C198</f>
        <v>8948.8940156967219</v>
      </c>
      <c r="AG198" s="224">
        <f t="shared" ref="AG198:AG213" si="346">AD198/D198</f>
        <v>688.37646274590168</v>
      </c>
      <c r="AH198" s="225">
        <f t="shared" ref="AH198:AH212" si="347">AA198-AB198</f>
        <v>56510.100000000006</v>
      </c>
      <c r="AI198" s="223">
        <f>AH198*'KiGa - PS'!L199</f>
        <v>7493.2268805776348</v>
      </c>
      <c r="AJ198" s="226">
        <f t="shared" ref="AJ198:AJ213" si="348">AI198/$E198</f>
        <v>8.2486056144426709E-2</v>
      </c>
      <c r="AK198" s="223">
        <f t="shared" ref="AK198:AK213" si="349">AI198/C198</f>
        <v>7493.2268805776348</v>
      </c>
      <c r="AL198" s="224">
        <f t="shared" ref="AL198:AL213" si="350">AI198/D198</f>
        <v>576.40206773674117</v>
      </c>
      <c r="AM198" s="365">
        <v>3081.8</v>
      </c>
      <c r="AN198" s="223">
        <f>AM198*'KiGa - PS'!L199</f>
        <v>408.64600488344831</v>
      </c>
      <c r="AO198" s="226">
        <f t="shared" ref="AO198:AO213" si="351">AN198/$E198</f>
        <v>4.4984087415505221E-3</v>
      </c>
      <c r="AP198" s="223">
        <f t="shared" ref="AP198:AP213" si="352">AN198/C198</f>
        <v>408.64600488344831</v>
      </c>
      <c r="AQ198" s="224">
        <f t="shared" si="339"/>
        <v>31.434308067957563</v>
      </c>
      <c r="AR198" s="223">
        <f>Artengliederung!X198*'KiGa - PS'!L199</f>
        <v>5386.3158113666759</v>
      </c>
      <c r="AS198" s="226">
        <f t="shared" ref="AS198:AS213" si="353">AR198/E198</f>
        <v>5.9293006272052876E-2</v>
      </c>
      <c r="AT198" s="223">
        <f t="shared" ref="AT198:AT213" si="354">AR198/C198</f>
        <v>5386.3158113666759</v>
      </c>
      <c r="AU198" s="223">
        <f t="shared" ref="AU198:AU213" si="355">AR198/D198</f>
        <v>414.33198548974428</v>
      </c>
      <c r="AV198" s="227">
        <f t="shared" ref="AV198:AV213" si="356">1-S198-X198-AJ198-AE198-AO198-AS198</f>
        <v>6.0982281512690042E-2</v>
      </c>
    </row>
    <row r="199" spans="1:48" x14ac:dyDescent="0.25">
      <c r="A199" s="365" t="s">
        <v>157</v>
      </c>
      <c r="B199" s="365" t="s">
        <v>35</v>
      </c>
      <c r="C199" s="328">
        <v>2</v>
      </c>
      <c r="D199" s="328">
        <f>Kennzahlen!D77</f>
        <v>35</v>
      </c>
      <c r="E199" s="223">
        <f>'KiGa - PS'!C200+H199*'KiGa - PS'!L200</f>
        <v>268696.35338357883</v>
      </c>
      <c r="F199" s="223">
        <f t="shared" ref="F199:F214" si="357">E199/C199</f>
        <v>134348.17669178941</v>
      </c>
      <c r="G199" s="224">
        <f t="shared" si="336"/>
        <v>7677.0386681022519</v>
      </c>
      <c r="H199" s="223">
        <f>I199-'KiGa - PS'!H200</f>
        <v>601646.35000000009</v>
      </c>
      <c r="I199" s="223">
        <f t="shared" si="334"/>
        <v>1426126.2</v>
      </c>
      <c r="J199" s="365">
        <v>1467217.95</v>
      </c>
      <c r="K199" s="365">
        <v>28908</v>
      </c>
      <c r="L199" s="365">
        <v>0</v>
      </c>
      <c r="M199" s="365">
        <v>12183.75</v>
      </c>
      <c r="N199" s="365"/>
      <c r="O199" s="365"/>
      <c r="P199" s="365">
        <v>838986.9</v>
      </c>
      <c r="Q199" s="27">
        <f t="shared" si="335"/>
        <v>826803.15</v>
      </c>
      <c r="R199" s="223">
        <f>(Q199-'KiGa - PS'!H200)*'KiGa - PS'!L200+'KiGa - PS'!C200</f>
        <v>155777.9328162235</v>
      </c>
      <c r="S199" s="226">
        <f t="shared" si="340"/>
        <v>0.5797545476690632</v>
      </c>
      <c r="T199" s="223">
        <f t="shared" si="341"/>
        <v>77888.966408111752</v>
      </c>
      <c r="U199" s="224">
        <f t="shared" si="342"/>
        <v>4450.798080463529</v>
      </c>
      <c r="V199" s="365">
        <v>79289.850000000006</v>
      </c>
      <c r="W199" s="223">
        <f>V199*'KiGa - PS'!L200</f>
        <v>14938.995970574664</v>
      </c>
      <c r="X199" s="226">
        <f t="shared" si="343"/>
        <v>5.5598059975337386E-2</v>
      </c>
      <c r="Y199" s="223">
        <f t="shared" si="344"/>
        <v>7469.4979852873321</v>
      </c>
      <c r="Z199" s="224">
        <f t="shared" si="337"/>
        <v>426.82845630213325</v>
      </c>
      <c r="AA199" s="365">
        <v>140786.35</v>
      </c>
      <c r="AB199" s="365">
        <v>13090.85</v>
      </c>
      <c r="AC199" s="225">
        <f>Artengliederung!AE199</f>
        <v>228786</v>
      </c>
      <c r="AD199" s="223">
        <f>AC199*'KiGa - PS'!L200</f>
        <v>43105.556790987685</v>
      </c>
      <c r="AE199" s="226">
        <f t="shared" si="338"/>
        <v>0.16042479270067403</v>
      </c>
      <c r="AF199" s="223">
        <f t="shared" si="345"/>
        <v>21552.778395493842</v>
      </c>
      <c r="AG199" s="224">
        <f t="shared" si="346"/>
        <v>1231.5873368853624</v>
      </c>
      <c r="AH199" s="225">
        <f t="shared" si="347"/>
        <v>127695.5</v>
      </c>
      <c r="AI199" s="223">
        <f>AH199*'KiGa - PS'!L200</f>
        <v>24059.101637353542</v>
      </c>
      <c r="AJ199" s="226">
        <f t="shared" si="348"/>
        <v>8.9540112228497018E-2</v>
      </c>
      <c r="AK199" s="223">
        <f t="shared" si="349"/>
        <v>12029.550818676771</v>
      </c>
      <c r="AL199" s="224">
        <f t="shared" si="350"/>
        <v>687.40290392438692</v>
      </c>
      <c r="AM199" s="365">
        <v>3350.25</v>
      </c>
      <c r="AN199" s="223">
        <f>AM199*'KiGa - PS'!L200</f>
        <v>631.22040526521073</v>
      </c>
      <c r="AO199" s="226">
        <f t="shared" si="351"/>
        <v>2.3491960248679254E-3</v>
      </c>
      <c r="AP199" s="223">
        <f t="shared" si="352"/>
        <v>315.61020263260536</v>
      </c>
      <c r="AQ199" s="224">
        <f t="shared" si="339"/>
        <v>18.034868721863162</v>
      </c>
      <c r="AR199" s="223">
        <f>Artengliederung!X199*'KiGa - PS'!L200</f>
        <v>24274.388256583836</v>
      </c>
      <c r="AS199" s="226">
        <f t="shared" si="353"/>
        <v>9.0341338655723441E-2</v>
      </c>
      <c r="AT199" s="223">
        <f t="shared" si="354"/>
        <v>12137.194128291918</v>
      </c>
      <c r="AU199" s="223">
        <f t="shared" si="355"/>
        <v>693.55395018810964</v>
      </c>
      <c r="AV199" s="227">
        <f t="shared" si="356"/>
        <v>2.1991952745836998E-2</v>
      </c>
    </row>
    <row r="200" spans="1:48" x14ac:dyDescent="0.25">
      <c r="A200" s="365" t="s">
        <v>158</v>
      </c>
      <c r="B200" s="365" t="s">
        <v>35</v>
      </c>
      <c r="C200" s="328">
        <v>0.5</v>
      </c>
      <c r="D200" s="328">
        <f>Kennzahlen!D78</f>
        <v>20</v>
      </c>
      <c r="E200" s="223">
        <f>'KiGa - PS'!C201+H200*'KiGa - PS'!L201</f>
        <v>101702.98885350318</v>
      </c>
      <c r="F200" s="223">
        <f t="shared" si="357"/>
        <v>203405.97770700636</v>
      </c>
      <c r="G200" s="224">
        <f t="shared" si="336"/>
        <v>5085.1494426751588</v>
      </c>
      <c r="H200" s="223">
        <f>I200-'KiGa - PS'!H201</f>
        <v>138995.99999999994</v>
      </c>
      <c r="I200" s="223">
        <f t="shared" ref="I200:I215" si="358">J200-K200-L200-M200</f>
        <v>562801.79999999993</v>
      </c>
      <c r="J200" s="365">
        <v>594895.6</v>
      </c>
      <c r="K200" s="365">
        <v>19299.8</v>
      </c>
      <c r="L200" s="365">
        <v>0</v>
      </c>
      <c r="M200" s="365">
        <v>12794</v>
      </c>
      <c r="N200" s="365"/>
      <c r="O200" s="365"/>
      <c r="P200" s="365">
        <v>455167.6</v>
      </c>
      <c r="Q200" s="27">
        <f t="shared" ref="Q200:Q215" si="359">P200-M200</f>
        <v>442373.6</v>
      </c>
      <c r="R200" s="223">
        <f>(Q200-'KiGa - PS'!H201)*'KiGa - PS'!L201+'KiGa - PS'!C201</f>
        <v>79940.606639644859</v>
      </c>
      <c r="S200" s="226">
        <f t="shared" si="340"/>
        <v>0.78602022950175365</v>
      </c>
      <c r="T200" s="223">
        <f t="shared" si="341"/>
        <v>159881.21327928972</v>
      </c>
      <c r="U200" s="224">
        <f t="shared" si="342"/>
        <v>3997.0303319822428</v>
      </c>
      <c r="V200" s="365">
        <v>32991.15</v>
      </c>
      <c r="W200" s="223">
        <f>V200*'KiGa - PS'!L201</f>
        <v>5961.7765272148235</v>
      </c>
      <c r="X200" s="226">
        <f t="shared" si="343"/>
        <v>5.8619482027242986E-2</v>
      </c>
      <c r="Y200" s="223">
        <f t="shared" si="344"/>
        <v>11923.553054429647</v>
      </c>
      <c r="Z200" s="224">
        <f t="shared" si="337"/>
        <v>298.08882636074117</v>
      </c>
      <c r="AA200" s="365">
        <v>48242.15</v>
      </c>
      <c r="AB200" s="365">
        <v>0</v>
      </c>
      <c r="AC200" s="225">
        <f>Artengliederung!AE200</f>
        <v>6000</v>
      </c>
      <c r="AD200" s="223">
        <f>AC200*'KiGa - PS'!L201</f>
        <v>1084.250144759699</v>
      </c>
      <c r="AE200" s="226">
        <f t="shared" si="338"/>
        <v>1.0660946713390044E-2</v>
      </c>
      <c r="AF200" s="223">
        <f t="shared" si="345"/>
        <v>2168.5002895193979</v>
      </c>
      <c r="AG200" s="224">
        <f t="shared" si="346"/>
        <v>54.212507237984951</v>
      </c>
      <c r="AH200" s="225">
        <f t="shared" si="347"/>
        <v>48242.15</v>
      </c>
      <c r="AI200" s="223">
        <f>AH200*'KiGa - PS'!L201</f>
        <v>8717.7596868365181</v>
      </c>
      <c r="AJ200" s="226">
        <f t="shared" si="348"/>
        <v>8.5717831748228251E-2</v>
      </c>
      <c r="AK200" s="223">
        <f t="shared" si="349"/>
        <v>17435.519373673036</v>
      </c>
      <c r="AL200" s="224">
        <f t="shared" si="350"/>
        <v>435.88798434182593</v>
      </c>
      <c r="AM200" s="365">
        <v>1517.5</v>
      </c>
      <c r="AN200" s="223">
        <f>AM200*'KiGa - PS'!L201</f>
        <v>274.22493244547383</v>
      </c>
      <c r="AO200" s="226">
        <f t="shared" si="351"/>
        <v>2.6963311062615648E-3</v>
      </c>
      <c r="AP200" s="223">
        <f t="shared" si="352"/>
        <v>548.44986489094765</v>
      </c>
      <c r="AQ200" s="224">
        <f t="shared" si="339"/>
        <v>13.711246622273691</v>
      </c>
      <c r="AR200" s="223">
        <f>Artengliederung!X200*'KiGa - PS'!L201</f>
        <v>1285.5502195522099</v>
      </c>
      <c r="AS200" s="226">
        <f t="shared" si="353"/>
        <v>1.2640240311953516E-2</v>
      </c>
      <c r="AT200" s="223">
        <f t="shared" si="354"/>
        <v>2571.1004391044198</v>
      </c>
      <c r="AU200" s="223">
        <f t="shared" si="355"/>
        <v>64.27751097761049</v>
      </c>
      <c r="AV200" s="227">
        <f t="shared" si="356"/>
        <v>4.3644938591169982E-2</v>
      </c>
    </row>
    <row r="201" spans="1:48" x14ac:dyDescent="0.25">
      <c r="A201" s="365" t="s">
        <v>159</v>
      </c>
      <c r="B201" s="365" t="s">
        <v>35</v>
      </c>
      <c r="C201" s="328">
        <v>2</v>
      </c>
      <c r="D201" s="328">
        <f>Kennzahlen!D79</f>
        <v>34</v>
      </c>
      <c r="E201" s="223">
        <f>'KiGa - PS'!C202+H201*'KiGa - PS'!L202</f>
        <v>225113.06254135378</v>
      </c>
      <c r="F201" s="223">
        <f t="shared" si="357"/>
        <v>112556.53127067689</v>
      </c>
      <c r="G201" s="224">
        <f t="shared" si="336"/>
        <v>6620.9724276868756</v>
      </c>
      <c r="H201" s="223">
        <f>I201-'KiGa - PS'!H202</f>
        <v>593600.80000000005</v>
      </c>
      <c r="I201" s="223">
        <f t="shared" si="358"/>
        <v>2056511.25</v>
      </c>
      <c r="J201" s="365">
        <v>2206350.5499999998</v>
      </c>
      <c r="K201" s="365">
        <v>124140.15</v>
      </c>
      <c r="L201" s="365">
        <v>0</v>
      </c>
      <c r="M201" s="365">
        <v>25699.15</v>
      </c>
      <c r="N201" s="365"/>
      <c r="O201" s="365"/>
      <c r="P201" s="365">
        <v>1463106.05</v>
      </c>
      <c r="Q201" s="27">
        <f t="shared" si="359"/>
        <v>1437406.9000000001</v>
      </c>
      <c r="R201" s="223">
        <f>(Q201-'KiGa - PS'!H202)*'KiGa - PS'!L202+'KiGa - PS'!C202</f>
        <v>157343.69037712461</v>
      </c>
      <c r="S201" s="226">
        <f t="shared" si="340"/>
        <v>0.69895406601836008</v>
      </c>
      <c r="T201" s="223">
        <f t="shared" si="341"/>
        <v>78671.845188562307</v>
      </c>
      <c r="U201" s="224">
        <f t="shared" si="342"/>
        <v>4627.7555993271944</v>
      </c>
      <c r="V201" s="365">
        <v>98693.2</v>
      </c>
      <c r="W201" s="223">
        <f>V201*'KiGa - PS'!L202</f>
        <v>10803.309976547094</v>
      </c>
      <c r="X201" s="226">
        <f t="shared" si="343"/>
        <v>4.7990595723704399E-2</v>
      </c>
      <c r="Y201" s="223">
        <f t="shared" si="344"/>
        <v>5401.6549882735471</v>
      </c>
      <c r="Z201" s="224">
        <f t="shared" si="337"/>
        <v>317.74441107491452</v>
      </c>
      <c r="AA201" s="365">
        <v>261651.25</v>
      </c>
      <c r="AB201" s="365">
        <v>44467</v>
      </c>
      <c r="AC201" s="225">
        <f>Artengliederung!AE201</f>
        <v>107000</v>
      </c>
      <c r="AD201" s="223">
        <f>AC201*'KiGa - PS'!L202</f>
        <v>11712.601957283166</v>
      </c>
      <c r="AE201" s="226">
        <f t="shared" si="338"/>
        <v>5.2029863682972792E-2</v>
      </c>
      <c r="AF201" s="223">
        <f t="shared" si="345"/>
        <v>5856.3009786415832</v>
      </c>
      <c r="AG201" s="224">
        <f t="shared" si="346"/>
        <v>344.4882928612696</v>
      </c>
      <c r="AH201" s="225">
        <f t="shared" si="347"/>
        <v>217184.25</v>
      </c>
      <c r="AI201" s="223">
        <f>AH201*'KiGa - PS'!L202</f>
        <v>23773.763286365203</v>
      </c>
      <c r="AJ201" s="226">
        <f t="shared" si="348"/>
        <v>0.10560810207092229</v>
      </c>
      <c r="AK201" s="223">
        <f t="shared" si="349"/>
        <v>11886.881643182602</v>
      </c>
      <c r="AL201" s="224">
        <f t="shared" si="350"/>
        <v>699.22833195191777</v>
      </c>
      <c r="AM201" s="365">
        <v>7933.5</v>
      </c>
      <c r="AN201" s="223">
        <f>AM201*'KiGa - PS'!L202</f>
        <v>868.42923016921497</v>
      </c>
      <c r="AO201" s="226">
        <f t="shared" si="351"/>
        <v>3.857746948867894E-3</v>
      </c>
      <c r="AP201" s="223">
        <f t="shared" si="352"/>
        <v>434.21461508460749</v>
      </c>
      <c r="AQ201" s="224">
        <f t="shared" si="339"/>
        <v>25.5420361814475</v>
      </c>
      <c r="AR201" s="223">
        <f>Artengliederung!X201*'KiGa - PS'!L202</f>
        <v>6928.7484100069141</v>
      </c>
      <c r="AS201" s="226">
        <f t="shared" si="353"/>
        <v>3.0778970939254524E-2</v>
      </c>
      <c r="AT201" s="223">
        <f t="shared" si="354"/>
        <v>3464.3742050034571</v>
      </c>
      <c r="AU201" s="223">
        <f t="shared" si="355"/>
        <v>203.78671794137983</v>
      </c>
      <c r="AV201" s="227">
        <f t="shared" si="356"/>
        <v>6.0780654615918001E-2</v>
      </c>
    </row>
    <row r="202" spans="1:48" x14ac:dyDescent="0.25">
      <c r="A202" s="365" t="s">
        <v>160</v>
      </c>
      <c r="B202" s="365" t="s">
        <v>35</v>
      </c>
      <c r="C202" s="328">
        <v>2</v>
      </c>
      <c r="D202" s="328">
        <f>Kennzahlen!D80</f>
        <v>53</v>
      </c>
      <c r="E202" s="223">
        <f>'KiGa - PS'!C203+H202*'KiGa - PS'!L203</f>
        <v>360780.23984140612</v>
      </c>
      <c r="F202" s="223">
        <f t="shared" si="357"/>
        <v>180390.11992070306</v>
      </c>
      <c r="G202" s="224">
        <f t="shared" si="336"/>
        <v>6807.1743366303044</v>
      </c>
      <c r="H202" s="223">
        <f>I202-'KiGa - PS'!H203</f>
        <v>544465.38000000012</v>
      </c>
      <c r="I202" s="223">
        <f t="shared" si="358"/>
        <v>1281378.83</v>
      </c>
      <c r="J202" s="365">
        <v>1325266.03</v>
      </c>
      <c r="K202" s="365">
        <v>28291.9</v>
      </c>
      <c r="L202" s="365">
        <v>0</v>
      </c>
      <c r="M202" s="365">
        <v>15595.3</v>
      </c>
      <c r="N202" s="365"/>
      <c r="O202" s="365"/>
      <c r="P202" s="365">
        <v>752503.5</v>
      </c>
      <c r="Q202" s="27">
        <f t="shared" si="359"/>
        <v>736908.2</v>
      </c>
      <c r="R202" s="223">
        <f>(Q202-'KiGa - PS'!H203)*'KiGa - PS'!L203+'KiGa - PS'!C203</f>
        <v>207481.12182959885</v>
      </c>
      <c r="S202" s="226">
        <f t="shared" si="340"/>
        <v>0.57509003797105018</v>
      </c>
      <c r="T202" s="223">
        <f t="shared" si="341"/>
        <v>103740.56091479943</v>
      </c>
      <c r="U202" s="224">
        <f t="shared" si="342"/>
        <v>3914.7381477282802</v>
      </c>
      <c r="V202" s="365">
        <v>46155.37</v>
      </c>
      <c r="W202" s="223">
        <f>V202*'KiGa - PS'!L203</f>
        <v>12995.333673936881</v>
      </c>
      <c r="X202" s="226">
        <f t="shared" si="343"/>
        <v>3.6020081586645228E-2</v>
      </c>
      <c r="Y202" s="223">
        <f t="shared" si="344"/>
        <v>6497.6668369684403</v>
      </c>
      <c r="Z202" s="224">
        <f t="shared" si="337"/>
        <v>245.19497497994115</v>
      </c>
      <c r="AA202" s="365">
        <v>110461.99</v>
      </c>
      <c r="AB202" s="365">
        <v>1750</v>
      </c>
      <c r="AC202" s="225">
        <f>Artengliederung!AE202</f>
        <v>111222.82</v>
      </c>
      <c r="AD202" s="223">
        <f>AC202*'KiGa - PS'!L203</f>
        <v>31315.481991721012</v>
      </c>
      <c r="AE202" s="226">
        <f t="shared" si="338"/>
        <v>8.6799326940651886E-2</v>
      </c>
      <c r="AF202" s="223">
        <f t="shared" si="345"/>
        <v>15657.740995860506</v>
      </c>
      <c r="AG202" s="224">
        <f t="shared" si="346"/>
        <v>590.85815078718895</v>
      </c>
      <c r="AH202" s="225">
        <f t="shared" si="347"/>
        <v>108711.99</v>
      </c>
      <c r="AI202" s="223">
        <f>AH202*'KiGa - PS'!L203</f>
        <v>30608.542070135918</v>
      </c>
      <c r="AJ202" s="226">
        <f t="shared" si="348"/>
        <v>8.4839851771236138E-2</v>
      </c>
      <c r="AK202" s="223">
        <f t="shared" si="349"/>
        <v>15304.271035067959</v>
      </c>
      <c r="AL202" s="224">
        <f t="shared" si="350"/>
        <v>577.51966170067772</v>
      </c>
      <c r="AM202" s="365">
        <v>4272.8</v>
      </c>
      <c r="AN202" s="223">
        <f>AM202*'KiGa - PS'!L203</f>
        <v>1203.0336171500196</v>
      </c>
      <c r="AO202" s="226">
        <f t="shared" si="351"/>
        <v>3.334533004576016E-3</v>
      </c>
      <c r="AP202" s="223">
        <f t="shared" si="352"/>
        <v>601.5168085750098</v>
      </c>
      <c r="AQ202" s="224">
        <f t="shared" si="339"/>
        <v>22.698747493396596</v>
      </c>
      <c r="AR202" s="223">
        <f>Artengliederung!X202*'KiGa - PS'!L203</f>
        <v>14120.243873714071</v>
      </c>
      <c r="AS202" s="226">
        <f t="shared" si="353"/>
        <v>3.9138074413169438E-2</v>
      </c>
      <c r="AT202" s="223">
        <f t="shared" si="354"/>
        <v>7060.1219368570355</v>
      </c>
      <c r="AU202" s="223">
        <f t="shared" si="355"/>
        <v>266.41969573045418</v>
      </c>
      <c r="AV202" s="227">
        <f t="shared" si="356"/>
        <v>0.17477809431267111</v>
      </c>
    </row>
    <row r="203" spans="1:48" x14ac:dyDescent="0.25">
      <c r="A203" s="365" t="s">
        <v>161</v>
      </c>
      <c r="B203" s="365" t="s">
        <v>35</v>
      </c>
      <c r="C203" s="328">
        <v>0.5</v>
      </c>
      <c r="D203" s="328">
        <f>Kennzahlen!D81</f>
        <v>17</v>
      </c>
      <c r="E203" s="223">
        <f>'KiGa - PS'!C204+H203*'KiGa - PS'!L204</f>
        <v>87541.704228086164</v>
      </c>
      <c r="F203" s="223">
        <f t="shared" si="357"/>
        <v>175083.40845617233</v>
      </c>
      <c r="G203" s="224">
        <f t="shared" si="336"/>
        <v>5149.5120134168328</v>
      </c>
      <c r="H203" s="223">
        <f>I203-'KiGa - PS'!H204</f>
        <v>172899.10000000009</v>
      </c>
      <c r="I203" s="223">
        <f t="shared" si="358"/>
        <v>801493.20000000007</v>
      </c>
      <c r="J203" s="365">
        <v>816729.3</v>
      </c>
      <c r="K203" s="365">
        <v>7529.2</v>
      </c>
      <c r="L203" s="365">
        <v>0</v>
      </c>
      <c r="M203" s="365">
        <v>7706.9</v>
      </c>
      <c r="N203" s="365"/>
      <c r="O203" s="365"/>
      <c r="P203" s="365">
        <v>629855.65</v>
      </c>
      <c r="Q203" s="27">
        <f t="shared" si="359"/>
        <v>622148.75</v>
      </c>
      <c r="R203" s="223">
        <f>(Q203-'KiGa - PS'!H204)*'KiGa - PS'!L204+'KiGa - PS'!C204</f>
        <v>67953.117828539922</v>
      </c>
      <c r="S203" s="226">
        <f t="shared" si="340"/>
        <v>0.77623709096970495</v>
      </c>
      <c r="T203" s="223">
        <f t="shared" si="341"/>
        <v>135906.23565707984</v>
      </c>
      <c r="U203" s="224">
        <f t="shared" si="342"/>
        <v>3997.2422252082306</v>
      </c>
      <c r="V203" s="365">
        <v>34315.699999999997</v>
      </c>
      <c r="W203" s="223">
        <f>V203*'KiGa - PS'!L204</f>
        <v>3748.0727968493502</v>
      </c>
      <c r="X203" s="226">
        <f t="shared" si="343"/>
        <v>4.2814711341281488E-2</v>
      </c>
      <c r="Y203" s="223">
        <f t="shared" si="344"/>
        <v>7496.1455936987004</v>
      </c>
      <c r="Z203" s="224">
        <f t="shared" si="337"/>
        <v>220.47487040290295</v>
      </c>
      <c r="AA203" s="365">
        <v>102595.7</v>
      </c>
      <c r="AB203" s="365">
        <v>17730</v>
      </c>
      <c r="AC203" s="225">
        <f>Artengliederung!AE203</f>
        <v>17800</v>
      </c>
      <c r="AD203" s="223">
        <f>AC203*'KiGa - PS'!L204</f>
        <v>1944.174118083514</v>
      </c>
      <c r="AE203" s="226">
        <f t="shared" si="338"/>
        <v>2.2208547745632773E-2</v>
      </c>
      <c r="AF203" s="223">
        <f t="shared" si="345"/>
        <v>3888.3482361670281</v>
      </c>
      <c r="AG203" s="224">
        <f t="shared" si="346"/>
        <v>114.3631834166773</v>
      </c>
      <c r="AH203" s="225">
        <f t="shared" si="347"/>
        <v>84865.7</v>
      </c>
      <c r="AI203" s="223">
        <f>AH203*'KiGa - PS'!L204</f>
        <v>9269.308845676409</v>
      </c>
      <c r="AJ203" s="226">
        <f t="shared" si="348"/>
        <v>0.10588449159643525</v>
      </c>
      <c r="AK203" s="223">
        <f t="shared" si="349"/>
        <v>18538.617691352818</v>
      </c>
      <c r="AL203" s="224">
        <f t="shared" si="350"/>
        <v>545.25346151037695</v>
      </c>
      <c r="AM203" s="365">
        <v>5134.55</v>
      </c>
      <c r="AN203" s="223">
        <f>AM203*'KiGa - PS'!L204</f>
        <v>560.81231561829816</v>
      </c>
      <c r="AO203" s="226">
        <f t="shared" si="351"/>
        <v>6.4062302711988071E-3</v>
      </c>
      <c r="AP203" s="223">
        <f t="shared" si="352"/>
        <v>1121.6246312365963</v>
      </c>
      <c r="AQ203" s="224">
        <f t="shared" si="339"/>
        <v>32.988959742252831</v>
      </c>
      <c r="AR203" s="223">
        <f>Artengliederung!X203*'KiGa - PS'!L204</f>
        <v>1211.8976598094066</v>
      </c>
      <c r="AS203" s="226">
        <f t="shared" si="353"/>
        <v>1.3843660807103539E-2</v>
      </c>
      <c r="AT203" s="223">
        <f t="shared" si="354"/>
        <v>2423.7953196188132</v>
      </c>
      <c r="AU203" s="223">
        <f t="shared" si="355"/>
        <v>71.28809763584745</v>
      </c>
      <c r="AV203" s="227">
        <f t="shared" si="356"/>
        <v>3.2605267268643212E-2</v>
      </c>
    </row>
    <row r="204" spans="1:48" x14ac:dyDescent="0.25">
      <c r="A204" s="365" t="s">
        <v>162</v>
      </c>
      <c r="B204" s="365" t="s">
        <v>35</v>
      </c>
      <c r="C204" s="328">
        <v>4</v>
      </c>
      <c r="D204" s="328">
        <f>Kennzahlen!D82</f>
        <v>67</v>
      </c>
      <c r="E204" s="223">
        <f>'KiGa - PS'!C205+H204*'KiGa - PS'!L205</f>
        <v>586546.55071414646</v>
      </c>
      <c r="F204" s="223">
        <f t="shared" si="357"/>
        <v>146636.63767853662</v>
      </c>
      <c r="G204" s="224">
        <f t="shared" si="336"/>
        <v>8754.4261300618873</v>
      </c>
      <c r="H204" s="223">
        <f>I204-'KiGa - PS'!H205</f>
        <v>859877.75000000023</v>
      </c>
      <c r="I204" s="223">
        <f t="shared" si="358"/>
        <v>2731339.3000000003</v>
      </c>
      <c r="J204" s="365">
        <v>2867511.95</v>
      </c>
      <c r="K204" s="365">
        <v>110763.75</v>
      </c>
      <c r="L204" s="365">
        <v>0</v>
      </c>
      <c r="M204" s="365">
        <v>25408.9</v>
      </c>
      <c r="N204" s="365"/>
      <c r="O204" s="365"/>
      <c r="P204" s="365">
        <v>1877898.85</v>
      </c>
      <c r="Q204" s="27">
        <f t="shared" si="359"/>
        <v>1852489.9500000002</v>
      </c>
      <c r="R204" s="223">
        <f>(Q204-'KiGa - PS'!H205)*'KiGa - PS'!L205+'KiGa - PS'!C205</f>
        <v>397816.40838438546</v>
      </c>
      <c r="S204" s="226">
        <f t="shared" si="340"/>
        <v>0.67823501459522062</v>
      </c>
      <c r="T204" s="223">
        <f t="shared" si="341"/>
        <v>99454.102096096365</v>
      </c>
      <c r="U204" s="224">
        <f t="shared" si="342"/>
        <v>5937.5583340953053</v>
      </c>
      <c r="V204" s="365">
        <v>135308.85</v>
      </c>
      <c r="W204" s="223">
        <f>V204*'KiGa - PS'!L205</f>
        <v>29057.151284206189</v>
      </c>
      <c r="X204" s="226">
        <f t="shared" si="343"/>
        <v>4.9539377989398822E-2</v>
      </c>
      <c r="Y204" s="223">
        <f t="shared" si="344"/>
        <v>7264.2878210515473</v>
      </c>
      <c r="Z204" s="224">
        <f t="shared" si="337"/>
        <v>433.68882513740579</v>
      </c>
      <c r="AA204" s="365">
        <v>312300.7</v>
      </c>
      <c r="AB204" s="365">
        <v>4835.7</v>
      </c>
      <c r="AC204" s="225">
        <f>Artengliederung!AE204</f>
        <v>41560</v>
      </c>
      <c r="AD204" s="223">
        <f>AC204*'KiGa - PS'!L205</f>
        <v>8924.8796909559805</v>
      </c>
      <c r="AE204" s="226">
        <f t="shared" si="338"/>
        <v>1.5215978476200301E-2</v>
      </c>
      <c r="AF204" s="223">
        <f t="shared" si="345"/>
        <v>2231.2199227389951</v>
      </c>
      <c r="AG204" s="224">
        <f t="shared" si="346"/>
        <v>133.20715956650716</v>
      </c>
      <c r="AH204" s="225">
        <f t="shared" si="347"/>
        <v>307465</v>
      </c>
      <c r="AI204" s="223">
        <f>AH204*'KiGa - PS'!L205</f>
        <v>66027.144710774315</v>
      </c>
      <c r="AJ204" s="226">
        <f t="shared" si="348"/>
        <v>0.11256931718443035</v>
      </c>
      <c r="AK204" s="223">
        <f t="shared" si="349"/>
        <v>16506.786177693579</v>
      </c>
      <c r="AL204" s="224">
        <f t="shared" si="350"/>
        <v>985.4797718026017</v>
      </c>
      <c r="AM204" s="365">
        <v>13378.05</v>
      </c>
      <c r="AN204" s="223">
        <f>AM204*'KiGa - PS'!L205</f>
        <v>2872.8942913761707</v>
      </c>
      <c r="AO204" s="226">
        <f t="shared" si="351"/>
        <v>4.8979817337230858E-3</v>
      </c>
      <c r="AP204" s="223">
        <f t="shared" si="352"/>
        <v>718.22357284404268</v>
      </c>
      <c r="AQ204" s="224">
        <f t="shared" si="339"/>
        <v>42.879019274271208</v>
      </c>
      <c r="AR204" s="223">
        <f>Artengliederung!X204*'KiGa - PS'!L205</f>
        <v>53654.815492322035</v>
      </c>
      <c r="AS204" s="226">
        <f t="shared" si="353"/>
        <v>9.1475800901045137E-2</v>
      </c>
      <c r="AT204" s="223">
        <f t="shared" si="354"/>
        <v>13413.703873080509</v>
      </c>
      <c r="AU204" s="223">
        <f t="shared" si="355"/>
        <v>800.81814167644825</v>
      </c>
      <c r="AV204" s="227">
        <f t="shared" si="356"/>
        <v>4.8066529119981674E-2</v>
      </c>
    </row>
    <row r="205" spans="1:48" x14ac:dyDescent="0.25">
      <c r="A205" s="365" t="s">
        <v>163</v>
      </c>
      <c r="B205" s="365" t="s">
        <v>35</v>
      </c>
      <c r="C205" s="328">
        <v>1</v>
      </c>
      <c r="D205" s="328">
        <f>Kennzahlen!D83</f>
        <v>21</v>
      </c>
      <c r="E205" s="223">
        <f>'KiGa - PS'!C206+H205*'KiGa - PS'!L206</f>
        <v>120531.0266104257</v>
      </c>
      <c r="F205" s="223">
        <f t="shared" si="357"/>
        <v>120531.0266104257</v>
      </c>
      <c r="G205" s="224">
        <f t="shared" si="336"/>
        <v>5739.5726957345569</v>
      </c>
      <c r="H205" s="223">
        <f>I205-'KiGa - PS'!H206</f>
        <v>406790.44999999995</v>
      </c>
      <c r="I205" s="223">
        <f t="shared" si="358"/>
        <v>912483.6</v>
      </c>
      <c r="J205" s="365">
        <v>975051</v>
      </c>
      <c r="K205" s="365">
        <v>49137.8</v>
      </c>
      <c r="L205" s="365">
        <v>0</v>
      </c>
      <c r="M205" s="365">
        <v>13429.6</v>
      </c>
      <c r="N205" s="365"/>
      <c r="O205" s="365"/>
      <c r="P205" s="365">
        <v>513672.85</v>
      </c>
      <c r="Q205" s="27">
        <f t="shared" si="359"/>
        <v>500243.25</v>
      </c>
      <c r="R205" s="223">
        <f>(Q205-'KiGa - PS'!H206)*'KiGa - PS'!L206+'KiGa - PS'!C206</f>
        <v>66077.71633094101</v>
      </c>
      <c r="S205" s="226">
        <f t="shared" si="340"/>
        <v>0.54822163379155531</v>
      </c>
      <c r="T205" s="223">
        <f t="shared" si="341"/>
        <v>66077.71633094101</v>
      </c>
      <c r="U205" s="224">
        <f t="shared" si="342"/>
        <v>3146.5579205210006</v>
      </c>
      <c r="V205" s="365">
        <v>26712.400000000001</v>
      </c>
      <c r="W205" s="223">
        <f>V205*'KiGa - PS'!L206</f>
        <v>3528.4721777227951</v>
      </c>
      <c r="X205" s="226">
        <f t="shared" si="343"/>
        <v>2.9274389150665287E-2</v>
      </c>
      <c r="Y205" s="223">
        <f t="shared" si="344"/>
        <v>3528.4721777227951</v>
      </c>
      <c r="Z205" s="224">
        <f t="shared" si="337"/>
        <v>168.02248465346642</v>
      </c>
      <c r="AA205" s="365">
        <v>60493.9</v>
      </c>
      <c r="AB205" s="365">
        <v>12600</v>
      </c>
      <c r="AC205" s="225">
        <f>Artengliederung!AE205</f>
        <v>111381</v>
      </c>
      <c r="AD205" s="223">
        <f>AC205*'KiGa - PS'!L206</f>
        <v>14712.44664002271</v>
      </c>
      <c r="AE205" s="226">
        <f t="shared" si="338"/>
        <v>0.12206356366295242</v>
      </c>
      <c r="AF205" s="223">
        <f t="shared" si="345"/>
        <v>14712.44664002271</v>
      </c>
      <c r="AG205" s="224">
        <f t="shared" si="346"/>
        <v>700.59269714393861</v>
      </c>
      <c r="AH205" s="225">
        <f t="shared" si="347"/>
        <v>47893.9</v>
      </c>
      <c r="AI205" s="223">
        <f>AH205*'KiGa - PS'!L206</f>
        <v>6326.3613015916872</v>
      </c>
      <c r="AJ205" s="226">
        <f t="shared" si="348"/>
        <v>5.2487409088777054E-2</v>
      </c>
      <c r="AK205" s="223">
        <f t="shared" si="349"/>
        <v>6326.3613015916872</v>
      </c>
      <c r="AL205" s="224">
        <f t="shared" si="350"/>
        <v>301.25530007579465</v>
      </c>
      <c r="AM205" s="365">
        <v>3185.45</v>
      </c>
      <c r="AN205" s="223">
        <f>AM205*'KiGa - PS'!L206</f>
        <v>420.76981845611311</v>
      </c>
      <c r="AO205" s="226">
        <f t="shared" si="351"/>
        <v>3.4909668513494379E-3</v>
      </c>
      <c r="AP205" s="223">
        <f t="shared" si="352"/>
        <v>420.76981845611311</v>
      </c>
      <c r="AQ205" s="224">
        <f t="shared" si="339"/>
        <v>20.036658021719671</v>
      </c>
      <c r="AR205" s="223">
        <f>Artengliederung!X205*'KiGa - PS'!L206</f>
        <v>7925.4702184516436</v>
      </c>
      <c r="AS205" s="226">
        <f t="shared" si="353"/>
        <v>6.5754606438954075E-2</v>
      </c>
      <c r="AT205" s="223">
        <f t="shared" si="354"/>
        <v>7925.4702184516436</v>
      </c>
      <c r="AU205" s="223">
        <f t="shared" si="355"/>
        <v>377.40334373579253</v>
      </c>
      <c r="AV205" s="227">
        <f t="shared" si="356"/>
        <v>0.17870743101574649</v>
      </c>
    </row>
    <row r="206" spans="1:48" x14ac:dyDescent="0.25">
      <c r="A206" s="365" t="s">
        <v>164</v>
      </c>
      <c r="B206" s="365" t="s">
        <v>35</v>
      </c>
      <c r="C206" s="328">
        <v>1</v>
      </c>
      <c r="D206" s="328">
        <f>Kennzahlen!D84</f>
        <v>13</v>
      </c>
      <c r="E206" s="223">
        <f>'KiGa - PS'!C207+H206*'KiGa - PS'!L207</f>
        <v>128226.22510341695</v>
      </c>
      <c r="F206" s="223">
        <f t="shared" si="357"/>
        <v>128226.22510341695</v>
      </c>
      <c r="G206" s="224">
        <f t="shared" si="336"/>
        <v>9863.5557771859185</v>
      </c>
      <c r="H206" s="223">
        <f>I206-'KiGa - PS'!H207</f>
        <v>289776.29999999993</v>
      </c>
      <c r="I206" s="223">
        <f t="shared" si="358"/>
        <v>778320.45</v>
      </c>
      <c r="J206" s="365">
        <v>809936.75</v>
      </c>
      <c r="K206" s="365">
        <v>15736.5</v>
      </c>
      <c r="L206" s="365">
        <v>0</v>
      </c>
      <c r="M206" s="365">
        <v>15879.8</v>
      </c>
      <c r="N206" s="365"/>
      <c r="O206" s="365"/>
      <c r="P206" s="365">
        <v>491034.95</v>
      </c>
      <c r="Q206" s="27">
        <f t="shared" si="359"/>
        <v>475155.15</v>
      </c>
      <c r="R206" s="223">
        <f>(Q206-'KiGa - PS'!H207)*'KiGa - PS'!L207+'KiGa - PS'!C207</f>
        <v>78280.547842405853</v>
      </c>
      <c r="S206" s="226">
        <f t="shared" si="340"/>
        <v>0.61048781385610529</v>
      </c>
      <c r="T206" s="223">
        <f t="shared" si="341"/>
        <v>78280.547842405853</v>
      </c>
      <c r="U206" s="224">
        <f t="shared" si="342"/>
        <v>6021.5806032619885</v>
      </c>
      <c r="V206" s="365">
        <v>31166.5</v>
      </c>
      <c r="W206" s="223">
        <f>V206*'KiGa - PS'!L207</f>
        <v>5134.5980240987428</v>
      </c>
      <c r="X206" s="226">
        <f t="shared" si="343"/>
        <v>4.0043275234512982E-2</v>
      </c>
      <c r="Y206" s="223">
        <f t="shared" si="344"/>
        <v>5134.5980240987428</v>
      </c>
      <c r="Z206" s="224">
        <f t="shared" si="337"/>
        <v>394.96907877682639</v>
      </c>
      <c r="AA206" s="365">
        <v>92422.1</v>
      </c>
      <c r="AB206" s="365">
        <v>10823</v>
      </c>
      <c r="AC206" s="225">
        <f>Artengliederung!AE206</f>
        <v>85028.05</v>
      </c>
      <c r="AD206" s="223">
        <f>AC206*'KiGa - PS'!L207</f>
        <v>14008.14520472203</v>
      </c>
      <c r="AE206" s="226">
        <f t="shared" si="338"/>
        <v>0.10924555560630587</v>
      </c>
      <c r="AF206" s="223">
        <f t="shared" si="345"/>
        <v>14008.14520472203</v>
      </c>
      <c r="AG206" s="224">
        <f t="shared" si="346"/>
        <v>1077.5496311324639</v>
      </c>
      <c r="AH206" s="225">
        <f t="shared" si="347"/>
        <v>81599.100000000006</v>
      </c>
      <c r="AI206" s="223">
        <f>AH206*'KiGa - PS'!L207</f>
        <v>13443.234807509209</v>
      </c>
      <c r="AJ206" s="226">
        <f t="shared" si="348"/>
        <v>0.10483997947118055</v>
      </c>
      <c r="AK206" s="223">
        <f t="shared" si="349"/>
        <v>13443.234807509209</v>
      </c>
      <c r="AL206" s="224">
        <f t="shared" si="350"/>
        <v>1034.0949851930161</v>
      </c>
      <c r="AM206" s="365">
        <v>1147.5</v>
      </c>
      <c r="AN206" s="223">
        <f>AM206*'KiGa - PS'!L207</f>
        <v>189.04757456414123</v>
      </c>
      <c r="AO206" s="226">
        <f t="shared" si="351"/>
        <v>1.4743284722892737E-3</v>
      </c>
      <c r="AP206" s="223">
        <f t="shared" si="352"/>
        <v>189.04757456414123</v>
      </c>
      <c r="AQ206" s="224">
        <f t="shared" si="339"/>
        <v>14.542121120318557</v>
      </c>
      <c r="AR206" s="223">
        <f>Artengliederung!X206*'KiGa - PS'!L207</f>
        <v>7778.2244795429442</v>
      </c>
      <c r="AS206" s="226">
        <f t="shared" si="353"/>
        <v>6.066016895740052E-2</v>
      </c>
      <c r="AT206" s="223">
        <f t="shared" si="354"/>
        <v>7778.2244795429442</v>
      </c>
      <c r="AU206" s="223">
        <f t="shared" si="355"/>
        <v>598.32495996484181</v>
      </c>
      <c r="AV206" s="227">
        <f t="shared" si="356"/>
        <v>7.3248878402205467E-2</v>
      </c>
    </row>
    <row r="207" spans="1:48" x14ac:dyDescent="0.25">
      <c r="A207" s="365" t="s">
        <v>165</v>
      </c>
      <c r="B207" s="365" t="s">
        <v>35</v>
      </c>
      <c r="C207" s="328">
        <v>3</v>
      </c>
      <c r="D207" s="328">
        <f>Kennzahlen!D85</f>
        <v>51</v>
      </c>
      <c r="E207" s="223">
        <f>'KiGa - PS'!C208+H207*'KiGa - PS'!L208</f>
        <v>340853.73183982348</v>
      </c>
      <c r="F207" s="223">
        <f t="shared" si="357"/>
        <v>113617.91061327449</v>
      </c>
      <c r="G207" s="224">
        <f t="shared" si="336"/>
        <v>6683.4065066632056</v>
      </c>
      <c r="H207" s="223">
        <f>I207-'KiGa - PS'!H208</f>
        <v>768055.19999999972</v>
      </c>
      <c r="I207" s="223">
        <f t="shared" si="358"/>
        <v>2422733.4999999995</v>
      </c>
      <c r="J207" s="365">
        <v>2599373.4</v>
      </c>
      <c r="K207" s="365">
        <v>146495.5</v>
      </c>
      <c r="L207" s="365">
        <v>297.2</v>
      </c>
      <c r="M207" s="365">
        <v>29847.200000000001</v>
      </c>
      <c r="N207" s="365"/>
      <c r="O207" s="365"/>
      <c r="P207" s="365">
        <v>1670846.75</v>
      </c>
      <c r="Q207" s="27">
        <f t="shared" si="359"/>
        <v>1640999.55</v>
      </c>
      <c r="R207" s="223">
        <f>(Q207-'KiGa - PS'!H208)*'KiGa - PS'!L208+'KiGa - PS'!C208</f>
        <v>230871.7903000768</v>
      </c>
      <c r="S207" s="226">
        <f t="shared" si="340"/>
        <v>0.67733390816612737</v>
      </c>
      <c r="T207" s="223">
        <f t="shared" si="341"/>
        <v>76957.263433358938</v>
      </c>
      <c r="U207" s="224">
        <f t="shared" si="342"/>
        <v>4526.8978490211139</v>
      </c>
      <c r="V207" s="365">
        <v>112740.65</v>
      </c>
      <c r="W207" s="223">
        <f>V207*'KiGa - PS'!L208</f>
        <v>15861.452067487982</v>
      </c>
      <c r="X207" s="226">
        <f t="shared" si="343"/>
        <v>4.6534482641198464E-2</v>
      </c>
      <c r="Y207" s="223">
        <f t="shared" si="344"/>
        <v>5287.1506891626605</v>
      </c>
      <c r="Z207" s="224">
        <f t="shared" si="337"/>
        <v>311.0088640683918</v>
      </c>
      <c r="AA207" s="365">
        <v>326871.55</v>
      </c>
      <c r="AB207" s="365">
        <v>8912.5</v>
      </c>
      <c r="AC207" s="225">
        <f>Artengliederung!AE207</f>
        <v>116712</v>
      </c>
      <c r="AD207" s="223">
        <f>AC207*'KiGa - PS'!L208</f>
        <v>16420.180242890718</v>
      </c>
      <c r="AE207" s="226">
        <f t="shared" si="338"/>
        <v>4.8173684806851434E-2</v>
      </c>
      <c r="AF207" s="223">
        <f t="shared" si="345"/>
        <v>5473.3934142969056</v>
      </c>
      <c r="AG207" s="224">
        <f t="shared" si="346"/>
        <v>321.96431848805327</v>
      </c>
      <c r="AH207" s="225">
        <f t="shared" si="347"/>
        <v>317959.05</v>
      </c>
      <c r="AI207" s="223">
        <f>AH207*'KiGa - PS'!L208</f>
        <v>44733.574189957348</v>
      </c>
      <c r="AJ207" s="226">
        <f t="shared" si="348"/>
        <v>0.13123979587519635</v>
      </c>
      <c r="AK207" s="223">
        <f t="shared" si="349"/>
        <v>14911.19139665245</v>
      </c>
      <c r="AL207" s="224">
        <f t="shared" si="350"/>
        <v>877.12890568543821</v>
      </c>
      <c r="AM207" s="365">
        <v>5252.8</v>
      </c>
      <c r="AN207" s="223">
        <f>AM207*'KiGa - PS'!L208</f>
        <v>739.01503512797638</v>
      </c>
      <c r="AO207" s="226">
        <f t="shared" si="351"/>
        <v>2.168129511562044E-3</v>
      </c>
      <c r="AP207" s="223">
        <f t="shared" si="352"/>
        <v>246.3383450426588</v>
      </c>
      <c r="AQ207" s="224">
        <f t="shared" si="339"/>
        <v>14.490490884862282</v>
      </c>
      <c r="AR207" s="223">
        <f>Artengliederung!X207*'KiGa - PS'!L208</f>
        <v>19584.756638269202</v>
      </c>
      <c r="AS207" s="226">
        <f t="shared" si="353"/>
        <v>5.7457949873562238E-2</v>
      </c>
      <c r="AT207" s="223">
        <f t="shared" si="354"/>
        <v>6528.2522127564007</v>
      </c>
      <c r="AU207" s="223">
        <f t="shared" si="355"/>
        <v>384.01483604449413</v>
      </c>
      <c r="AV207" s="227">
        <f t="shared" si="356"/>
        <v>3.7092049125502076E-2</v>
      </c>
    </row>
    <row r="208" spans="1:48" x14ac:dyDescent="0.25">
      <c r="A208" s="365" t="s">
        <v>166</v>
      </c>
      <c r="B208" s="365" t="s">
        <v>35</v>
      </c>
      <c r="C208" s="328">
        <v>2</v>
      </c>
      <c r="D208" s="328">
        <f>Kennzahlen!D86</f>
        <v>47</v>
      </c>
      <c r="E208" s="223">
        <f>'KiGa - PS'!C209+H208*'KiGa - PS'!L209</f>
        <v>320040.6431452462</v>
      </c>
      <c r="F208" s="223">
        <f t="shared" si="357"/>
        <v>160020.3215726231</v>
      </c>
      <c r="G208" s="224">
        <f t="shared" si="336"/>
        <v>6809.3753860690676</v>
      </c>
      <c r="H208" s="223">
        <f>I208-'KiGa - PS'!H209</f>
        <v>604657.10000000009</v>
      </c>
      <c r="I208" s="223">
        <f t="shared" si="358"/>
        <v>1450112.7000000002</v>
      </c>
      <c r="J208" s="365">
        <v>1533667.35</v>
      </c>
      <c r="K208" s="365">
        <v>82054.649999999994</v>
      </c>
      <c r="L208" s="365">
        <v>0</v>
      </c>
      <c r="M208" s="365">
        <v>1500</v>
      </c>
      <c r="N208" s="365"/>
      <c r="O208" s="365"/>
      <c r="P208" s="365">
        <v>895787.75</v>
      </c>
      <c r="Q208" s="27">
        <f t="shared" si="359"/>
        <v>894287.75</v>
      </c>
      <c r="R208" s="223">
        <f>(Q208-'KiGa - PS'!H209)*'KiGa - PS'!L209+'KiGa - PS'!C209</f>
        <v>197369.78144313549</v>
      </c>
      <c r="S208" s="226">
        <f t="shared" si="340"/>
        <v>0.61670223976384719</v>
      </c>
      <c r="T208" s="223">
        <f t="shared" si="341"/>
        <v>98684.890721567746</v>
      </c>
      <c r="U208" s="224">
        <f t="shared" si="342"/>
        <v>4199.3570519816067</v>
      </c>
      <c r="V208" s="365">
        <v>67796.350000000006</v>
      </c>
      <c r="W208" s="223">
        <f>V208*'KiGa - PS'!L209</f>
        <v>14962.690456335022</v>
      </c>
      <c r="X208" s="226">
        <f t="shared" si="343"/>
        <v>4.6752469652875939E-2</v>
      </c>
      <c r="Y208" s="223">
        <f t="shared" si="344"/>
        <v>7481.3452281675109</v>
      </c>
      <c r="Z208" s="224">
        <f t="shared" si="337"/>
        <v>318.35511609223448</v>
      </c>
      <c r="AA208" s="365">
        <v>169664.1</v>
      </c>
      <c r="AB208" s="365">
        <v>28384</v>
      </c>
      <c r="AC208" s="225">
        <f>Artengliederung!AE208</f>
        <v>151900.85</v>
      </c>
      <c r="AD208" s="223">
        <f>AC208*'KiGa - PS'!L209</f>
        <v>33524.598280057522</v>
      </c>
      <c r="AE208" s="226">
        <f t="shared" si="338"/>
        <v>0.1047510652103109</v>
      </c>
      <c r="AF208" s="223">
        <f t="shared" si="345"/>
        <v>16762.299140028761</v>
      </c>
      <c r="AG208" s="224">
        <f t="shared" si="346"/>
        <v>713.28932510760683</v>
      </c>
      <c r="AH208" s="225">
        <f t="shared" si="347"/>
        <v>141280.1</v>
      </c>
      <c r="AI208" s="223">
        <f>AH208*'KiGa - PS'!L209</f>
        <v>31180.59311364192</v>
      </c>
      <c r="AJ208" s="226">
        <f t="shared" si="348"/>
        <v>9.7426979296160898E-2</v>
      </c>
      <c r="AK208" s="223">
        <f t="shared" si="349"/>
        <v>15590.29655682096</v>
      </c>
      <c r="AL208" s="224">
        <f t="shared" si="350"/>
        <v>663.41687475833874</v>
      </c>
      <c r="AM208" s="365">
        <v>13476.7</v>
      </c>
      <c r="AN208" s="223">
        <f>AM208*'KiGa - PS'!L209</f>
        <v>2974.3148484083608</v>
      </c>
      <c r="AO208" s="226">
        <f t="shared" si="351"/>
        <v>9.2935535286326355E-3</v>
      </c>
      <c r="AP208" s="223">
        <f t="shared" si="352"/>
        <v>1487.1574242041804</v>
      </c>
      <c r="AQ208" s="224">
        <f t="shared" si="339"/>
        <v>63.283294646986398</v>
      </c>
      <c r="AR208" s="223">
        <f>Artengliederung!X208*'KiGa - PS'!L209</f>
        <v>26683.919106307887</v>
      </c>
      <c r="AS208" s="226">
        <f t="shared" si="353"/>
        <v>8.3376657552202652E-2</v>
      </c>
      <c r="AT208" s="223">
        <f t="shared" si="354"/>
        <v>13341.959553153943</v>
      </c>
      <c r="AU208" s="223">
        <f t="shared" si="355"/>
        <v>567.74295970867843</v>
      </c>
      <c r="AV208" s="227">
        <f t="shared" si="356"/>
        <v>4.1697034995969759E-2</v>
      </c>
    </row>
    <row r="209" spans="1:48" ht="13.9" customHeight="1" x14ac:dyDescent="0.25">
      <c r="A209" s="365" t="s">
        <v>167</v>
      </c>
      <c r="B209" s="365" t="s">
        <v>35</v>
      </c>
      <c r="C209" s="328">
        <v>1.5</v>
      </c>
      <c r="D209" s="328">
        <f>Kennzahlen!D87</f>
        <v>31</v>
      </c>
      <c r="E209" s="223">
        <f>'KiGa - PS'!C210+H209*'KiGa - PS'!L210</f>
        <v>299018.32908084826</v>
      </c>
      <c r="F209" s="223">
        <f t="shared" si="357"/>
        <v>199345.55272056549</v>
      </c>
      <c r="G209" s="224">
        <f t="shared" si="336"/>
        <v>9645.7525509951047</v>
      </c>
      <c r="H209" s="223">
        <f>I209-'KiGa - PS'!H210</f>
        <v>291063.64999999991</v>
      </c>
      <c r="I209" s="223">
        <f t="shared" si="358"/>
        <v>894676.2</v>
      </c>
      <c r="J209" s="365">
        <f>929417.6+'KiGa - PS'!I95</f>
        <v>930504.6</v>
      </c>
      <c r="K209" s="365">
        <v>13887.4</v>
      </c>
      <c r="L209" s="365">
        <v>0</v>
      </c>
      <c r="M209" s="365">
        <v>21941</v>
      </c>
      <c r="N209" s="365"/>
      <c r="O209" s="365"/>
      <c r="P209" s="365">
        <f>606351.85+'KiGa - PS'!I95</f>
        <v>607438.85</v>
      </c>
      <c r="Q209" s="27">
        <f t="shared" si="359"/>
        <v>585497.85</v>
      </c>
      <c r="R209" s="223">
        <f>(Q209-'KiGa - PS'!H210)*'KiGa - PS'!L210+'KiGa - PS'!C210</f>
        <v>195684.86206230716</v>
      </c>
      <c r="S209" s="226">
        <f t="shared" si="340"/>
        <v>0.65442430456963085</v>
      </c>
      <c r="T209" s="223">
        <f t="shared" si="341"/>
        <v>130456.57470820477</v>
      </c>
      <c r="U209" s="224">
        <f t="shared" si="342"/>
        <v>6312.4149052357152</v>
      </c>
      <c r="V209" s="365">
        <v>52407.65</v>
      </c>
      <c r="W209" s="223">
        <f>V209*'KiGa - PS'!L210</f>
        <v>17515.664252669198</v>
      </c>
      <c r="X209" s="226">
        <f t="shared" si="343"/>
        <v>5.8577226039990785E-2</v>
      </c>
      <c r="Y209" s="223">
        <f t="shared" si="344"/>
        <v>11677.109501779465</v>
      </c>
      <c r="Z209" s="224">
        <f t="shared" si="337"/>
        <v>565.02142750545795</v>
      </c>
      <c r="AA209" s="365">
        <v>97960.65</v>
      </c>
      <c r="AB209" s="365">
        <v>2242.4</v>
      </c>
      <c r="AC209" s="225">
        <f>Artengliederung!AE209</f>
        <v>33597</v>
      </c>
      <c r="AD209" s="223">
        <f>AC209*'KiGa - PS'!L210</f>
        <v>11228.776178609936</v>
      </c>
      <c r="AE209" s="226">
        <f t="shared" si="338"/>
        <v>3.7552133386358107E-2</v>
      </c>
      <c r="AF209" s="223">
        <f t="shared" si="345"/>
        <v>7485.8507857399572</v>
      </c>
      <c r="AG209" s="224">
        <f t="shared" si="346"/>
        <v>362.21858640677215</v>
      </c>
      <c r="AH209" s="225">
        <f t="shared" si="347"/>
        <v>95718.25</v>
      </c>
      <c r="AI209" s="223">
        <f>AH209*'KiGa - PS'!L210</f>
        <v>31990.916018044187</v>
      </c>
      <c r="AJ209" s="226">
        <f t="shared" si="348"/>
        <v>0.10698647175369146</v>
      </c>
      <c r="AK209" s="223">
        <f t="shared" si="349"/>
        <v>21327.277345362792</v>
      </c>
      <c r="AL209" s="224">
        <f t="shared" si="350"/>
        <v>1031.9650328401351</v>
      </c>
      <c r="AM209" s="365">
        <v>4424</v>
      </c>
      <c r="AN209" s="223">
        <f>AM209*'KiGa - PS'!L210</f>
        <v>1478.5875469289031</v>
      </c>
      <c r="AO209" s="226">
        <f t="shared" si="351"/>
        <v>4.9448057297153984E-3</v>
      </c>
      <c r="AP209" s="223">
        <f t="shared" si="352"/>
        <v>985.72503128593542</v>
      </c>
      <c r="AQ209" s="224">
        <f t="shared" si="339"/>
        <v>47.696372481577519</v>
      </c>
      <c r="AR209" s="223">
        <f>Artengliederung!X209*'KiGa - PS'!L210</f>
        <v>10610.436481373688</v>
      </c>
      <c r="AS209" s="226">
        <f t="shared" si="353"/>
        <v>3.5484234407934405E-2</v>
      </c>
      <c r="AT209" s="223">
        <f t="shared" si="354"/>
        <v>7073.6243209157919</v>
      </c>
      <c r="AU209" s="223">
        <f t="shared" si="355"/>
        <v>342.27214456044157</v>
      </c>
      <c r="AV209" s="227">
        <f t="shared" si="356"/>
        <v>0.102030824112679</v>
      </c>
    </row>
    <row r="210" spans="1:48" x14ac:dyDescent="0.25">
      <c r="A210" s="365" t="s">
        <v>168</v>
      </c>
      <c r="B210" s="365" t="s">
        <v>35</v>
      </c>
      <c r="C210" s="328">
        <v>0.5</v>
      </c>
      <c r="D210" s="328">
        <f>Kennzahlen!D88</f>
        <v>13</v>
      </c>
      <c r="E210" s="223">
        <f>'KiGa - PS'!C211+H210*'KiGa - PS'!L211</f>
        <v>138821.456130059</v>
      </c>
      <c r="F210" s="223">
        <f t="shared" si="357"/>
        <v>277642.912260118</v>
      </c>
      <c r="G210" s="224">
        <f t="shared" si="336"/>
        <v>10678.573548466076</v>
      </c>
      <c r="H210" s="223">
        <f>I210-'KiGa - PS'!H211</f>
        <v>347424.14999999991</v>
      </c>
      <c r="I210" s="223">
        <f t="shared" si="358"/>
        <v>803575.54999999993</v>
      </c>
      <c r="J210" s="365">
        <v>828764.85</v>
      </c>
      <c r="K210" s="365">
        <v>23737.5</v>
      </c>
      <c r="L210" s="365">
        <v>0</v>
      </c>
      <c r="M210" s="365">
        <v>1451.8</v>
      </c>
      <c r="N210" s="365"/>
      <c r="O210" s="365"/>
      <c r="P210" s="365">
        <v>476549.2</v>
      </c>
      <c r="Q210" s="27">
        <f t="shared" si="359"/>
        <v>475097.4</v>
      </c>
      <c r="R210" s="223">
        <f>(Q210-'KiGa - PS'!H211)*'KiGa - PS'!L211+'KiGa - PS'!C211</f>
        <v>82075.310618404328</v>
      </c>
      <c r="S210" s="226">
        <f t="shared" si="340"/>
        <v>0.59122928765067584</v>
      </c>
      <c r="T210" s="223">
        <f t="shared" si="341"/>
        <v>164150.62123680866</v>
      </c>
      <c r="U210" s="224">
        <f t="shared" si="342"/>
        <v>6313.485432184948</v>
      </c>
      <c r="V210" s="365">
        <v>26571.75</v>
      </c>
      <c r="W210" s="223">
        <f>V210*'KiGa - PS'!L211</f>
        <v>4590.394800991513</v>
      </c>
      <c r="X210" s="226">
        <f t="shared" si="343"/>
        <v>3.3066897070225698E-2</v>
      </c>
      <c r="Y210" s="223">
        <f t="shared" si="344"/>
        <v>9180.7896019830259</v>
      </c>
      <c r="Z210" s="224">
        <f t="shared" si="337"/>
        <v>353.10729238396254</v>
      </c>
      <c r="AA210" s="365">
        <v>82994.25</v>
      </c>
      <c r="AB210" s="365">
        <v>38943</v>
      </c>
      <c r="AC210" s="225">
        <f>Artengliederung!AE210</f>
        <v>96453.4</v>
      </c>
      <c r="AD210" s="223">
        <f>AC210*'KiGa - PS'!L211</f>
        <v>16662.778548569619</v>
      </c>
      <c r="AE210" s="226">
        <f t="shared" si="338"/>
        <v>0.12003028215579731</v>
      </c>
      <c r="AF210" s="223">
        <f t="shared" si="345"/>
        <v>33325.557097139237</v>
      </c>
      <c r="AG210" s="224">
        <f t="shared" si="346"/>
        <v>1281.7521960438169</v>
      </c>
      <c r="AH210" s="225">
        <f t="shared" si="347"/>
        <v>44051.25</v>
      </c>
      <c r="AI210" s="223">
        <f>AH210*'KiGa - PS'!L211</f>
        <v>7610.0606462569231</v>
      </c>
      <c r="AJ210" s="226">
        <f t="shared" si="348"/>
        <v>5.4819052172505753E-2</v>
      </c>
      <c r="AK210" s="223">
        <f t="shared" si="349"/>
        <v>15220.121292513846</v>
      </c>
      <c r="AL210" s="224">
        <f t="shared" si="350"/>
        <v>585.38928048130174</v>
      </c>
      <c r="AM210" s="365">
        <v>1966.6</v>
      </c>
      <c r="AN210" s="223">
        <f>AM210*'KiGa - PS'!L211</f>
        <v>339.73940051482907</v>
      </c>
      <c r="AO210" s="226">
        <f t="shared" si="351"/>
        <v>2.4473118924536719E-3</v>
      </c>
      <c r="AP210" s="223">
        <f t="shared" si="352"/>
        <v>679.47880102965814</v>
      </c>
      <c r="AQ210" s="224">
        <f t="shared" si="339"/>
        <v>26.133800039602235</v>
      </c>
      <c r="AR210" s="223">
        <f>Artengliederung!X210*'KiGa - PS'!L211</f>
        <v>15849.69989734768</v>
      </c>
      <c r="AS210" s="226">
        <f t="shared" si="353"/>
        <v>0.11417327219575063</v>
      </c>
      <c r="AT210" s="223">
        <f t="shared" si="354"/>
        <v>31699.39979469536</v>
      </c>
      <c r="AU210" s="223">
        <f t="shared" si="355"/>
        <v>1219.2076844113601</v>
      </c>
      <c r="AV210" s="227">
        <f t="shared" si="356"/>
        <v>8.4233896862591084E-2</v>
      </c>
    </row>
    <row r="211" spans="1:48" x14ac:dyDescent="0.25">
      <c r="A211" s="365" t="s">
        <v>169</v>
      </c>
      <c r="B211" s="365" t="s">
        <v>35</v>
      </c>
      <c r="C211" s="328">
        <v>2</v>
      </c>
      <c r="D211" s="328">
        <f>Kennzahlen!D89</f>
        <v>35</v>
      </c>
      <c r="E211" s="223">
        <f>'KiGa - PS'!C212+H211*'KiGa - PS'!L212</f>
        <v>253417.16537084739</v>
      </c>
      <c r="F211" s="223">
        <f t="shared" si="357"/>
        <v>126708.58268542369</v>
      </c>
      <c r="G211" s="224">
        <f t="shared" ref="G211:G225" si="360">E211/D211</f>
        <v>7240.490439167068</v>
      </c>
      <c r="H211" s="223">
        <f>I211-'KiGa - PS'!H212</f>
        <v>496284.75000000023</v>
      </c>
      <c r="I211" s="223">
        <f t="shared" si="358"/>
        <v>1115149.9500000002</v>
      </c>
      <c r="J211" s="365">
        <v>1171202.1000000001</v>
      </c>
      <c r="K211" s="365">
        <v>39191.5</v>
      </c>
      <c r="L211" s="365">
        <v>0</v>
      </c>
      <c r="M211" s="365">
        <v>16860.650000000001</v>
      </c>
      <c r="N211" s="365"/>
      <c r="O211" s="365"/>
      <c r="P211" s="365">
        <v>625219.65</v>
      </c>
      <c r="Q211" s="27">
        <f t="shared" si="359"/>
        <v>608359</v>
      </c>
      <c r="R211" s="223">
        <f>(Q211-'KiGa - PS'!H212)*'KiGa - PS'!L212+'KiGa - PS'!C212</f>
        <v>138249.22227530327</v>
      </c>
      <c r="S211" s="226">
        <f t="shared" si="340"/>
        <v>0.54554008633547435</v>
      </c>
      <c r="T211" s="223">
        <f t="shared" si="341"/>
        <v>69124.611137651635</v>
      </c>
      <c r="U211" s="224">
        <f t="shared" si="342"/>
        <v>3949.9777792943792</v>
      </c>
      <c r="V211" s="365">
        <v>42397.3</v>
      </c>
      <c r="W211" s="223">
        <f>V211*'KiGa - PS'!L212</f>
        <v>9634.7613030672928</v>
      </c>
      <c r="X211" s="226">
        <f t="shared" si="343"/>
        <v>3.8019371296209976E-2</v>
      </c>
      <c r="Y211" s="223">
        <f t="shared" si="344"/>
        <v>4817.3806515336464</v>
      </c>
      <c r="Z211" s="224">
        <f t="shared" ref="Z211:Z225" si="361">W211/D211</f>
        <v>275.27889437335125</v>
      </c>
      <c r="AA211" s="365">
        <v>209988.45</v>
      </c>
      <c r="AB211" s="365">
        <v>5310</v>
      </c>
      <c r="AC211" s="225">
        <f>Artengliederung!AE211</f>
        <v>114534.6</v>
      </c>
      <c r="AD211" s="223">
        <f>AC211*'KiGa - PS'!L212</f>
        <v>26027.919984109627</v>
      </c>
      <c r="AE211" s="226">
        <f t="shared" ref="AE211:AE225" si="362">AD211/$E211</f>
        <v>0.10270780176244457</v>
      </c>
      <c r="AF211" s="223">
        <f t="shared" si="345"/>
        <v>13013.959992054813</v>
      </c>
      <c r="AG211" s="224">
        <f t="shared" si="346"/>
        <v>743.65485668884651</v>
      </c>
      <c r="AH211" s="225">
        <f t="shared" si="347"/>
        <v>204678.45</v>
      </c>
      <c r="AI211" s="223">
        <f>AH211*'KiGa - PS'!L212</f>
        <v>46513.056483120243</v>
      </c>
      <c r="AJ211" s="226">
        <f t="shared" si="348"/>
        <v>0.18354343288093228</v>
      </c>
      <c r="AK211" s="223">
        <f t="shared" si="349"/>
        <v>23256.528241560121</v>
      </c>
      <c r="AL211" s="224">
        <f t="shared" si="350"/>
        <v>1328.9444709462925</v>
      </c>
      <c r="AM211" s="365">
        <v>7313.95</v>
      </c>
      <c r="AN211" s="223">
        <f>AM211*'KiGa - PS'!L212</f>
        <v>1662.090803720261</v>
      </c>
      <c r="AO211" s="226">
        <f t="shared" si="351"/>
        <v>6.5587143684129635E-3</v>
      </c>
      <c r="AP211" s="223">
        <f t="shared" si="352"/>
        <v>831.04540186013048</v>
      </c>
      <c r="AQ211" s="224">
        <f t="shared" ref="AQ211:AQ225" si="363">AN211/D211</f>
        <v>47.48830867772174</v>
      </c>
      <c r="AR211" s="223">
        <f>Artengliederung!X211*'KiGa - PS'!L212</f>
        <v>25785.228979408603</v>
      </c>
      <c r="AS211" s="226">
        <f t="shared" si="353"/>
        <v>0.1017501278639702</v>
      </c>
      <c r="AT211" s="223">
        <f t="shared" si="354"/>
        <v>12892.614489704301</v>
      </c>
      <c r="AU211" s="223">
        <f t="shared" si="355"/>
        <v>736.72082798310294</v>
      </c>
      <c r="AV211" s="227">
        <f t="shared" si="356"/>
        <v>2.1880465492555679E-2</v>
      </c>
    </row>
    <row r="212" spans="1:48" x14ac:dyDescent="0.25">
      <c r="A212" s="365" t="s">
        <v>170</v>
      </c>
      <c r="B212" s="365" t="s">
        <v>35</v>
      </c>
      <c r="C212" s="328">
        <v>1</v>
      </c>
      <c r="D212" s="328">
        <f>Kennzahlen!D90</f>
        <v>16</v>
      </c>
      <c r="E212" s="223">
        <f>'KiGa - PS'!C213+H212*'KiGa - PS'!L213</f>
        <v>204146.06612919027</v>
      </c>
      <c r="F212" s="223">
        <f t="shared" si="357"/>
        <v>204146.06612919027</v>
      </c>
      <c r="G212" s="224">
        <f t="shared" si="360"/>
        <v>12759.129133074392</v>
      </c>
      <c r="H212" s="223">
        <f>I212-'KiGa - PS'!H213</f>
        <v>457484.6</v>
      </c>
      <c r="I212" s="223">
        <f t="shared" si="358"/>
        <v>984194.55</v>
      </c>
      <c r="J212" s="365">
        <v>1077915.8500000001</v>
      </c>
      <c r="K212" s="365">
        <v>13906.5</v>
      </c>
      <c r="L212" s="365">
        <v>0</v>
      </c>
      <c r="M212" s="365">
        <v>79814.8</v>
      </c>
      <c r="N212" s="365"/>
      <c r="O212" s="365"/>
      <c r="P212" s="365">
        <v>554650.44999999995</v>
      </c>
      <c r="Q212" s="27">
        <f t="shared" si="359"/>
        <v>474835.64999999997</v>
      </c>
      <c r="R212" s="223">
        <f>(Q212-'KiGa - PS'!H213)*'KiGa - PS'!L213+'KiGa - PS'!C213</f>
        <v>98492.54906501669</v>
      </c>
      <c r="S212" s="226">
        <f t="shared" si="340"/>
        <v>0.48246116583352333</v>
      </c>
      <c r="T212" s="223">
        <f t="shared" si="341"/>
        <v>98492.54906501669</v>
      </c>
      <c r="U212" s="224">
        <f t="shared" si="342"/>
        <v>6155.7843165635431</v>
      </c>
      <c r="V212" s="365">
        <v>44057.35</v>
      </c>
      <c r="W212" s="223">
        <f>V212*'KiGa - PS'!L213</f>
        <v>9138.5739603789516</v>
      </c>
      <c r="X212" s="226">
        <f t="shared" si="343"/>
        <v>4.4764879057702558E-2</v>
      </c>
      <c r="Y212" s="223">
        <f t="shared" si="344"/>
        <v>9138.5739603789516</v>
      </c>
      <c r="Z212" s="224">
        <f t="shared" si="361"/>
        <v>571.16087252368447</v>
      </c>
      <c r="AA212" s="365">
        <v>58328.5</v>
      </c>
      <c r="AB212" s="365">
        <v>1114.25</v>
      </c>
      <c r="AC212" s="225">
        <f>Artengliederung!AE212</f>
        <v>241305</v>
      </c>
      <c r="AD212" s="223">
        <f>AC212*'KiGa - PS'!L213</f>
        <v>50052.569877880596</v>
      </c>
      <c r="AE212" s="226">
        <f t="shared" si="362"/>
        <v>0.24518018312537898</v>
      </c>
      <c r="AF212" s="223">
        <f t="shared" si="345"/>
        <v>50052.569877880596</v>
      </c>
      <c r="AG212" s="224">
        <f t="shared" si="346"/>
        <v>3128.2856173675373</v>
      </c>
      <c r="AH212" s="225">
        <f t="shared" si="347"/>
        <v>57214.25</v>
      </c>
      <c r="AI212" s="223">
        <f>AH212*'KiGa - PS'!L213</f>
        <v>11867.637413793871</v>
      </c>
      <c r="AJ212" s="226">
        <f t="shared" si="348"/>
        <v>5.8133069320491559E-2</v>
      </c>
      <c r="AK212" s="223">
        <f t="shared" si="349"/>
        <v>11867.637413793871</v>
      </c>
      <c r="AL212" s="224">
        <f t="shared" si="350"/>
        <v>741.72733836211694</v>
      </c>
      <c r="AM212" s="365">
        <v>2503.6999999999998</v>
      </c>
      <c r="AN212" s="223">
        <f>AM212*'KiGa - PS'!L213</f>
        <v>519.32873004392638</v>
      </c>
      <c r="AO212" s="226">
        <f t="shared" si="351"/>
        <v>2.5439076044467017E-3</v>
      </c>
      <c r="AP212" s="223">
        <f t="shared" si="352"/>
        <v>519.32873004392638</v>
      </c>
      <c r="AQ212" s="224">
        <f t="shared" si="363"/>
        <v>32.458045627745399</v>
      </c>
      <c r="AR212" s="223">
        <f>Artengliederung!X212*'KiGa - PS'!L213</f>
        <v>27681.287473290562</v>
      </c>
      <c r="AS212" s="226">
        <f t="shared" si="353"/>
        <v>0.13559549786167785</v>
      </c>
      <c r="AT212" s="223">
        <f t="shared" si="354"/>
        <v>27681.287473290562</v>
      </c>
      <c r="AU212" s="223">
        <f t="shared" si="355"/>
        <v>1730.0804670806601</v>
      </c>
      <c r="AV212" s="227">
        <f t="shared" si="356"/>
        <v>3.132129719677898E-2</v>
      </c>
    </row>
    <row r="213" spans="1:48" x14ac:dyDescent="0.25">
      <c r="A213" s="365" t="s">
        <v>171</v>
      </c>
      <c r="B213" s="365" t="s">
        <v>35</v>
      </c>
      <c r="C213" s="328">
        <v>2</v>
      </c>
      <c r="D213" s="328">
        <f>Kennzahlen!D91</f>
        <v>33</v>
      </c>
      <c r="E213" s="223">
        <f>'KiGa - PS'!C214+H213*'KiGa - PS'!L214</f>
        <v>205112.54640048335</v>
      </c>
      <c r="F213" s="223">
        <f t="shared" si="357"/>
        <v>102556.27320024167</v>
      </c>
      <c r="G213" s="224">
        <f t="shared" si="360"/>
        <v>6215.5317091055558</v>
      </c>
      <c r="H213" s="223">
        <f>I213-'KiGa - PS'!H214</f>
        <v>808917.25</v>
      </c>
      <c r="I213" s="223">
        <f t="shared" si="358"/>
        <v>2156496.1</v>
      </c>
      <c r="J213" s="365">
        <v>2275847.75</v>
      </c>
      <c r="K213" s="365">
        <v>70661.649999999994</v>
      </c>
      <c r="L213" s="365">
        <v>2475.4499999999998</v>
      </c>
      <c r="M213" s="365">
        <v>46214.55</v>
      </c>
      <c r="N213" s="365"/>
      <c r="O213" s="365"/>
      <c r="P213" s="365">
        <v>1359925.4</v>
      </c>
      <c r="Q213" s="27">
        <f t="shared" si="359"/>
        <v>1313710.8499999999</v>
      </c>
      <c r="R213" s="223">
        <f>(Q213-'KiGa - PS'!H214)*'KiGa - PS'!L214+'KiGa - PS'!C214</f>
        <v>124952.03570154539</v>
      </c>
      <c r="S213" s="226">
        <f t="shared" si="340"/>
        <v>0.60918767717687961</v>
      </c>
      <c r="T213" s="223">
        <f t="shared" si="341"/>
        <v>62476.017850772696</v>
      </c>
      <c r="U213" s="224">
        <f t="shared" si="342"/>
        <v>3786.4253242892541</v>
      </c>
      <c r="V213" s="365">
        <v>106262.8</v>
      </c>
      <c r="W213" s="223">
        <f>V213*'KiGa - PS'!L214</f>
        <v>10107.059083318203</v>
      </c>
      <c r="X213" s="226">
        <f t="shared" si="343"/>
        <v>4.927567455373557E-2</v>
      </c>
      <c r="Y213" s="223">
        <f t="shared" si="344"/>
        <v>5053.5295416591016</v>
      </c>
      <c r="Z213" s="224">
        <f t="shared" si="361"/>
        <v>306.27451767630919</v>
      </c>
      <c r="AA213" s="365">
        <v>309700.95</v>
      </c>
      <c r="AB213" s="365">
        <v>22165.200000000001</v>
      </c>
      <c r="AC213" s="225">
        <f>Artengliederung!AE213</f>
        <v>159660</v>
      </c>
      <c r="AD213" s="223">
        <f>AC213*'KiGa - PS'!L214</f>
        <v>15185.869873959507</v>
      </c>
      <c r="AE213" s="226">
        <f t="shared" si="362"/>
        <v>7.403676732825995E-2</v>
      </c>
      <c r="AF213" s="223">
        <f t="shared" si="345"/>
        <v>7592.9349369797537</v>
      </c>
      <c r="AG213" s="224">
        <f t="shared" si="346"/>
        <v>460.17787496846995</v>
      </c>
      <c r="AH213" s="225">
        <f t="shared" ref="AH213:AH228" si="364">AA213-AB213</f>
        <v>287535.75</v>
      </c>
      <c r="AI213" s="223">
        <f>AH213*'KiGa - PS'!L214</f>
        <v>27348.618837600854</v>
      </c>
      <c r="AJ213" s="226">
        <f t="shared" si="348"/>
        <v>0.13333469511027632</v>
      </c>
      <c r="AK213" s="223">
        <f t="shared" si="349"/>
        <v>13674.309418800427</v>
      </c>
      <c r="AL213" s="224">
        <f t="shared" si="350"/>
        <v>828.74602538184411</v>
      </c>
      <c r="AM213" s="365">
        <v>2490.1</v>
      </c>
      <c r="AN213" s="223">
        <f>AM213*'KiGa - PS'!L214</f>
        <v>236.84288220685562</v>
      </c>
      <c r="AO213" s="226">
        <f t="shared" si="351"/>
        <v>1.1546971960672684E-3</v>
      </c>
      <c r="AP213" s="223">
        <f t="shared" si="352"/>
        <v>118.42144110342781</v>
      </c>
      <c r="AQ213" s="224">
        <f t="shared" si="363"/>
        <v>7.1770570365713828</v>
      </c>
      <c r="AR213" s="223">
        <f>Artengliederung!X213*'KiGa - PS'!L214</f>
        <v>13024.375398573151</v>
      </c>
      <c r="AS213" s="226">
        <f t="shared" si="353"/>
        <v>6.3498677321976144E-2</v>
      </c>
      <c r="AT213" s="223">
        <f t="shared" si="354"/>
        <v>6512.1876992865755</v>
      </c>
      <c r="AU213" s="223">
        <f t="shared" si="355"/>
        <v>394.67804238100456</v>
      </c>
      <c r="AV213" s="227">
        <f t="shared" si="356"/>
        <v>6.9511811312805177E-2</v>
      </c>
    </row>
    <row r="214" spans="1:48" x14ac:dyDescent="0.25">
      <c r="A214" s="365" t="s">
        <v>172</v>
      </c>
      <c r="B214" s="365" t="s">
        <v>35</v>
      </c>
      <c r="C214" s="328">
        <v>1</v>
      </c>
      <c r="D214" s="328">
        <f>Kennzahlen!D92</f>
        <v>23</v>
      </c>
      <c r="E214" s="223">
        <f>'KiGa - PS'!C215+H214*'KiGa - PS'!L215</f>
        <v>148843.97642278159</v>
      </c>
      <c r="F214" s="223">
        <f t="shared" si="357"/>
        <v>148843.97642278159</v>
      </c>
      <c r="G214" s="224">
        <f t="shared" si="360"/>
        <v>6471.4772357731126</v>
      </c>
      <c r="H214" s="223">
        <f>I214-'KiGa - PS'!H215</f>
        <v>246125.04999999993</v>
      </c>
      <c r="I214" s="223">
        <f t="shared" si="358"/>
        <v>704995.54999999993</v>
      </c>
      <c r="J214" s="365">
        <v>724322.45</v>
      </c>
      <c r="K214" s="365">
        <v>19326.900000000001</v>
      </c>
      <c r="L214" s="365">
        <v>0</v>
      </c>
      <c r="M214" s="365">
        <v>0</v>
      </c>
      <c r="N214" s="365"/>
      <c r="O214" s="365"/>
      <c r="P214" s="365">
        <v>459419.45</v>
      </c>
      <c r="Q214" s="27">
        <f t="shared" si="359"/>
        <v>459419.45</v>
      </c>
      <c r="R214" s="223">
        <f>(Q214-'KiGa - PS'!H215)*'KiGa - PS'!L215+'KiGa - PS'!C215</f>
        <v>96996.098463270144</v>
      </c>
      <c r="S214" s="226">
        <f t="shared" ref="S214:S229" si="365">R214/$E214</f>
        <v>0.65166290765948809</v>
      </c>
      <c r="T214" s="223">
        <f t="shared" ref="T214:T229" si="366">R214/C214</f>
        <v>96996.098463270144</v>
      </c>
      <c r="U214" s="224">
        <f t="shared" ref="U214:U229" si="367">R214/D214</f>
        <v>4217.2216723160936</v>
      </c>
      <c r="V214" s="365">
        <v>31937.7</v>
      </c>
      <c r="W214" s="223">
        <f>V214*'KiGa - PS'!L215</f>
        <v>6742.9280451456352</v>
      </c>
      <c r="X214" s="226">
        <f t="shared" ref="X214:X229" si="368">W214/$E214</f>
        <v>4.5301988076378641E-2</v>
      </c>
      <c r="Y214" s="223">
        <f t="shared" ref="Y214:Y229" si="369">W214/C214</f>
        <v>6742.9280451456352</v>
      </c>
      <c r="Z214" s="224">
        <f t="shared" si="361"/>
        <v>293.17078457154935</v>
      </c>
      <c r="AA214" s="365">
        <v>75708.5</v>
      </c>
      <c r="AB214" s="365">
        <v>28186.3</v>
      </c>
      <c r="AC214" s="225">
        <f>Artengliederung!AE214</f>
        <v>75999</v>
      </c>
      <c r="AD214" s="223">
        <f>AC214*'KiGa - PS'!L215</f>
        <v>16045.481938368232</v>
      </c>
      <c r="AE214" s="226">
        <f t="shared" si="362"/>
        <v>0.10780068044401131</v>
      </c>
      <c r="AF214" s="223">
        <f t="shared" ref="AF214:AF229" si="370">AD214/C214</f>
        <v>16045.481938368232</v>
      </c>
      <c r="AG214" s="224">
        <f t="shared" ref="AG214:AG229" si="371">AD214/D214</f>
        <v>697.62964949427089</v>
      </c>
      <c r="AH214" s="225">
        <f t="shared" si="364"/>
        <v>47522.2</v>
      </c>
      <c r="AI214" s="223">
        <f>AH214*'KiGa - PS'!L215</f>
        <v>10033.245197588425</v>
      </c>
      <c r="AJ214" s="226">
        <f t="shared" ref="AJ214:AJ229" si="372">AI214/$E214</f>
        <v>6.7407801368391612E-2</v>
      </c>
      <c r="AK214" s="223">
        <f t="shared" ref="AK214:AK229" si="373">AI214/C214</f>
        <v>10033.245197588425</v>
      </c>
      <c r="AL214" s="224">
        <f t="shared" ref="AL214:AL229" si="374">AI214/D214</f>
        <v>436.22805206906196</v>
      </c>
      <c r="AM214" s="365">
        <v>4966.3500000000004</v>
      </c>
      <c r="AN214" s="223">
        <f>AM214*'KiGa - PS'!L215</f>
        <v>1048.53325997204</v>
      </c>
      <c r="AO214" s="226">
        <f t="shared" ref="AO214:AO229" si="375">AN214/$E214</f>
        <v>7.0445125504692901E-3</v>
      </c>
      <c r="AP214" s="223">
        <f t="shared" ref="AP214:AP229" si="376">AN214/C214</f>
        <v>1048.53325997204</v>
      </c>
      <c r="AQ214" s="224">
        <f t="shared" si="363"/>
        <v>45.588402607479999</v>
      </c>
      <c r="AR214" s="223">
        <f>Artengliederung!X214*'KiGa - PS'!L215</f>
        <v>8757.5492605865929</v>
      </c>
      <c r="AS214" s="226">
        <f t="shared" ref="AS214:AS229" si="377">AR214/E214</f>
        <v>5.8837108971822594E-2</v>
      </c>
      <c r="AT214" s="223">
        <f t="shared" ref="AT214:AT229" si="378">AR214/C214</f>
        <v>8757.5492605865929</v>
      </c>
      <c r="AU214" s="223">
        <f t="shared" ref="AU214:AU229" si="379">AR214/D214</f>
        <v>380.76301132985185</v>
      </c>
      <c r="AV214" s="227">
        <f t="shared" ref="AV214:AV229" si="380">1-S214-X214-AJ214-AE214-AO214-AS214</f>
        <v>6.1945000929438471E-2</v>
      </c>
    </row>
    <row r="215" spans="1:48" x14ac:dyDescent="0.25">
      <c r="A215" s="365" t="s">
        <v>173</v>
      </c>
      <c r="B215" s="365" t="s">
        <v>35</v>
      </c>
      <c r="C215" s="328">
        <v>3</v>
      </c>
      <c r="D215" s="328">
        <f>Kennzahlen!D93</f>
        <v>72</v>
      </c>
      <c r="E215" s="223">
        <f>'KiGa - PS'!C216+H215*'KiGa - PS'!L216</f>
        <v>367178.57342273864</v>
      </c>
      <c r="F215" s="223">
        <f t="shared" ref="F215:F230" si="381">E215/C215</f>
        <v>122392.85780757955</v>
      </c>
      <c r="G215" s="224">
        <f t="shared" si="360"/>
        <v>5099.7024086491474</v>
      </c>
      <c r="H215" s="223">
        <f>I215-'KiGa - PS'!H216</f>
        <v>704012.25000000023</v>
      </c>
      <c r="I215" s="223">
        <f t="shared" si="358"/>
        <v>2287768.4500000002</v>
      </c>
      <c r="J215" s="365">
        <v>2494203.6</v>
      </c>
      <c r="K215" s="365">
        <v>136146.9</v>
      </c>
      <c r="L215" s="365">
        <v>0</v>
      </c>
      <c r="M215" s="365">
        <v>70288.25</v>
      </c>
      <c r="N215" s="365"/>
      <c r="O215" s="365"/>
      <c r="P215" s="365">
        <v>1610504.6</v>
      </c>
      <c r="Q215" s="27">
        <f t="shared" si="359"/>
        <v>1540216.35</v>
      </c>
      <c r="R215" s="223">
        <f>(Q215-'KiGa - PS'!H216)*'KiGa - PS'!L216+'KiGa - PS'!C216</f>
        <v>247199.1613291885</v>
      </c>
      <c r="S215" s="226">
        <f t="shared" si="365"/>
        <v>0.67323961478706462</v>
      </c>
      <c r="T215" s="223">
        <f t="shared" si="366"/>
        <v>82399.720443062834</v>
      </c>
      <c r="U215" s="224">
        <f t="shared" si="367"/>
        <v>3433.3216851276179</v>
      </c>
      <c r="V215" s="365">
        <v>117547.7</v>
      </c>
      <c r="W215" s="223">
        <f>V215*'KiGa - PS'!L216</f>
        <v>18865.981299429168</v>
      </c>
      <c r="X215" s="226">
        <f t="shared" si="368"/>
        <v>5.1380942857219662E-2</v>
      </c>
      <c r="Y215" s="223">
        <f t="shared" si="369"/>
        <v>6288.6604331430563</v>
      </c>
      <c r="Z215" s="224">
        <f t="shared" si="361"/>
        <v>262.02751804762732</v>
      </c>
      <c r="AA215" s="365">
        <v>307354.25</v>
      </c>
      <c r="AB215" s="365">
        <v>44230.45</v>
      </c>
      <c r="AC215" s="225">
        <f>Artengliederung!AE215</f>
        <v>225537.8</v>
      </c>
      <c r="AD215" s="223">
        <f>AC215*'KiGa - PS'!L216</f>
        <v>36198.002318330306</v>
      </c>
      <c r="AE215" s="226">
        <f t="shared" si="362"/>
        <v>9.8584190196346122E-2</v>
      </c>
      <c r="AF215" s="223">
        <f t="shared" si="370"/>
        <v>12066.000772776768</v>
      </c>
      <c r="AG215" s="224">
        <f t="shared" si="371"/>
        <v>502.75003219903203</v>
      </c>
      <c r="AH215" s="225">
        <f t="shared" si="364"/>
        <v>263123.8</v>
      </c>
      <c r="AI215" s="223">
        <f>AH215*'KiGa - PS'!L216</f>
        <v>42230.419567841309</v>
      </c>
      <c r="AJ215" s="226">
        <f t="shared" si="372"/>
        <v>0.11501330040634136</v>
      </c>
      <c r="AK215" s="223">
        <f t="shared" si="373"/>
        <v>14076.80652261377</v>
      </c>
      <c r="AL215" s="224">
        <f t="shared" si="374"/>
        <v>586.53360510890707</v>
      </c>
      <c r="AM215" s="365">
        <v>10825.95</v>
      </c>
      <c r="AN215" s="223">
        <f>AM215*'KiGa - PS'!L216</f>
        <v>1737.5258745901044</v>
      </c>
      <c r="AO215" s="226">
        <f t="shared" si="375"/>
        <v>4.7321004011572935E-3</v>
      </c>
      <c r="AP215" s="223">
        <f t="shared" si="376"/>
        <v>579.17529153003477</v>
      </c>
      <c r="AQ215" s="224">
        <f t="shared" si="363"/>
        <v>24.132303813751449</v>
      </c>
      <c r="AR215" s="223">
        <f>Artengliederung!X215*'KiGa - PS'!L216</f>
        <v>9732.139867810778</v>
      </c>
      <c r="AS215" s="226">
        <f t="shared" si="377"/>
        <v>2.650519548864309E-2</v>
      </c>
      <c r="AT215" s="223">
        <f t="shared" si="378"/>
        <v>3244.0466226035928</v>
      </c>
      <c r="AU215" s="223">
        <f t="shared" si="379"/>
        <v>135.16860927514969</v>
      </c>
      <c r="AV215" s="227">
        <f t="shared" si="380"/>
        <v>3.0544655863227844E-2</v>
      </c>
    </row>
    <row r="216" spans="1:48" x14ac:dyDescent="0.25">
      <c r="A216" s="365" t="s">
        <v>174</v>
      </c>
      <c r="B216" s="365" t="s">
        <v>35</v>
      </c>
      <c r="C216" s="328">
        <v>0</v>
      </c>
      <c r="D216" s="328"/>
      <c r="E216" s="223"/>
      <c r="F216" s="223"/>
      <c r="G216" s="224"/>
      <c r="H216" s="223"/>
      <c r="I216" s="223"/>
      <c r="J216" s="365"/>
      <c r="K216" s="365"/>
      <c r="L216" s="365"/>
      <c r="M216" s="365"/>
      <c r="N216" s="365"/>
      <c r="O216" s="365"/>
      <c r="P216" s="365"/>
      <c r="Q216" s="27"/>
      <c r="R216" s="223"/>
      <c r="S216" s="226"/>
      <c r="T216" s="223"/>
      <c r="U216" s="224"/>
      <c r="V216" s="365"/>
      <c r="W216" s="223"/>
      <c r="X216" s="226"/>
      <c r="Y216" s="223"/>
      <c r="Z216" s="224"/>
      <c r="AA216" s="365"/>
      <c r="AB216" s="365"/>
      <c r="AC216" s="225"/>
      <c r="AD216" s="223"/>
      <c r="AE216" s="226"/>
      <c r="AF216" s="223"/>
      <c r="AG216" s="224"/>
      <c r="AH216" s="225"/>
      <c r="AI216" s="223"/>
      <c r="AJ216" s="226"/>
      <c r="AK216" s="223"/>
      <c r="AL216" s="224"/>
      <c r="AM216" s="365"/>
      <c r="AN216" s="223"/>
      <c r="AO216" s="226"/>
      <c r="AP216" s="223"/>
      <c r="AQ216" s="224"/>
      <c r="AR216" s="223"/>
      <c r="AS216" s="226"/>
      <c r="AT216" s="223"/>
      <c r="AU216" s="223"/>
      <c r="AV216" s="227"/>
    </row>
    <row r="217" spans="1:48" x14ac:dyDescent="0.25">
      <c r="A217" s="365" t="s">
        <v>175</v>
      </c>
      <c r="B217" s="365" t="s">
        <v>35</v>
      </c>
      <c r="C217" s="328">
        <v>6</v>
      </c>
      <c r="D217" s="328">
        <f>Kennzahlen!D95</f>
        <v>119</v>
      </c>
      <c r="E217" s="223">
        <f>'KiGa - PS'!C218+H217*'KiGa - PS'!L218</f>
        <v>906461.68788992311</v>
      </c>
      <c r="F217" s="223">
        <f t="shared" si="381"/>
        <v>151076.94798165385</v>
      </c>
      <c r="G217" s="224">
        <f t="shared" si="360"/>
        <v>7617.3251083186815</v>
      </c>
      <c r="H217" s="223">
        <f>I217-'KiGa - PS'!H218</f>
        <v>2537890.2399999993</v>
      </c>
      <c r="I217" s="223">
        <f t="shared" ref="I217:I231" si="382">J217-K217-L217-M217</f>
        <v>7612571.1899999995</v>
      </c>
      <c r="J217" s="365">
        <v>8419215.5399999991</v>
      </c>
      <c r="K217" s="365">
        <v>792923.75</v>
      </c>
      <c r="L217" s="365">
        <v>0</v>
      </c>
      <c r="M217" s="365">
        <v>13720.6</v>
      </c>
      <c r="N217" s="365"/>
      <c r="O217" s="365"/>
      <c r="P217" s="365">
        <v>5095897.4000000004</v>
      </c>
      <c r="Q217" s="27">
        <f t="shared" ref="Q217:Q231" si="383">P217-M217</f>
        <v>5082176.8000000007</v>
      </c>
      <c r="R217" s="223">
        <f>(Q217-'KiGa - PS'!H218)*'KiGa - PS'!L218+'KiGa - PS'!C218</f>
        <v>605156.713192328</v>
      </c>
      <c r="S217" s="226">
        <f t="shared" si="365"/>
        <v>0.6676031886146474</v>
      </c>
      <c r="T217" s="223">
        <f t="shared" si="366"/>
        <v>100859.45219872134</v>
      </c>
      <c r="U217" s="224">
        <f t="shared" si="367"/>
        <v>5085.3505310279661</v>
      </c>
      <c r="V217" s="365">
        <v>457960.8</v>
      </c>
      <c r="W217" s="223">
        <f>V217*'KiGa - PS'!L218</f>
        <v>54531.367838074628</v>
      </c>
      <c r="X217" s="226">
        <f t="shared" si="368"/>
        <v>6.0158491601574104E-2</v>
      </c>
      <c r="Y217" s="223">
        <f t="shared" si="369"/>
        <v>9088.5613063457713</v>
      </c>
      <c r="Z217" s="224">
        <f t="shared" si="361"/>
        <v>458.246788555249</v>
      </c>
      <c r="AA217" s="365">
        <v>726249.95</v>
      </c>
      <c r="AB217" s="365">
        <v>110458.15</v>
      </c>
      <c r="AC217" s="225">
        <f>Artengliederung!AE217</f>
        <v>426194</v>
      </c>
      <c r="AD217" s="223">
        <f>AC217*'KiGa - PS'!L218</f>
        <v>50748.757938191171</v>
      </c>
      <c r="AE217" s="226">
        <f t="shared" si="362"/>
        <v>5.598555197222399E-2</v>
      </c>
      <c r="AF217" s="223">
        <f t="shared" si="370"/>
        <v>8458.1263230318618</v>
      </c>
      <c r="AG217" s="224">
        <f t="shared" si="371"/>
        <v>426.46015074110227</v>
      </c>
      <c r="AH217" s="225">
        <f t="shared" si="364"/>
        <v>615791.79999999993</v>
      </c>
      <c r="AI217" s="223">
        <f>AH217*'KiGa - PS'!L218</f>
        <v>73324.985801121147</v>
      </c>
      <c r="AJ217" s="226">
        <f t="shared" si="372"/>
        <v>8.0891434001814561E-2</v>
      </c>
      <c r="AK217" s="223">
        <f t="shared" si="373"/>
        <v>12220.830966853524</v>
      </c>
      <c r="AL217" s="224">
        <f t="shared" si="374"/>
        <v>616.17635126992559</v>
      </c>
      <c r="AM217" s="365">
        <v>31890.65</v>
      </c>
      <c r="AN217" s="223">
        <f>AM217*'KiGa - PS'!L218</f>
        <v>3797.3572536018251</v>
      </c>
      <c r="AO217" s="226">
        <f t="shared" si="375"/>
        <v>4.1892087711300607E-3</v>
      </c>
      <c r="AP217" s="223">
        <f t="shared" si="376"/>
        <v>632.89287560030414</v>
      </c>
      <c r="AQ217" s="224">
        <f t="shared" si="363"/>
        <v>31.910565156317858</v>
      </c>
      <c r="AR217" s="223">
        <f>Artengliederung!X217*'KiGa - PS'!L218</f>
        <v>37555.597881014568</v>
      </c>
      <c r="AS217" s="226">
        <f t="shared" si="377"/>
        <v>4.1430982007013582E-2</v>
      </c>
      <c r="AT217" s="223">
        <f t="shared" si="378"/>
        <v>6259.2663135024277</v>
      </c>
      <c r="AU217" s="223">
        <f t="shared" si="379"/>
        <v>315.59325950432412</v>
      </c>
      <c r="AV217" s="227">
        <f t="shared" si="380"/>
        <v>8.9741143031596304E-2</v>
      </c>
    </row>
    <row r="218" spans="1:48" x14ac:dyDescent="0.25">
      <c r="A218" s="365" t="s">
        <v>176</v>
      </c>
      <c r="B218" s="365" t="s">
        <v>35</v>
      </c>
      <c r="C218" s="328">
        <v>1</v>
      </c>
      <c r="D218" s="328">
        <f>Kennzahlen!D96</f>
        <v>13</v>
      </c>
      <c r="E218" s="223">
        <f>'KiGa - PS'!C219+H218*'KiGa - PS'!L219</f>
        <v>198182.78473408648</v>
      </c>
      <c r="F218" s="223">
        <f t="shared" si="381"/>
        <v>198182.78473408648</v>
      </c>
      <c r="G218" s="224">
        <f t="shared" si="360"/>
        <v>15244.82959492973</v>
      </c>
      <c r="H218" s="223">
        <f>I218-'KiGa - PS'!H219</f>
        <v>802088.7</v>
      </c>
      <c r="I218" s="223">
        <f t="shared" si="382"/>
        <v>1487297.45</v>
      </c>
      <c r="J218" s="365">
        <v>1554536.55</v>
      </c>
      <c r="K218" s="365">
        <v>43703</v>
      </c>
      <c r="L218" s="365">
        <v>0</v>
      </c>
      <c r="M218" s="365">
        <v>23536.1</v>
      </c>
      <c r="N218" s="365"/>
      <c r="O218" s="365"/>
      <c r="P218" s="365">
        <v>685208.75</v>
      </c>
      <c r="Q218" s="27">
        <f t="shared" si="383"/>
        <v>661672.65</v>
      </c>
      <c r="R218" s="223">
        <f>(Q218-'KiGa - PS'!H219)*'KiGa - PS'!L219+'KiGa - PS'!C219</f>
        <v>88168.058352673543</v>
      </c>
      <c r="S218" s="226">
        <f t="shared" si="365"/>
        <v>0.44488252837386366</v>
      </c>
      <c r="T218" s="223">
        <f t="shared" si="366"/>
        <v>88168.058352673543</v>
      </c>
      <c r="U218" s="224">
        <f t="shared" si="367"/>
        <v>6782.1583348210415</v>
      </c>
      <c r="V218" s="365">
        <v>67747.75</v>
      </c>
      <c r="W218" s="223">
        <f>V218*'KiGa - PS'!L219</f>
        <v>9027.4058860712157</v>
      </c>
      <c r="X218" s="226">
        <f t="shared" si="368"/>
        <v>4.5550908461518581E-2</v>
      </c>
      <c r="Y218" s="223">
        <f t="shared" si="369"/>
        <v>9027.4058860712157</v>
      </c>
      <c r="Z218" s="224">
        <f t="shared" si="361"/>
        <v>694.41583739009354</v>
      </c>
      <c r="AA218" s="365">
        <v>182667.2</v>
      </c>
      <c r="AB218" s="365">
        <v>40770</v>
      </c>
      <c r="AC218" s="225">
        <f>Artengliederung!AE218</f>
        <v>400200</v>
      </c>
      <c r="AD218" s="223">
        <f>AC218*'KiGa - PS'!L219</f>
        <v>53326.757502731831</v>
      </c>
      <c r="AE218" s="226">
        <f t="shared" si="362"/>
        <v>0.26907865672734127</v>
      </c>
      <c r="AF218" s="223">
        <f t="shared" si="370"/>
        <v>53326.757502731831</v>
      </c>
      <c r="AG218" s="224">
        <f t="shared" si="371"/>
        <v>4102.0582694409104</v>
      </c>
      <c r="AH218" s="225">
        <f t="shared" si="364"/>
        <v>141897.20000000001</v>
      </c>
      <c r="AI218" s="223">
        <f>AH218*'KiGa - PS'!L219</f>
        <v>18907.840016783208</v>
      </c>
      <c r="AJ218" s="226">
        <f t="shared" si="372"/>
        <v>9.5406066889982252E-2</v>
      </c>
      <c r="AK218" s="223">
        <f t="shared" si="373"/>
        <v>18907.840016783208</v>
      </c>
      <c r="AL218" s="224">
        <f t="shared" si="374"/>
        <v>1454.4492320602467</v>
      </c>
      <c r="AM218" s="365">
        <v>3844.3</v>
      </c>
      <c r="AN218" s="223">
        <f>AM218*'KiGa - PS'!L219</f>
        <v>512.25400766554719</v>
      </c>
      <c r="AO218" s="226">
        <f t="shared" si="375"/>
        <v>2.5847553224810551E-3</v>
      </c>
      <c r="AP218" s="223">
        <f t="shared" si="376"/>
        <v>512.25400766554719</v>
      </c>
      <c r="AQ218" s="224">
        <f t="shared" si="363"/>
        <v>39.404154435811321</v>
      </c>
      <c r="AR218" s="223">
        <f>Artengliederung!X218*'KiGa - PS'!L219</f>
        <v>21694.476234432208</v>
      </c>
      <c r="AS218" s="226">
        <f t="shared" si="377"/>
        <v>0.10946700675107056</v>
      </c>
      <c r="AT218" s="223">
        <f t="shared" si="378"/>
        <v>21694.476234432208</v>
      </c>
      <c r="AU218" s="223">
        <f t="shared" si="379"/>
        <v>1668.805864187093</v>
      </c>
      <c r="AV218" s="227">
        <f t="shared" si="380"/>
        <v>3.3030077473742633E-2</v>
      </c>
    </row>
    <row r="219" spans="1:48" x14ac:dyDescent="0.25">
      <c r="A219" s="365" t="s">
        <v>177</v>
      </c>
      <c r="B219" s="365" t="s">
        <v>35</v>
      </c>
      <c r="C219" s="328">
        <v>2</v>
      </c>
      <c r="D219" s="328">
        <f>Kennzahlen!D97</f>
        <v>36</v>
      </c>
      <c r="E219" s="223">
        <f>'KiGa - PS'!C220+H219*'KiGa - PS'!L220</f>
        <v>292114.70701463567</v>
      </c>
      <c r="F219" s="223">
        <f t="shared" si="381"/>
        <v>146057.35350731784</v>
      </c>
      <c r="G219" s="224">
        <f t="shared" si="360"/>
        <v>8114.2974170732132</v>
      </c>
      <c r="H219" s="223">
        <f>I219-'KiGa - PS'!H220</f>
        <v>515970.15000000014</v>
      </c>
      <c r="I219" s="223">
        <f t="shared" si="382"/>
        <v>1447967.9500000002</v>
      </c>
      <c r="J219" s="365">
        <v>1452819.35</v>
      </c>
      <c r="K219" s="365">
        <v>1851.4</v>
      </c>
      <c r="L219" s="365">
        <v>0</v>
      </c>
      <c r="M219" s="365">
        <v>3000</v>
      </c>
      <c r="N219" s="365"/>
      <c r="O219" s="365"/>
      <c r="P219" s="365">
        <v>934627.25</v>
      </c>
      <c r="Q219" s="27">
        <f t="shared" si="383"/>
        <v>931627.25</v>
      </c>
      <c r="R219" s="223">
        <f>(Q219-'KiGa - PS'!H220)*'KiGa - PS'!L220+'KiGa - PS'!C220</f>
        <v>187947.54482003604</v>
      </c>
      <c r="S219" s="226">
        <f t="shared" si="365"/>
        <v>0.64340322587941245</v>
      </c>
      <c r="T219" s="223">
        <f t="shared" si="366"/>
        <v>93973.77241001802</v>
      </c>
      <c r="U219" s="224">
        <f t="shared" si="367"/>
        <v>5220.7651338898904</v>
      </c>
      <c r="V219" s="365">
        <v>89486.45</v>
      </c>
      <c r="W219" s="223">
        <f>V219*'KiGa - PS'!L220</f>
        <v>18053.098567223009</v>
      </c>
      <c r="X219" s="226">
        <f t="shared" si="368"/>
        <v>6.180140244126258E-2</v>
      </c>
      <c r="Y219" s="223">
        <f t="shared" si="369"/>
        <v>9026.5492836115045</v>
      </c>
      <c r="Z219" s="224">
        <f t="shared" si="361"/>
        <v>501.47496020063915</v>
      </c>
      <c r="AA219" s="365">
        <v>211556.4</v>
      </c>
      <c r="AB219" s="365">
        <v>20220</v>
      </c>
      <c r="AC219" s="225">
        <f>Artengliederung!AE219</f>
        <v>87486</v>
      </c>
      <c r="AD219" s="223">
        <f>AC219*'KiGa - PS'!L220</f>
        <v>17649.525500811265</v>
      </c>
      <c r="AE219" s="226">
        <f t="shared" si="362"/>
        <v>6.0419845618820488E-2</v>
      </c>
      <c r="AF219" s="223">
        <f t="shared" si="370"/>
        <v>8824.7627504056327</v>
      </c>
      <c r="AG219" s="224">
        <f t="shared" si="371"/>
        <v>490.2645972447574</v>
      </c>
      <c r="AH219" s="225">
        <f t="shared" si="364"/>
        <v>191336.4</v>
      </c>
      <c r="AI219" s="223">
        <f>AH219*'KiGa - PS'!L220</f>
        <v>38600.423736751305</v>
      </c>
      <c r="AJ219" s="226">
        <f t="shared" si="372"/>
        <v>0.13214132260316946</v>
      </c>
      <c r="AK219" s="223">
        <f t="shared" si="373"/>
        <v>19300.211868375653</v>
      </c>
      <c r="AL219" s="224">
        <f t="shared" si="374"/>
        <v>1072.2339926875363</v>
      </c>
      <c r="AM219" s="365">
        <v>4121.3500000000004</v>
      </c>
      <c r="AN219" s="223">
        <f>AM219*'KiGa - PS'!L220</f>
        <v>831.44585331102712</v>
      </c>
      <c r="AO219" s="226">
        <f t="shared" si="375"/>
        <v>2.8462991877686241E-3</v>
      </c>
      <c r="AP219" s="223">
        <f t="shared" si="376"/>
        <v>415.72292665551356</v>
      </c>
      <c r="AQ219" s="224">
        <f t="shared" si="363"/>
        <v>23.09571814752853</v>
      </c>
      <c r="AR219" s="223">
        <f>Artengliederung!X219*'KiGa - PS'!L220</f>
        <v>22380.657879503575</v>
      </c>
      <c r="AS219" s="226">
        <f t="shared" si="377"/>
        <v>7.6615991396770888E-2</v>
      </c>
      <c r="AT219" s="223">
        <f t="shared" si="378"/>
        <v>11190.328939751787</v>
      </c>
      <c r="AU219" s="223">
        <f t="shared" si="379"/>
        <v>621.68494109732148</v>
      </c>
      <c r="AV219" s="227">
        <f t="shared" si="380"/>
        <v>2.277191287279548E-2</v>
      </c>
    </row>
    <row r="220" spans="1:48" x14ac:dyDescent="0.25">
      <c r="A220" s="365" t="s">
        <v>178</v>
      </c>
      <c r="B220" s="365" t="s">
        <v>35</v>
      </c>
      <c r="C220" s="328">
        <v>2</v>
      </c>
      <c r="D220" s="328">
        <f>Kennzahlen!D98</f>
        <v>31</v>
      </c>
      <c r="E220" s="223">
        <f>'KiGa - PS'!C221+H220*'KiGa - PS'!L221</f>
        <v>229702.9311592445</v>
      </c>
      <c r="F220" s="223">
        <f t="shared" si="381"/>
        <v>114851.46557962225</v>
      </c>
      <c r="G220" s="224">
        <f t="shared" si="360"/>
        <v>7409.7719728788552</v>
      </c>
      <c r="H220" s="223">
        <f>I220-'KiGa - PS'!H221</f>
        <v>442355.05000000005</v>
      </c>
      <c r="I220" s="223">
        <f t="shared" si="382"/>
        <v>1550021.75</v>
      </c>
      <c r="J220" s="365">
        <v>1682892.1</v>
      </c>
      <c r="K220" s="365">
        <v>53463.8</v>
      </c>
      <c r="L220" s="365">
        <v>0</v>
      </c>
      <c r="M220" s="365">
        <v>79406.55</v>
      </c>
      <c r="N220" s="365"/>
      <c r="O220" s="365"/>
      <c r="P220" s="365">
        <v>1110608.3500000001</v>
      </c>
      <c r="Q220" s="27">
        <f t="shared" si="383"/>
        <v>1031201.8</v>
      </c>
      <c r="R220" s="223">
        <f>(Q220-'KiGa - PS'!H221)*'KiGa - PS'!L221+'KiGa - PS'!C221</f>
        <v>152817.25954922181</v>
      </c>
      <c r="S220" s="226">
        <f t="shared" si="365"/>
        <v>0.66528214846017475</v>
      </c>
      <c r="T220" s="223">
        <f t="shared" si="366"/>
        <v>76408.629774610905</v>
      </c>
      <c r="U220" s="224">
        <f t="shared" si="367"/>
        <v>4929.5890177168321</v>
      </c>
      <c r="V220" s="365">
        <v>69049.75</v>
      </c>
      <c r="W220" s="223">
        <f>V220*'KiGa - PS'!L221</f>
        <v>10232.714457595865</v>
      </c>
      <c r="X220" s="226">
        <f t="shared" si="368"/>
        <v>4.454760070302239E-2</v>
      </c>
      <c r="Y220" s="223">
        <f t="shared" si="369"/>
        <v>5116.3572287979323</v>
      </c>
      <c r="Z220" s="224">
        <f t="shared" si="361"/>
        <v>330.08756314825371</v>
      </c>
      <c r="AA220" s="365">
        <v>218940.7</v>
      </c>
      <c r="AB220" s="365">
        <v>23646.15</v>
      </c>
      <c r="AC220" s="225">
        <f>Artengliederung!AE220</f>
        <v>91293.15</v>
      </c>
      <c r="AD220" s="223">
        <f>AC220*'KiGa - PS'!L221</f>
        <v>13529.038640754932</v>
      </c>
      <c r="AE220" s="226">
        <f t="shared" si="362"/>
        <v>5.8897979979958347E-2</v>
      </c>
      <c r="AF220" s="223">
        <f t="shared" si="370"/>
        <v>6764.5193203774661</v>
      </c>
      <c r="AG220" s="224">
        <f t="shared" si="371"/>
        <v>436.42060131467525</v>
      </c>
      <c r="AH220" s="225">
        <f t="shared" si="364"/>
        <v>195294.55000000002</v>
      </c>
      <c r="AI220" s="223">
        <f>AH220*'KiGa - PS'!L221</f>
        <v>28941.355548349973</v>
      </c>
      <c r="AJ220" s="226">
        <f t="shared" si="372"/>
        <v>0.12599471588059974</v>
      </c>
      <c r="AK220" s="223">
        <f t="shared" si="373"/>
        <v>14470.677774174987</v>
      </c>
      <c r="AL220" s="224">
        <f t="shared" si="374"/>
        <v>933.59211446290237</v>
      </c>
      <c r="AM220" s="365">
        <v>8037.4</v>
      </c>
      <c r="AN220" s="223">
        <f>AM220*'KiGa - PS'!L221</f>
        <v>1191.0893114237342</v>
      </c>
      <c r="AO220" s="226">
        <f t="shared" si="375"/>
        <v>5.1853465927171657E-3</v>
      </c>
      <c r="AP220" s="223">
        <f t="shared" si="376"/>
        <v>595.54465571186711</v>
      </c>
      <c r="AQ220" s="224">
        <f t="shared" si="363"/>
        <v>38.42223585237852</v>
      </c>
      <c r="AR220" s="223">
        <f>Artengliederung!X220*'KiGa - PS'!L221</f>
        <v>13161.637662717045</v>
      </c>
      <c r="AS220" s="226">
        <f t="shared" si="377"/>
        <v>5.7298518553046109E-2</v>
      </c>
      <c r="AT220" s="223">
        <f t="shared" si="378"/>
        <v>6580.8188313585224</v>
      </c>
      <c r="AU220" s="223">
        <f t="shared" si="379"/>
        <v>424.56895686184015</v>
      </c>
      <c r="AV220" s="227">
        <f t="shared" si="380"/>
        <v>4.2793689830481506E-2</v>
      </c>
    </row>
    <row r="221" spans="1:48" x14ac:dyDescent="0.25">
      <c r="A221" s="365" t="s">
        <v>179</v>
      </c>
      <c r="B221" s="365" t="s">
        <v>35</v>
      </c>
      <c r="C221" s="328">
        <v>2.5</v>
      </c>
      <c r="D221" s="328">
        <f>Kennzahlen!D99</f>
        <v>57</v>
      </c>
      <c r="E221" s="223">
        <f>'KiGa - PS'!C222+H221*'KiGa - PS'!L222</f>
        <v>440020.80629975657</v>
      </c>
      <c r="F221" s="223">
        <f t="shared" si="381"/>
        <v>176008.32251990263</v>
      </c>
      <c r="G221" s="224">
        <f t="shared" si="360"/>
        <v>7719.6632684167816</v>
      </c>
      <c r="H221" s="223">
        <f>I221-'KiGa - PS'!H222</f>
        <v>934975.30000000028</v>
      </c>
      <c r="I221" s="223">
        <f t="shared" si="382"/>
        <v>1891778.9500000002</v>
      </c>
      <c r="J221" s="365">
        <v>2036827.85</v>
      </c>
      <c r="K221" s="365">
        <v>51669.25</v>
      </c>
      <c r="L221" s="365">
        <v>0</v>
      </c>
      <c r="M221" s="365">
        <v>93379.65</v>
      </c>
      <c r="N221" s="365"/>
      <c r="O221" s="365"/>
      <c r="P221" s="365">
        <v>1172846</v>
      </c>
      <c r="Q221" s="27">
        <f t="shared" si="383"/>
        <v>1079466.3500000001</v>
      </c>
      <c r="R221" s="223">
        <f>(Q221-'KiGa - PS'!H222)*'KiGa - PS'!L222+'KiGa - PS'!C222</f>
        <v>251079.89160174091</v>
      </c>
      <c r="S221" s="226">
        <f t="shared" si="365"/>
        <v>0.57060913485690279</v>
      </c>
      <c r="T221" s="223">
        <f t="shared" si="366"/>
        <v>100431.95664069636</v>
      </c>
      <c r="U221" s="224">
        <f t="shared" si="367"/>
        <v>4404.910378977911</v>
      </c>
      <c r="V221" s="365">
        <v>119726.45</v>
      </c>
      <c r="W221" s="223">
        <f>V221*'KiGa - PS'!L222</f>
        <v>27847.930681545793</v>
      </c>
      <c r="X221" s="226">
        <f t="shared" si="368"/>
        <v>6.3287758857872897E-2</v>
      </c>
      <c r="Y221" s="223">
        <f t="shared" si="369"/>
        <v>11139.172272618318</v>
      </c>
      <c r="Z221" s="224">
        <f t="shared" si="361"/>
        <v>488.56018739554025</v>
      </c>
      <c r="AA221" s="365">
        <v>204816.7</v>
      </c>
      <c r="AB221" s="365">
        <v>13160</v>
      </c>
      <c r="AC221" s="225">
        <f>Artengliederung!AE221</f>
        <v>344062.75</v>
      </c>
      <c r="AD221" s="223">
        <f>AC221*'KiGa - PS'!L222</f>
        <v>80027.726639368499</v>
      </c>
      <c r="AE221" s="226">
        <f t="shared" si="362"/>
        <v>0.18187259669000969</v>
      </c>
      <c r="AF221" s="223">
        <f t="shared" si="370"/>
        <v>32011.090655747401</v>
      </c>
      <c r="AG221" s="224">
        <f t="shared" si="371"/>
        <v>1403.9952041994472</v>
      </c>
      <c r="AH221" s="225">
        <f t="shared" si="364"/>
        <v>191656.7</v>
      </c>
      <c r="AI221" s="223">
        <f>AH221*'KiGa - PS'!L222</f>
        <v>44578.641530370427</v>
      </c>
      <c r="AJ221" s="226">
        <f t="shared" si="372"/>
        <v>0.10131030372232444</v>
      </c>
      <c r="AK221" s="223">
        <f t="shared" si="373"/>
        <v>17831.456612148169</v>
      </c>
      <c r="AL221" s="224">
        <f t="shared" si="374"/>
        <v>782.08143035737589</v>
      </c>
      <c r="AM221" s="365">
        <v>3003.65</v>
      </c>
      <c r="AN221" s="223">
        <f>AM221*'KiGa - PS'!L222</f>
        <v>698.63791160286667</v>
      </c>
      <c r="AO221" s="226">
        <f t="shared" si="375"/>
        <v>1.5877383560061287E-3</v>
      </c>
      <c r="AP221" s="223">
        <f t="shared" si="376"/>
        <v>279.45516464114667</v>
      </c>
      <c r="AQ221" s="224">
        <f t="shared" si="363"/>
        <v>12.256805466716958</v>
      </c>
      <c r="AR221" s="223">
        <f>Artengliederung!X221*'KiGa - PS'!L222</f>
        <v>28699.954230891577</v>
      </c>
      <c r="AS221" s="226">
        <f t="shared" si="377"/>
        <v>6.5224084452361622E-2</v>
      </c>
      <c r="AT221" s="223">
        <f t="shared" si="378"/>
        <v>11479.98169235663</v>
      </c>
      <c r="AU221" s="223">
        <f t="shared" si="379"/>
        <v>503.50796896301011</v>
      </c>
      <c r="AV221" s="227">
        <f t="shared" si="380"/>
        <v>1.6108383064522391E-2</v>
      </c>
    </row>
    <row r="222" spans="1:48" x14ac:dyDescent="0.25">
      <c r="A222" s="365" t="s">
        <v>180</v>
      </c>
      <c r="B222" s="365" t="s">
        <v>35</v>
      </c>
      <c r="C222" s="328">
        <v>1</v>
      </c>
      <c r="D222" s="328">
        <f>Kennzahlen!D100</f>
        <v>17</v>
      </c>
      <c r="E222" s="223">
        <f>'KiGa - PS'!C223+H222*'KiGa - PS'!L223</f>
        <v>136466.6642242175</v>
      </c>
      <c r="F222" s="223">
        <f t="shared" si="381"/>
        <v>136466.6642242175</v>
      </c>
      <c r="G222" s="224">
        <f t="shared" si="360"/>
        <v>8027.4508367186763</v>
      </c>
      <c r="H222" s="223">
        <f>I222-'KiGa - PS'!H223</f>
        <v>245496.09999999998</v>
      </c>
      <c r="I222" s="223">
        <f t="shared" si="382"/>
        <v>782191</v>
      </c>
      <c r="J222" s="365">
        <v>790083.9</v>
      </c>
      <c r="K222" s="365">
        <v>7892.9</v>
      </c>
      <c r="L222" s="365">
        <v>0</v>
      </c>
      <c r="M222" s="365">
        <v>0</v>
      </c>
      <c r="N222" s="365"/>
      <c r="O222" s="365"/>
      <c r="P222" s="365">
        <v>543699.4</v>
      </c>
      <c r="Q222" s="27">
        <f t="shared" si="383"/>
        <v>543699.4</v>
      </c>
      <c r="R222" s="223">
        <f>(Q222-'KiGa - PS'!H223)*'KiGa - PS'!L223+'KiGa - PS'!C223</f>
        <v>94857.705418124897</v>
      </c>
      <c r="S222" s="226">
        <f t="shared" si="365"/>
        <v>0.69509800036052583</v>
      </c>
      <c r="T222" s="223">
        <f t="shared" si="366"/>
        <v>94857.705418124897</v>
      </c>
      <c r="U222" s="224">
        <f t="shared" si="367"/>
        <v>5579.8650245955823</v>
      </c>
      <c r="V222" s="365">
        <v>49682.65</v>
      </c>
      <c r="W222" s="223">
        <f>V222*'KiGa - PS'!L223</f>
        <v>8667.9922363199275</v>
      </c>
      <c r="X222" s="226">
        <f t="shared" si="368"/>
        <v>6.3517286698517375E-2</v>
      </c>
      <c r="Y222" s="223">
        <f t="shared" si="369"/>
        <v>8667.9922363199275</v>
      </c>
      <c r="Z222" s="224">
        <f t="shared" si="361"/>
        <v>509.88189625411337</v>
      </c>
      <c r="AA222" s="365">
        <v>63300.3</v>
      </c>
      <c r="AB222" s="365">
        <v>0</v>
      </c>
      <c r="AC222" s="225">
        <f>Artengliederung!AE222</f>
        <v>51631</v>
      </c>
      <c r="AD222" s="223">
        <f>AC222*'KiGa - PS'!L223</f>
        <v>9007.9153819982257</v>
      </c>
      <c r="AE222" s="226">
        <f t="shared" si="362"/>
        <v>6.6008174474009543E-2</v>
      </c>
      <c r="AF222" s="223">
        <f t="shared" si="370"/>
        <v>9007.9153819982257</v>
      </c>
      <c r="AG222" s="224">
        <f t="shared" si="371"/>
        <v>529.8773754116603</v>
      </c>
      <c r="AH222" s="225">
        <f t="shared" si="364"/>
        <v>63300.3</v>
      </c>
      <c r="AI222" s="223">
        <f>AH222*'KiGa - PS'!L223</f>
        <v>11043.825338558276</v>
      </c>
      <c r="AJ222" s="226">
        <f t="shared" si="372"/>
        <v>8.092690915645924E-2</v>
      </c>
      <c r="AK222" s="223">
        <f t="shared" si="373"/>
        <v>11043.825338558276</v>
      </c>
      <c r="AL222" s="224">
        <f t="shared" si="374"/>
        <v>649.63678462107509</v>
      </c>
      <c r="AM222" s="365">
        <v>8832.1</v>
      </c>
      <c r="AN222" s="223">
        <f>AM222*'KiGa - PS'!L223</f>
        <v>1540.9116508560078</v>
      </c>
      <c r="AO222" s="226">
        <f t="shared" si="375"/>
        <v>1.1291487628980646E-2</v>
      </c>
      <c r="AP222" s="223">
        <f t="shared" si="376"/>
        <v>1540.9116508560078</v>
      </c>
      <c r="AQ222" s="224">
        <f t="shared" si="363"/>
        <v>90.641861815059286</v>
      </c>
      <c r="AR222" s="223">
        <f>Artengliederung!X222*'KiGa - PS'!L223</f>
        <v>7247.1750743019911</v>
      </c>
      <c r="AS222" s="226">
        <f t="shared" si="377"/>
        <v>5.3105827093382567E-2</v>
      </c>
      <c r="AT222" s="223">
        <f t="shared" si="378"/>
        <v>7247.1750743019911</v>
      </c>
      <c r="AU222" s="223">
        <f t="shared" si="379"/>
        <v>426.30441613541126</v>
      </c>
      <c r="AV222" s="227">
        <f t="shared" si="380"/>
        <v>3.005231458812483E-2</v>
      </c>
    </row>
    <row r="223" spans="1:48" x14ac:dyDescent="0.25">
      <c r="A223" s="365" t="s">
        <v>181</v>
      </c>
      <c r="B223" s="365" t="s">
        <v>35</v>
      </c>
      <c r="C223" s="328">
        <v>0</v>
      </c>
      <c r="D223" s="328"/>
      <c r="E223" s="223"/>
      <c r="F223" s="223"/>
      <c r="G223" s="224"/>
      <c r="H223" s="223"/>
      <c r="I223" s="223"/>
      <c r="J223" s="365"/>
      <c r="K223" s="365"/>
      <c r="L223" s="365"/>
      <c r="M223" s="365"/>
      <c r="N223" s="365"/>
      <c r="O223" s="365"/>
      <c r="P223" s="365"/>
      <c r="Q223" s="27"/>
      <c r="R223" s="223"/>
      <c r="S223" s="226"/>
      <c r="T223" s="223"/>
      <c r="U223" s="224"/>
      <c r="V223" s="365"/>
      <c r="W223" s="223"/>
      <c r="X223" s="226"/>
      <c r="Y223" s="223"/>
      <c r="Z223" s="224"/>
      <c r="AA223" s="365"/>
      <c r="AB223" s="365"/>
      <c r="AC223" s="225"/>
      <c r="AD223" s="223"/>
      <c r="AE223" s="226"/>
      <c r="AF223" s="223"/>
      <c r="AG223" s="224"/>
      <c r="AH223" s="225"/>
      <c r="AI223" s="223"/>
      <c r="AJ223" s="226"/>
      <c r="AK223" s="223"/>
      <c r="AL223" s="224"/>
      <c r="AM223" s="365"/>
      <c r="AN223" s="223"/>
      <c r="AO223" s="226"/>
      <c r="AP223" s="223"/>
      <c r="AQ223" s="224"/>
      <c r="AR223" s="223"/>
      <c r="AS223" s="226"/>
      <c r="AT223" s="223"/>
      <c r="AU223" s="223"/>
      <c r="AV223" s="227"/>
    </row>
    <row r="224" spans="1:48" x14ac:dyDescent="0.25">
      <c r="A224" s="365" t="s">
        <v>182</v>
      </c>
      <c r="B224" s="365" t="s">
        <v>35</v>
      </c>
      <c r="C224" s="328">
        <v>4</v>
      </c>
      <c r="D224" s="328">
        <f>Kennzahlen!D102</f>
        <v>70</v>
      </c>
      <c r="E224" s="223">
        <f>'KiGa - PS'!C225+H224*'KiGa - PS'!L225</f>
        <v>553767.78248364409</v>
      </c>
      <c r="F224" s="223">
        <f t="shared" si="381"/>
        <v>138441.94562091102</v>
      </c>
      <c r="G224" s="224">
        <f t="shared" si="360"/>
        <v>7910.9683211949159</v>
      </c>
      <c r="H224" s="223">
        <f>I224-'KiGa - PS'!H225</f>
        <v>1608402.65</v>
      </c>
      <c r="I224" s="223">
        <f t="shared" si="382"/>
        <v>3685068.6</v>
      </c>
      <c r="J224" s="365">
        <v>3871010.25</v>
      </c>
      <c r="K224" s="365">
        <v>94897.8</v>
      </c>
      <c r="L224" s="365">
        <v>0</v>
      </c>
      <c r="M224" s="365">
        <v>91043.85</v>
      </c>
      <c r="N224" s="365"/>
      <c r="O224" s="365"/>
      <c r="P224" s="365">
        <v>2274260.7999999998</v>
      </c>
      <c r="Q224" s="27">
        <f t="shared" si="383"/>
        <v>2183216.9499999997</v>
      </c>
      <c r="R224" s="223">
        <f>(Q224-'KiGa - PS'!H225)*'KiGa - PS'!L225+'KiGa - PS'!C225</f>
        <v>328079.43089097569</v>
      </c>
      <c r="S224" s="226">
        <f t="shared" si="365"/>
        <v>0.59244947298945794</v>
      </c>
      <c r="T224" s="223">
        <f t="shared" si="366"/>
        <v>82019.857722743924</v>
      </c>
      <c r="U224" s="224">
        <f t="shared" si="367"/>
        <v>4686.8490127282239</v>
      </c>
      <c r="V224" s="365">
        <v>146671.15</v>
      </c>
      <c r="W224" s="223">
        <f>V224*'KiGa - PS'!L225</f>
        <v>22040.772182592726</v>
      </c>
      <c r="X224" s="226">
        <f t="shared" si="368"/>
        <v>3.9801470724317035E-2</v>
      </c>
      <c r="Y224" s="223">
        <f t="shared" si="369"/>
        <v>5510.1930456481814</v>
      </c>
      <c r="Z224" s="224">
        <f t="shared" si="361"/>
        <v>314.86817403703895</v>
      </c>
      <c r="AA224" s="365">
        <v>440660.3</v>
      </c>
      <c r="AB224" s="365">
        <v>129722</v>
      </c>
      <c r="AC224" s="225">
        <f>Artengliederung!AE224</f>
        <v>326878</v>
      </c>
      <c r="AD224" s="223">
        <f>AC224*'KiGa - PS'!L225</f>
        <v>49121.06797759168</v>
      </c>
      <c r="AE224" s="226">
        <f t="shared" si="362"/>
        <v>8.8703369049900449E-2</v>
      </c>
      <c r="AF224" s="223">
        <f t="shared" si="370"/>
        <v>12280.26699439792</v>
      </c>
      <c r="AG224" s="224">
        <f t="shared" si="371"/>
        <v>701.72954253702403</v>
      </c>
      <c r="AH224" s="225">
        <f t="shared" si="364"/>
        <v>310938.3</v>
      </c>
      <c r="AI224" s="223">
        <f>AH224*'KiGa - PS'!L225</f>
        <v>46725.755086413876</v>
      </c>
      <c r="AJ224" s="226">
        <f t="shared" si="372"/>
        <v>8.4377886479508141E-2</v>
      </c>
      <c r="AK224" s="223">
        <f t="shared" si="373"/>
        <v>11681.438771603469</v>
      </c>
      <c r="AL224" s="224">
        <f t="shared" si="374"/>
        <v>667.51078694876969</v>
      </c>
      <c r="AM224" s="365">
        <v>24607.85</v>
      </c>
      <c r="AN224" s="223">
        <f>AM224*'KiGa - PS'!L225</f>
        <v>3697.905250987767</v>
      </c>
      <c r="AO224" s="226">
        <f t="shared" si="375"/>
        <v>6.6777182926798153E-3</v>
      </c>
      <c r="AP224" s="223">
        <f t="shared" si="376"/>
        <v>924.47631274694174</v>
      </c>
      <c r="AQ224" s="224">
        <f t="shared" si="363"/>
        <v>52.827217871253815</v>
      </c>
      <c r="AR224" s="223">
        <f>Artengliederung!X224*'KiGa - PS'!L225</f>
        <v>36791.376062404262</v>
      </c>
      <c r="AS224" s="226">
        <f t="shared" si="377"/>
        <v>6.6438274717599555E-2</v>
      </c>
      <c r="AT224" s="223">
        <f t="shared" si="378"/>
        <v>9197.8440156010656</v>
      </c>
      <c r="AU224" s="223">
        <f t="shared" si="379"/>
        <v>525.59108660577522</v>
      </c>
      <c r="AV224" s="227">
        <f t="shared" si="380"/>
        <v>0.12155180774653701</v>
      </c>
    </row>
    <row r="225" spans="1:48" x14ac:dyDescent="0.25">
      <c r="A225" s="365" t="s">
        <v>183</v>
      </c>
      <c r="B225" s="365" t="s">
        <v>35</v>
      </c>
      <c r="C225" s="328">
        <v>1</v>
      </c>
      <c r="D225" s="328">
        <f>Kennzahlen!D103</f>
        <v>22</v>
      </c>
      <c r="E225" s="223">
        <f>'KiGa - PS'!C226+H225*'KiGa - PS'!L226</f>
        <v>206465.41149378821</v>
      </c>
      <c r="F225" s="223">
        <f t="shared" si="381"/>
        <v>206465.41149378821</v>
      </c>
      <c r="G225" s="224">
        <f t="shared" si="360"/>
        <v>9384.7914315358285</v>
      </c>
      <c r="H225" s="223">
        <f>I225-'KiGa - PS'!H226</f>
        <v>443154.1</v>
      </c>
      <c r="I225" s="223">
        <f t="shared" si="382"/>
        <v>971184.1</v>
      </c>
      <c r="J225" s="365">
        <v>1013235.65</v>
      </c>
      <c r="K225" s="365">
        <v>3716</v>
      </c>
      <c r="L225" s="365">
        <v>0</v>
      </c>
      <c r="M225" s="365">
        <v>38335.550000000003</v>
      </c>
      <c r="N225" s="365"/>
      <c r="O225" s="365"/>
      <c r="P225" s="365">
        <v>532616.9</v>
      </c>
      <c r="Q225" s="27">
        <f t="shared" si="383"/>
        <v>494281.35000000003</v>
      </c>
      <c r="R225" s="223">
        <f>(Q225-'KiGa - PS'!H226)*'KiGa - PS'!L226+'KiGa - PS'!C226</f>
        <v>105079.97641379751</v>
      </c>
      <c r="S225" s="226">
        <f t="shared" si="365"/>
        <v>0.50894711929488967</v>
      </c>
      <c r="T225" s="223">
        <f t="shared" si="366"/>
        <v>105079.97641379751</v>
      </c>
      <c r="U225" s="224">
        <f t="shared" si="367"/>
        <v>4776.3625642635234</v>
      </c>
      <c r="V225" s="365">
        <v>31934.3</v>
      </c>
      <c r="W225" s="223">
        <f>V225*'KiGa - PS'!L226</f>
        <v>6788.9583347442376</v>
      </c>
      <c r="X225" s="226">
        <f t="shared" si="368"/>
        <v>3.2881819214297267E-2</v>
      </c>
      <c r="Y225" s="223">
        <f t="shared" si="369"/>
        <v>6788.9583347442376</v>
      </c>
      <c r="Z225" s="224">
        <f t="shared" si="361"/>
        <v>308.58901521564718</v>
      </c>
      <c r="AA225" s="365">
        <v>182205.25</v>
      </c>
      <c r="AB225" s="365">
        <v>117395.5</v>
      </c>
      <c r="AC225" s="225">
        <f>Artengliederung!AE225</f>
        <v>68345.5</v>
      </c>
      <c r="AD225" s="223">
        <f>AC225*'KiGa - PS'!L226</f>
        <v>14529.66721886067</v>
      </c>
      <c r="AE225" s="226">
        <f t="shared" si="362"/>
        <v>7.0373372051704727E-2</v>
      </c>
      <c r="AF225" s="223">
        <f t="shared" si="370"/>
        <v>14529.66721886067</v>
      </c>
      <c r="AG225" s="224">
        <f t="shared" si="371"/>
        <v>660.43941903912139</v>
      </c>
      <c r="AH225" s="225">
        <f t="shared" si="364"/>
        <v>64809.75</v>
      </c>
      <c r="AI225" s="223">
        <f>AH225*'KiGa - PS'!L226</f>
        <v>13777.997088872791</v>
      </c>
      <c r="AJ225" s="226">
        <f t="shared" si="372"/>
        <v>6.6732713190012075E-2</v>
      </c>
      <c r="AK225" s="223">
        <f t="shared" si="373"/>
        <v>13777.997088872791</v>
      </c>
      <c r="AL225" s="224">
        <f t="shared" si="374"/>
        <v>626.27259494876319</v>
      </c>
      <c r="AM225" s="365">
        <v>3737.95</v>
      </c>
      <c r="AN225" s="223">
        <f>AM225*'KiGa - PS'!L226</f>
        <v>794.65611606821574</v>
      </c>
      <c r="AO225" s="226">
        <f t="shared" si="375"/>
        <v>3.8488583163583507E-3</v>
      </c>
      <c r="AP225" s="223">
        <f t="shared" si="376"/>
        <v>794.65611606821574</v>
      </c>
      <c r="AQ225" s="224">
        <f t="shared" si="363"/>
        <v>36.12073254855526</v>
      </c>
      <c r="AR225" s="223">
        <f>Artengliederung!X225*'KiGa - PS'!L226</f>
        <v>18764.807286612504</v>
      </c>
      <c r="AS225" s="226">
        <f t="shared" si="377"/>
        <v>9.0885960756565118E-2</v>
      </c>
      <c r="AT225" s="223">
        <f t="shared" si="378"/>
        <v>18764.807286612504</v>
      </c>
      <c r="AU225" s="223">
        <f t="shared" si="379"/>
        <v>852.94578575511377</v>
      </c>
      <c r="AV225" s="227">
        <f t="shared" si="380"/>
        <v>0.22633015717617277</v>
      </c>
    </row>
    <row r="226" spans="1:48" x14ac:dyDescent="0.25">
      <c r="A226" s="365" t="s">
        <v>184</v>
      </c>
      <c r="B226" s="365" t="s">
        <v>35</v>
      </c>
      <c r="C226" s="328">
        <v>0</v>
      </c>
      <c r="D226" s="328"/>
      <c r="E226" s="223"/>
      <c r="F226" s="223"/>
      <c r="G226" s="224"/>
      <c r="H226" s="223"/>
      <c r="I226" s="223"/>
      <c r="J226" s="365"/>
      <c r="K226" s="365"/>
      <c r="L226" s="365"/>
      <c r="M226" s="365"/>
      <c r="N226" s="365"/>
      <c r="O226" s="365"/>
      <c r="P226" s="365"/>
      <c r="Q226" s="27"/>
      <c r="R226" s="223"/>
      <c r="S226" s="226"/>
      <c r="T226" s="223"/>
      <c r="U226" s="224"/>
      <c r="V226" s="365"/>
      <c r="W226" s="223"/>
      <c r="X226" s="226"/>
      <c r="Y226" s="223"/>
      <c r="Z226" s="224"/>
      <c r="AA226" s="365"/>
      <c r="AB226" s="365"/>
      <c r="AC226" s="225"/>
      <c r="AD226" s="223"/>
      <c r="AE226" s="226"/>
      <c r="AF226" s="223"/>
      <c r="AG226" s="224"/>
      <c r="AH226" s="225"/>
      <c r="AI226" s="223"/>
      <c r="AJ226" s="226"/>
      <c r="AK226" s="223"/>
      <c r="AL226" s="224"/>
      <c r="AM226" s="365"/>
      <c r="AN226" s="223"/>
      <c r="AO226" s="226"/>
      <c r="AP226" s="223"/>
      <c r="AQ226" s="224"/>
      <c r="AR226" s="223"/>
      <c r="AS226" s="226"/>
      <c r="AT226" s="223"/>
      <c r="AU226" s="223"/>
      <c r="AV226" s="227"/>
    </row>
    <row r="227" spans="1:48" x14ac:dyDescent="0.25">
      <c r="A227" s="365" t="s">
        <v>185</v>
      </c>
      <c r="B227" s="365" t="s">
        <v>35</v>
      </c>
      <c r="C227" s="328">
        <v>6</v>
      </c>
      <c r="D227" s="328">
        <f>Kennzahlen!D105</f>
        <v>139</v>
      </c>
      <c r="E227" s="223">
        <f>'KiGa - PS'!C228+H227*'KiGa - PS'!L228</f>
        <v>860013.8207631961</v>
      </c>
      <c r="F227" s="223">
        <f t="shared" si="381"/>
        <v>143335.63679386603</v>
      </c>
      <c r="G227" s="224">
        <f t="shared" ref="G227:G241" si="384">E227/D227</f>
        <v>6187.1497896632809</v>
      </c>
      <c r="H227" s="223">
        <f>I227-'KiGa - PS'!H228</f>
        <v>1900464.6999999993</v>
      </c>
      <c r="I227" s="223">
        <f t="shared" si="382"/>
        <v>5163446.6999999993</v>
      </c>
      <c r="J227" s="365">
        <v>5397986.3499999996</v>
      </c>
      <c r="K227" s="365">
        <v>189726.7</v>
      </c>
      <c r="L227" s="365">
        <v>14550.5</v>
      </c>
      <c r="M227" s="365">
        <v>30262.45</v>
      </c>
      <c r="N227" s="365"/>
      <c r="O227" s="365"/>
      <c r="P227" s="365">
        <v>3426976.05</v>
      </c>
      <c r="Q227" s="27">
        <f t="shared" si="383"/>
        <v>3396713.5999999996</v>
      </c>
      <c r="R227" s="223">
        <f>(Q227-'KiGa - PS'!H228)*'KiGa - PS'!L228+'KiGa - PS'!C228</f>
        <v>565750.12988403859</v>
      </c>
      <c r="S227" s="226">
        <f t="shared" si="365"/>
        <v>0.65783841634309881</v>
      </c>
      <c r="T227" s="223">
        <f t="shared" si="366"/>
        <v>94291.688314006431</v>
      </c>
      <c r="U227" s="224">
        <f t="shared" si="367"/>
        <v>4070.1448193096303</v>
      </c>
      <c r="V227" s="365">
        <v>252185.7</v>
      </c>
      <c r="W227" s="223">
        <f>V227*'KiGa - PS'!L228</f>
        <v>42003.568546343507</v>
      </c>
      <c r="X227" s="226">
        <f t="shared" si="368"/>
        <v>4.8840573874811187E-2</v>
      </c>
      <c r="Y227" s="223">
        <f t="shared" si="369"/>
        <v>7000.5947577239176</v>
      </c>
      <c r="Z227" s="224">
        <f t="shared" ref="Z227:Z241" si="385">W227/D227</f>
        <v>302.18394637657201</v>
      </c>
      <c r="AA227" s="365">
        <v>873528.8</v>
      </c>
      <c r="AB227" s="365">
        <v>295635.45</v>
      </c>
      <c r="AC227" s="225">
        <f>Artengliederung!AE227</f>
        <v>311436</v>
      </c>
      <c r="AD227" s="223">
        <f>AC227*'KiGa - PS'!L228</f>
        <v>51872.185353091132</v>
      </c>
      <c r="AE227" s="226">
        <f t="shared" ref="AE227:AE241" si="386">AD227/$E227</f>
        <v>6.0315525286626856E-2</v>
      </c>
      <c r="AF227" s="223">
        <f t="shared" si="370"/>
        <v>8645.3642255151881</v>
      </c>
      <c r="AG227" s="224">
        <f t="shared" si="371"/>
        <v>373.1811895905837</v>
      </c>
      <c r="AH227" s="225">
        <f t="shared" si="364"/>
        <v>577893.35000000009</v>
      </c>
      <c r="AI227" s="223">
        <f>AH227*'KiGa - PS'!L228</f>
        <v>96252.812666226047</v>
      </c>
      <c r="AJ227" s="226">
        <f t="shared" si="372"/>
        <v>0.11192007656436158</v>
      </c>
      <c r="AK227" s="223">
        <f t="shared" si="373"/>
        <v>16042.135444371008</v>
      </c>
      <c r="AL227" s="224">
        <f t="shared" si="374"/>
        <v>692.46627817428816</v>
      </c>
      <c r="AM227" s="365">
        <v>19293.150000000001</v>
      </c>
      <c r="AN227" s="223">
        <f>AM227*'KiGa - PS'!L228</f>
        <v>3213.4302163044422</v>
      </c>
      <c r="AO227" s="226">
        <f t="shared" si="375"/>
        <v>3.7364867153562372E-3</v>
      </c>
      <c r="AP227" s="223">
        <f t="shared" si="376"/>
        <v>535.57170271740699</v>
      </c>
      <c r="AQ227" s="224">
        <f t="shared" ref="AQ227:AQ241" si="387">AN227/D227</f>
        <v>23.118202994995986</v>
      </c>
      <c r="AR227" s="223">
        <f>Artengliederung!X227*'KiGa - PS'!L228</f>
        <v>35294.783562501267</v>
      </c>
      <c r="AS227" s="226">
        <f t="shared" si="377"/>
        <v>4.1039786466663827E-2</v>
      </c>
      <c r="AT227" s="223">
        <f t="shared" si="378"/>
        <v>5882.4639270835441</v>
      </c>
      <c r="AU227" s="223">
        <f t="shared" si="379"/>
        <v>253.91930620504507</v>
      </c>
      <c r="AV227" s="227">
        <f t="shared" si="380"/>
        <v>7.6309134749081506E-2</v>
      </c>
    </row>
    <row r="228" spans="1:48" x14ac:dyDescent="0.25">
      <c r="A228" s="365" t="s">
        <v>186</v>
      </c>
      <c r="B228" s="365" t="s">
        <v>35</v>
      </c>
      <c r="C228" s="328">
        <v>2</v>
      </c>
      <c r="D228" s="328">
        <f>Kennzahlen!D106</f>
        <v>38</v>
      </c>
      <c r="E228" s="223">
        <f>'KiGa - PS'!C229+H228*'KiGa - PS'!L229</f>
        <v>300056.31047414703</v>
      </c>
      <c r="F228" s="223">
        <f t="shared" si="381"/>
        <v>150028.15523707352</v>
      </c>
      <c r="G228" s="224">
        <f t="shared" si="384"/>
        <v>7896.2186966880799</v>
      </c>
      <c r="H228" s="223">
        <f>I228-'KiGa - PS'!H229</f>
        <v>610395.88</v>
      </c>
      <c r="I228" s="223">
        <f t="shared" si="382"/>
        <v>1511744.98</v>
      </c>
      <c r="J228" s="365">
        <v>1586251.13</v>
      </c>
      <c r="K228" s="365">
        <v>27600.5</v>
      </c>
      <c r="L228" s="365">
        <v>0</v>
      </c>
      <c r="M228" s="365">
        <v>46905.65</v>
      </c>
      <c r="N228" s="365"/>
      <c r="O228" s="365"/>
      <c r="P228" s="365">
        <v>911530.55</v>
      </c>
      <c r="Q228" s="27">
        <f t="shared" si="383"/>
        <v>864624.9</v>
      </c>
      <c r="R228" s="223">
        <f>(Q228-'KiGa - PS'!H229)*'KiGa - PS'!L229+'KiGa - PS'!C229</f>
        <v>171613.70526798663</v>
      </c>
      <c r="S228" s="226">
        <f t="shared" si="365"/>
        <v>0.57193833049804477</v>
      </c>
      <c r="T228" s="223">
        <f t="shared" si="366"/>
        <v>85806.852633993316</v>
      </c>
      <c r="U228" s="224">
        <f t="shared" si="367"/>
        <v>4516.1501386312275</v>
      </c>
      <c r="V228" s="365">
        <v>65938.149999999994</v>
      </c>
      <c r="W228" s="223">
        <f>V228*'KiGa - PS'!L229</f>
        <v>13087.629375485592</v>
      </c>
      <c r="X228" s="226">
        <f t="shared" si="368"/>
        <v>4.3617244225940807E-2</v>
      </c>
      <c r="Y228" s="223">
        <f t="shared" si="369"/>
        <v>6543.8146877427962</v>
      </c>
      <c r="Z228" s="224">
        <f t="shared" si="385"/>
        <v>344.41129935488402</v>
      </c>
      <c r="AA228" s="365">
        <v>196077.75</v>
      </c>
      <c r="AB228" s="365">
        <v>13367</v>
      </c>
      <c r="AC228" s="225">
        <f>Artengliederung!AE228</f>
        <v>143000</v>
      </c>
      <c r="AD228" s="223">
        <f>AC228*'KiGa - PS'!L229</f>
        <v>28383.128745565955</v>
      </c>
      <c r="AE228" s="226">
        <f t="shared" si="386"/>
        <v>9.4592673957481915E-2</v>
      </c>
      <c r="AF228" s="223">
        <f t="shared" si="370"/>
        <v>14191.564372782977</v>
      </c>
      <c r="AG228" s="224">
        <f t="shared" si="371"/>
        <v>746.92444067278825</v>
      </c>
      <c r="AH228" s="225">
        <f t="shared" si="364"/>
        <v>182710.75</v>
      </c>
      <c r="AI228" s="223">
        <f>AH228*'KiGa - PS'!L229</f>
        <v>36265.054129013392</v>
      </c>
      <c r="AJ228" s="226">
        <f t="shared" si="372"/>
        <v>0.12086082799494398</v>
      </c>
      <c r="AK228" s="223">
        <f t="shared" si="373"/>
        <v>18132.527064506696</v>
      </c>
      <c r="AL228" s="224">
        <f t="shared" si="374"/>
        <v>954.34352971087867</v>
      </c>
      <c r="AM228" s="365">
        <v>5271.9</v>
      </c>
      <c r="AN228" s="223">
        <f>AM228*'KiGa - PS'!L229</f>
        <v>1046.3847303059381</v>
      </c>
      <c r="AO228" s="226">
        <f t="shared" si="375"/>
        <v>3.4872945303248172E-3</v>
      </c>
      <c r="AP228" s="223">
        <f t="shared" si="376"/>
        <v>523.19236515296905</v>
      </c>
      <c r="AQ228" s="224">
        <f t="shared" si="387"/>
        <v>27.536440271208896</v>
      </c>
      <c r="AR228" s="223">
        <f>Artengliederung!X228*'KiGa - PS'!L229</f>
        <v>30915.310720676927</v>
      </c>
      <c r="AS228" s="226">
        <f t="shared" si="377"/>
        <v>0.10303169652331176</v>
      </c>
      <c r="AT228" s="223">
        <f t="shared" si="378"/>
        <v>15457.655360338464</v>
      </c>
      <c r="AU228" s="223">
        <f t="shared" si="379"/>
        <v>813.5608084388665</v>
      </c>
      <c r="AV228" s="227">
        <f t="shared" si="380"/>
        <v>6.2471932269951957E-2</v>
      </c>
    </row>
    <row r="229" spans="1:48" x14ac:dyDescent="0.25">
      <c r="A229" s="365" t="s">
        <v>187</v>
      </c>
      <c r="B229" s="365" t="s">
        <v>35</v>
      </c>
      <c r="C229" s="328">
        <v>0.5</v>
      </c>
      <c r="D229" s="328">
        <f>Kennzahlen!D107</f>
        <v>13</v>
      </c>
      <c r="E229" s="223">
        <f>'KiGa - PS'!C230+H229*'KiGa - PS'!L230</f>
        <v>137894.05328367974</v>
      </c>
      <c r="F229" s="223">
        <f t="shared" si="381"/>
        <v>275788.10656735947</v>
      </c>
      <c r="G229" s="224">
        <f t="shared" si="384"/>
        <v>10607.234867975365</v>
      </c>
      <c r="H229" s="223">
        <f>I229-'KiGa - PS'!H230</f>
        <v>253423.00000000006</v>
      </c>
      <c r="I229" s="223">
        <f t="shared" si="382"/>
        <v>605961.95000000007</v>
      </c>
      <c r="J229" s="365">
        <v>641107.9</v>
      </c>
      <c r="K229" s="365">
        <v>11638.7</v>
      </c>
      <c r="L229" s="365">
        <v>0</v>
      </c>
      <c r="M229" s="365">
        <v>23507.25</v>
      </c>
      <c r="N229" s="365"/>
      <c r="O229" s="365"/>
      <c r="P229" s="365">
        <v>352919.15</v>
      </c>
      <c r="Q229" s="27">
        <f t="shared" si="383"/>
        <v>329411.90000000002</v>
      </c>
      <c r="R229" s="223">
        <f>(Q229-'KiGa - PS'!H230)*'KiGa - PS'!L230+'KiGa - PS'!C230</f>
        <v>74961.706904003091</v>
      </c>
      <c r="S229" s="226">
        <f t="shared" si="365"/>
        <v>0.54361812651767982</v>
      </c>
      <c r="T229" s="223">
        <f t="shared" si="366"/>
        <v>149923.41380800618</v>
      </c>
      <c r="U229" s="224">
        <f t="shared" si="367"/>
        <v>5766.2851464617761</v>
      </c>
      <c r="V229" s="365">
        <v>32019.4</v>
      </c>
      <c r="W229" s="223">
        <f>V229*'KiGa - PS'!L230</f>
        <v>7286.4061014251056</v>
      </c>
      <c r="X229" s="226">
        <f t="shared" si="368"/>
        <v>5.2840611526845868E-2</v>
      </c>
      <c r="Y229" s="223">
        <f t="shared" si="369"/>
        <v>14572.812202850211</v>
      </c>
      <c r="Z229" s="224">
        <f t="shared" si="385"/>
        <v>560.49277703270047</v>
      </c>
      <c r="AA229" s="365">
        <v>90645.4</v>
      </c>
      <c r="AB229" s="365">
        <v>15061.95</v>
      </c>
      <c r="AC229" s="225">
        <f>Artengliederung!AE229</f>
        <v>61280</v>
      </c>
      <c r="AD229" s="223">
        <f>AC229*'KiGa - PS'!L230</f>
        <v>13945.013519782708</v>
      </c>
      <c r="AE229" s="226">
        <f t="shared" si="386"/>
        <v>0.10112846194385636</v>
      </c>
      <c r="AF229" s="223">
        <f t="shared" si="370"/>
        <v>27890.027039565415</v>
      </c>
      <c r="AG229" s="224">
        <f t="shared" si="371"/>
        <v>1072.6933476755928</v>
      </c>
      <c r="AH229" s="225">
        <f t="shared" ref="AH229:AH244" si="388">AA229-AB229</f>
        <v>75583.45</v>
      </c>
      <c r="AI229" s="223">
        <f>AH229*'KiGa - PS'!L230</f>
        <v>17199.938513737277</v>
      </c>
      <c r="AJ229" s="226">
        <f t="shared" si="372"/>
        <v>0.12473299684905957</v>
      </c>
      <c r="AK229" s="223">
        <f t="shared" si="373"/>
        <v>34399.877027474555</v>
      </c>
      <c r="AL229" s="224">
        <f t="shared" si="374"/>
        <v>1323.0721933644058</v>
      </c>
      <c r="AM229" s="365">
        <v>3462.6</v>
      </c>
      <c r="AN229" s="223">
        <f>AM229*'KiGa - PS'!L230</f>
        <v>787.95698129242169</v>
      </c>
      <c r="AO229" s="226">
        <f t="shared" si="375"/>
        <v>5.7142201750456437E-3</v>
      </c>
      <c r="AP229" s="223">
        <f t="shared" si="376"/>
        <v>1575.9139625848434</v>
      </c>
      <c r="AQ229" s="224">
        <f t="shared" si="387"/>
        <v>60.612075484032438</v>
      </c>
      <c r="AR229" s="223">
        <f>Artengliederung!X229*'KiGa - PS'!L230</f>
        <v>17116.309393820171</v>
      </c>
      <c r="AS229" s="226">
        <f t="shared" si="377"/>
        <v>0.12412652312575069</v>
      </c>
      <c r="AT229" s="223">
        <f t="shared" si="378"/>
        <v>34232.618787640342</v>
      </c>
      <c r="AU229" s="223">
        <f t="shared" si="379"/>
        <v>1316.6391841400132</v>
      </c>
      <c r="AV229" s="227">
        <f t="shared" si="380"/>
        <v>4.7839059861762026E-2</v>
      </c>
    </row>
    <row r="230" spans="1:48" x14ac:dyDescent="0.25">
      <c r="A230" s="365" t="s">
        <v>188</v>
      </c>
      <c r="B230" s="365" t="s">
        <v>35</v>
      </c>
      <c r="C230" s="328">
        <v>1</v>
      </c>
      <c r="D230" s="328">
        <f>Kennzahlen!D108</f>
        <v>18</v>
      </c>
      <c r="E230" s="223">
        <f>'KiGa - PS'!C231+H230*'KiGa - PS'!L231</f>
        <v>138901.21870863496</v>
      </c>
      <c r="F230" s="223">
        <f t="shared" si="381"/>
        <v>138901.21870863496</v>
      </c>
      <c r="G230" s="224">
        <f t="shared" si="384"/>
        <v>7716.7343727019424</v>
      </c>
      <c r="H230" s="223">
        <f>I230-'KiGa - PS'!H231</f>
        <v>287501.99999999988</v>
      </c>
      <c r="I230" s="223">
        <f t="shared" si="382"/>
        <v>775346.24999999988</v>
      </c>
      <c r="J230" s="365">
        <v>782767.1</v>
      </c>
      <c r="K230" s="365">
        <v>3449.3</v>
      </c>
      <c r="L230" s="365">
        <v>0</v>
      </c>
      <c r="M230" s="365">
        <v>3971.55</v>
      </c>
      <c r="N230" s="365"/>
      <c r="O230" s="365"/>
      <c r="P230" s="365">
        <v>489651.45</v>
      </c>
      <c r="Q230" s="27">
        <f t="shared" si="383"/>
        <v>485679.9</v>
      </c>
      <c r="R230" s="223">
        <f>(Q230-'KiGa - PS'!H231)*'KiGa - PS'!L231+'KiGa - PS'!C231</f>
        <v>87008.262453436735</v>
      </c>
      <c r="S230" s="226">
        <f t="shared" ref="S230:S245" si="389">R230/$E230</f>
        <v>0.62640388084678311</v>
      </c>
      <c r="T230" s="223">
        <f t="shared" ref="T230:T245" si="390">R230/C230</f>
        <v>87008.262453436735</v>
      </c>
      <c r="U230" s="224">
        <f t="shared" ref="U230:U245" si="391">R230/D230</f>
        <v>4833.7923585242634</v>
      </c>
      <c r="V230" s="365">
        <v>23412.75</v>
      </c>
      <c r="W230" s="223">
        <f>V230*'KiGa - PS'!L231</f>
        <v>4194.3318979366877</v>
      </c>
      <c r="X230" s="226">
        <f t="shared" ref="X230:X245" si="392">W230/$E230</f>
        <v>3.0196508979052912E-2</v>
      </c>
      <c r="Y230" s="223">
        <f t="shared" ref="Y230:Y245" si="393">W230/C230</f>
        <v>4194.3318979366877</v>
      </c>
      <c r="Z230" s="224">
        <f t="shared" si="385"/>
        <v>233.01843877426043</v>
      </c>
      <c r="AA230" s="365">
        <v>136100.75</v>
      </c>
      <c r="AB230" s="365">
        <v>4685</v>
      </c>
      <c r="AC230" s="225">
        <f>Artengliederung!AE230</f>
        <v>56943</v>
      </c>
      <c r="AD230" s="223">
        <f>AC230*'KiGa - PS'!L231</f>
        <v>10201.187014093126</v>
      </c>
      <c r="AE230" s="226">
        <f t="shared" si="386"/>
        <v>7.344202670742267E-2</v>
      </c>
      <c r="AF230" s="223">
        <f t="shared" ref="AF230:AF245" si="394">AD230/C230</f>
        <v>10201.187014093126</v>
      </c>
      <c r="AG230" s="224">
        <f t="shared" ref="AG230:AG245" si="395">AD230/D230</f>
        <v>566.73261189406253</v>
      </c>
      <c r="AH230" s="225">
        <f t="shared" si="388"/>
        <v>131415.75</v>
      </c>
      <c r="AI230" s="223">
        <f>AH230*'KiGa - PS'!L231</f>
        <v>23542.782121548014</v>
      </c>
      <c r="AJ230" s="226">
        <f t="shared" ref="AJ230:AJ245" si="396">AI230/$E230</f>
        <v>0.16949298458591888</v>
      </c>
      <c r="AK230" s="223">
        <f t="shared" ref="AK230:AK245" si="397">AI230/C230</f>
        <v>23542.782121548014</v>
      </c>
      <c r="AL230" s="224">
        <f t="shared" ref="AL230:AL245" si="398">AI230/D230</f>
        <v>1307.9323400860007</v>
      </c>
      <c r="AM230" s="365">
        <v>7464.35</v>
      </c>
      <c r="AN230" s="223">
        <f>AM230*'KiGa - PS'!L231</f>
        <v>1337.2184515857266</v>
      </c>
      <c r="AO230" s="226">
        <f t="shared" ref="AO230:AO245" si="399">AN230/$E230</f>
        <v>9.6271182068656449E-3</v>
      </c>
      <c r="AP230" s="223">
        <f t="shared" ref="AP230:AP245" si="400">AN230/C230</f>
        <v>1337.2184515857266</v>
      </c>
      <c r="AQ230" s="224">
        <f t="shared" si="387"/>
        <v>74.289913976984806</v>
      </c>
      <c r="AR230" s="223">
        <f>Artengliederung!X230*'KiGa - PS'!L231</f>
        <v>654.99850659303661</v>
      </c>
      <c r="AS230" s="226">
        <f t="shared" ref="AS230:AS245" si="401">AR230/E230</f>
        <v>4.7155706240921405E-3</v>
      </c>
      <c r="AT230" s="223">
        <f t="shared" ref="AT230:AT245" si="402">AR230/C230</f>
        <v>654.99850659303661</v>
      </c>
      <c r="AU230" s="223">
        <f t="shared" ref="AU230:AU245" si="403">AR230/D230</f>
        <v>36.38880592183537</v>
      </c>
      <c r="AV230" s="227">
        <f t="shared" ref="AV230:AV245" si="404">1-S230-X230-AJ230-AE230-AO230-AS230</f>
        <v>8.612191004986465E-2</v>
      </c>
    </row>
    <row r="231" spans="1:48" x14ac:dyDescent="0.25">
      <c r="A231" s="365" t="s">
        <v>189</v>
      </c>
      <c r="B231" s="365" t="s">
        <v>35</v>
      </c>
      <c r="C231" s="328">
        <v>5</v>
      </c>
      <c r="D231" s="328">
        <f>Kennzahlen!D109</f>
        <v>64</v>
      </c>
      <c r="E231" s="223">
        <f>'KiGa - PS'!C232+H231*'KiGa - PS'!L232</f>
        <v>626800.07624716917</v>
      </c>
      <c r="F231" s="223">
        <f t="shared" ref="F231:F246" si="405">E231/C231</f>
        <v>125360.01524943384</v>
      </c>
      <c r="G231" s="224">
        <f t="shared" si="384"/>
        <v>9793.7511913620183</v>
      </c>
      <c r="H231" s="223">
        <f>I231-'KiGa - PS'!H232</f>
        <v>1484564.4</v>
      </c>
      <c r="I231" s="223">
        <f t="shared" si="382"/>
        <v>3874630.15</v>
      </c>
      <c r="J231" s="365">
        <v>4182925.35</v>
      </c>
      <c r="K231" s="365">
        <v>248972.45</v>
      </c>
      <c r="L231" s="365">
        <v>-81.95</v>
      </c>
      <c r="M231" s="365">
        <v>59404.7</v>
      </c>
      <c r="N231" s="365"/>
      <c r="O231" s="365"/>
      <c r="P231" s="365">
        <v>2542917.15</v>
      </c>
      <c r="Q231" s="27">
        <f t="shared" si="383"/>
        <v>2483512.4499999997</v>
      </c>
      <c r="R231" s="223">
        <f>(Q231-'KiGa - PS'!H232)*'KiGa - PS'!L232+'KiGa - PS'!C232</f>
        <v>401758.55056018539</v>
      </c>
      <c r="S231" s="226">
        <f t="shared" si="389"/>
        <v>0.64096761596716523</v>
      </c>
      <c r="T231" s="223">
        <f t="shared" si="390"/>
        <v>80351.710112037079</v>
      </c>
      <c r="U231" s="224">
        <f t="shared" si="391"/>
        <v>6277.4773525028968</v>
      </c>
      <c r="V231" s="365">
        <v>288054.59999999998</v>
      </c>
      <c r="W231" s="223">
        <f>V231*'KiGa - PS'!L232</f>
        <v>46598.678648940935</v>
      </c>
      <c r="X231" s="226">
        <f t="shared" si="392"/>
        <v>7.4343766720547502E-2</v>
      </c>
      <c r="Y231" s="223">
        <f t="shared" si="393"/>
        <v>9319.7357297881863</v>
      </c>
      <c r="Z231" s="224">
        <f t="shared" si="385"/>
        <v>728.10435388970211</v>
      </c>
      <c r="AA231" s="365">
        <v>625811.75</v>
      </c>
      <c r="AB231" s="365">
        <v>403469.8</v>
      </c>
      <c r="AC231" s="225">
        <f>Artengliederung!AE231</f>
        <v>237980</v>
      </c>
      <c r="AD231" s="223">
        <f>AC231*'KiGa - PS'!L232</f>
        <v>38498.095655736666</v>
      </c>
      <c r="AE231" s="226">
        <f t="shared" si="386"/>
        <v>6.1420055795518957E-2</v>
      </c>
      <c r="AF231" s="223">
        <f t="shared" si="394"/>
        <v>7699.6191311473331</v>
      </c>
      <c r="AG231" s="224">
        <f t="shared" si="395"/>
        <v>601.53274462088541</v>
      </c>
      <c r="AH231" s="225">
        <f t="shared" si="388"/>
        <v>222341.95</v>
      </c>
      <c r="AI231" s="223">
        <f>AH231*'KiGa - PS'!L232</f>
        <v>35968.3236380495</v>
      </c>
      <c r="AJ231" s="226">
        <f t="shared" si="396"/>
        <v>5.7384044771344178E-2</v>
      </c>
      <c r="AK231" s="223">
        <f t="shared" si="397"/>
        <v>7193.6647276099002</v>
      </c>
      <c r="AL231" s="224">
        <f t="shared" si="398"/>
        <v>562.00505684452344</v>
      </c>
      <c r="AM231" s="365">
        <v>24184.2</v>
      </c>
      <c r="AN231" s="223">
        <f>AM231*'KiGa - PS'!L232</f>
        <v>3912.285254884725</v>
      </c>
      <c r="AO231" s="226">
        <f t="shared" si="399"/>
        <v>6.241679609084754E-3</v>
      </c>
      <c r="AP231" s="223">
        <f t="shared" si="400"/>
        <v>782.45705097694497</v>
      </c>
      <c r="AQ231" s="224">
        <f t="shared" si="387"/>
        <v>61.129457107573828</v>
      </c>
      <c r="AR231" s="223">
        <f>Artengliederung!X231*'KiGa - PS'!L232</f>
        <v>21586.046269254308</v>
      </c>
      <c r="AS231" s="226">
        <f t="shared" si="401"/>
        <v>3.4438486986945065E-2</v>
      </c>
      <c r="AT231" s="223">
        <f t="shared" si="402"/>
        <v>4317.2092538508614</v>
      </c>
      <c r="AU231" s="223">
        <f t="shared" si="403"/>
        <v>337.28197295709856</v>
      </c>
      <c r="AV231" s="227">
        <f t="shared" si="404"/>
        <v>0.12520435014939432</v>
      </c>
    </row>
    <row r="232" spans="1:48" x14ac:dyDescent="0.25">
      <c r="A232" s="365" t="s">
        <v>190</v>
      </c>
      <c r="B232" s="365" t="s">
        <v>35</v>
      </c>
      <c r="C232" s="328">
        <v>1</v>
      </c>
      <c r="D232" s="328">
        <f>Kennzahlen!D110</f>
        <v>19</v>
      </c>
      <c r="E232" s="223">
        <f>'KiGa - PS'!C233+H232*'KiGa - PS'!L233</f>
        <v>126512.59529888473</v>
      </c>
      <c r="F232" s="223">
        <f t="shared" si="405"/>
        <v>126512.59529888473</v>
      </c>
      <c r="G232" s="224">
        <f t="shared" si="384"/>
        <v>6658.5576473097226</v>
      </c>
      <c r="H232" s="223">
        <f>I232-'KiGa - PS'!H233</f>
        <v>211880.65000000002</v>
      </c>
      <c r="I232" s="223">
        <f t="shared" ref="I232:I247" si="406">J232-K232-L232-M232</f>
        <v>728143.25</v>
      </c>
      <c r="J232" s="365">
        <v>774275.75</v>
      </c>
      <c r="K232" s="365">
        <v>46132.5</v>
      </c>
      <c r="L232" s="365">
        <v>0</v>
      </c>
      <c r="M232" s="365">
        <v>0</v>
      </c>
      <c r="N232" s="365"/>
      <c r="O232" s="365"/>
      <c r="P232" s="365">
        <v>517750.7</v>
      </c>
      <c r="Q232" s="27">
        <f t="shared" ref="Q232:Q247" si="407">P232-M232</f>
        <v>517750.7</v>
      </c>
      <c r="R232" s="223">
        <f>(Q232-'KiGa - PS'!H233)*'KiGa - PS'!L233+'KiGa - PS'!C233</f>
        <v>89957.552685978037</v>
      </c>
      <c r="S232" s="226">
        <f t="shared" si="389"/>
        <v>0.71105610056812307</v>
      </c>
      <c r="T232" s="223">
        <f t="shared" si="390"/>
        <v>89957.552685978037</v>
      </c>
      <c r="U232" s="224">
        <f t="shared" si="391"/>
        <v>4734.6080361041068</v>
      </c>
      <c r="V232" s="365">
        <v>33078</v>
      </c>
      <c r="W232" s="223">
        <f>V232*'KiGa - PS'!L233</f>
        <v>5747.1982708024952</v>
      </c>
      <c r="X232" s="226">
        <f t="shared" si="392"/>
        <v>4.5427874254138863E-2</v>
      </c>
      <c r="Y232" s="223">
        <f t="shared" si="393"/>
        <v>5747.1982708024952</v>
      </c>
      <c r="Z232" s="224">
        <f t="shared" si="385"/>
        <v>302.48411951592078</v>
      </c>
      <c r="AA232" s="365">
        <v>93483.8</v>
      </c>
      <c r="AB232" s="365">
        <v>2712.5</v>
      </c>
      <c r="AC232" s="225">
        <f>Artengliederung!AE232</f>
        <v>26450</v>
      </c>
      <c r="AD232" s="223">
        <f>AC232*'KiGa - PS'!L233</f>
        <v>4595.6041557145536</v>
      </c>
      <c r="AE232" s="226">
        <f t="shared" si="386"/>
        <v>3.6325269787229365E-2</v>
      </c>
      <c r="AF232" s="223">
        <f t="shared" si="394"/>
        <v>4595.6041557145536</v>
      </c>
      <c r="AG232" s="224">
        <f t="shared" si="395"/>
        <v>241.87390293234492</v>
      </c>
      <c r="AH232" s="225">
        <f t="shared" si="388"/>
        <v>90771.3</v>
      </c>
      <c r="AI232" s="223">
        <f>AH232*'KiGa - PS'!L233</f>
        <v>15771.227353482513</v>
      </c>
      <c r="AJ232" s="226">
        <f t="shared" si="396"/>
        <v>0.12466132179347951</v>
      </c>
      <c r="AK232" s="223">
        <f t="shared" si="397"/>
        <v>15771.227353482513</v>
      </c>
      <c r="AL232" s="224">
        <f t="shared" si="398"/>
        <v>830.06459755171124</v>
      </c>
      <c r="AM232" s="365">
        <v>5400.35</v>
      </c>
      <c r="AN232" s="223">
        <f>AM232*'KiGa - PS'!L233</f>
        <v>938.29379592866121</v>
      </c>
      <c r="AO232" s="226">
        <f t="shared" si="399"/>
        <v>7.4166038070118756E-3</v>
      </c>
      <c r="AP232" s="223">
        <f t="shared" si="400"/>
        <v>938.29379592866121</v>
      </c>
      <c r="AQ232" s="224">
        <f t="shared" si="387"/>
        <v>49.383883996245324</v>
      </c>
      <c r="AR232" s="223">
        <f>Artengliederung!X232*'KiGa - PS'!L233</f>
        <v>6721.8572822242022</v>
      </c>
      <c r="AS232" s="226">
        <f t="shared" si="401"/>
        <v>5.3131921500336646E-2</v>
      </c>
      <c r="AT232" s="223">
        <f t="shared" si="402"/>
        <v>6721.8572822242022</v>
      </c>
      <c r="AU232" s="223">
        <f t="shared" si="403"/>
        <v>353.78196222232646</v>
      </c>
      <c r="AV232" s="227">
        <f t="shared" si="404"/>
        <v>2.1980908289680662E-2</v>
      </c>
    </row>
    <row r="233" spans="1:48" x14ac:dyDescent="0.25">
      <c r="A233" s="365" t="s">
        <v>191</v>
      </c>
      <c r="B233" s="365" t="s">
        <v>35</v>
      </c>
      <c r="C233" s="328">
        <v>1</v>
      </c>
      <c r="D233" s="328">
        <f>Kennzahlen!D111</f>
        <v>30</v>
      </c>
      <c r="E233" s="223">
        <f>'KiGa - PS'!C234+H233*'KiGa - PS'!L234</f>
        <v>266306.26294859475</v>
      </c>
      <c r="F233" s="223">
        <f t="shared" si="405"/>
        <v>266306.26294859475</v>
      </c>
      <c r="G233" s="224">
        <f t="shared" si="384"/>
        <v>8876.8754316198247</v>
      </c>
      <c r="H233" s="223">
        <f>I233-'KiGa - PS'!H234</f>
        <v>403393.14999999991</v>
      </c>
      <c r="I233" s="223">
        <f t="shared" si="406"/>
        <v>1091862.45</v>
      </c>
      <c r="J233" s="365">
        <v>1120125.8</v>
      </c>
      <c r="K233" s="365">
        <v>12498.35</v>
      </c>
      <c r="L233" s="365">
        <v>115.9</v>
      </c>
      <c r="M233" s="365">
        <v>15649.1</v>
      </c>
      <c r="N233" s="365"/>
      <c r="O233" s="365"/>
      <c r="P233" s="365">
        <v>691791.1</v>
      </c>
      <c r="Q233" s="27">
        <f t="shared" si="407"/>
        <v>676142</v>
      </c>
      <c r="R233" s="223">
        <f>(Q233-'KiGa - PS'!H234)*'KiGa - PS'!L234+'KiGa - PS'!C234</f>
        <v>164911.66011120609</v>
      </c>
      <c r="S233" s="226">
        <f t="shared" si="389"/>
        <v>0.61925565807304761</v>
      </c>
      <c r="T233" s="223">
        <f t="shared" si="390"/>
        <v>164911.66011120609</v>
      </c>
      <c r="U233" s="224">
        <f t="shared" si="391"/>
        <v>5497.0553370402031</v>
      </c>
      <c r="V233" s="365">
        <v>55246.8</v>
      </c>
      <c r="W233" s="223">
        <f>V233*'KiGa - PS'!L234</f>
        <v>13474.74569518205</v>
      </c>
      <c r="X233" s="226">
        <f t="shared" si="392"/>
        <v>5.0598681180033259E-2</v>
      </c>
      <c r="Y233" s="223">
        <f t="shared" si="393"/>
        <v>13474.74569518205</v>
      </c>
      <c r="Z233" s="224">
        <f t="shared" si="385"/>
        <v>449.15818983940164</v>
      </c>
      <c r="AA233" s="365">
        <v>122576</v>
      </c>
      <c r="AB233" s="365">
        <v>19177.2</v>
      </c>
      <c r="AC233" s="225">
        <f>Artengliederung!AE233</f>
        <v>87817.1</v>
      </c>
      <c r="AD233" s="223">
        <f>AC233*'KiGa - PS'!L234</f>
        <v>21418.672035092921</v>
      </c>
      <c r="AE233" s="226">
        <f t="shared" si="386"/>
        <v>8.0428720668981712E-2</v>
      </c>
      <c r="AF233" s="223">
        <f t="shared" si="394"/>
        <v>21418.672035092921</v>
      </c>
      <c r="AG233" s="224">
        <f t="shared" si="395"/>
        <v>713.95573450309735</v>
      </c>
      <c r="AH233" s="225">
        <f t="shared" si="388"/>
        <v>103398.8</v>
      </c>
      <c r="AI233" s="223">
        <f>AH233*'KiGa - PS'!L234</f>
        <v>25219.063098441715</v>
      </c>
      <c r="AJ233" s="226">
        <f t="shared" si="396"/>
        <v>9.4699474279017481E-2</v>
      </c>
      <c r="AK233" s="223">
        <f t="shared" si="397"/>
        <v>25219.063098441715</v>
      </c>
      <c r="AL233" s="224">
        <f t="shared" si="398"/>
        <v>840.63543661472386</v>
      </c>
      <c r="AM233" s="365">
        <v>5580.35</v>
      </c>
      <c r="AN233" s="223">
        <f>AM233*'KiGa - PS'!L234</f>
        <v>1361.0525340853978</v>
      </c>
      <c r="AO233" s="226">
        <f t="shared" si="399"/>
        <v>5.110854393792919E-3</v>
      </c>
      <c r="AP233" s="223">
        <f t="shared" si="400"/>
        <v>1361.0525340853978</v>
      </c>
      <c r="AQ233" s="224">
        <f t="shared" si="387"/>
        <v>45.368417802846594</v>
      </c>
      <c r="AR233" s="223">
        <f>Artengliederung!X233*'KiGa - PS'!L234</f>
        <v>13938.779402516566</v>
      </c>
      <c r="AS233" s="226">
        <f t="shared" si="401"/>
        <v>5.2341162570431837E-2</v>
      </c>
      <c r="AT233" s="223">
        <f t="shared" si="402"/>
        <v>13938.779402516566</v>
      </c>
      <c r="AU233" s="223">
        <f t="shared" si="403"/>
        <v>464.62598008388551</v>
      </c>
      <c r="AV233" s="227">
        <f t="shared" si="404"/>
        <v>9.7565448834695201E-2</v>
      </c>
    </row>
    <row r="234" spans="1:48" x14ac:dyDescent="0.25">
      <c r="A234" s="365" t="s">
        <v>192</v>
      </c>
      <c r="B234" s="365" t="s">
        <v>35</v>
      </c>
      <c r="C234" s="328">
        <v>0.5</v>
      </c>
      <c r="D234" s="328">
        <f>Kennzahlen!D112</f>
        <v>16</v>
      </c>
      <c r="E234" s="223">
        <f>'KiGa - PS'!C235+H234*'KiGa - PS'!L235</f>
        <v>90927.615574058611</v>
      </c>
      <c r="F234" s="223">
        <f t="shared" si="405"/>
        <v>181855.23114811722</v>
      </c>
      <c r="G234" s="224">
        <f t="shared" si="384"/>
        <v>5682.9759733786632</v>
      </c>
      <c r="H234" s="223">
        <f>I234-'KiGa - PS'!H235</f>
        <v>104162.49999999994</v>
      </c>
      <c r="I234" s="223">
        <f t="shared" si="406"/>
        <v>332454.94999999995</v>
      </c>
      <c r="J234" s="365">
        <v>342320.85</v>
      </c>
      <c r="K234" s="365">
        <v>0</v>
      </c>
      <c r="L234" s="365">
        <v>0</v>
      </c>
      <c r="M234" s="365">
        <v>9865.9</v>
      </c>
      <c r="N234" s="365"/>
      <c r="O234" s="365"/>
      <c r="P234" s="365">
        <v>237158.1</v>
      </c>
      <c r="Q234" s="27">
        <f t="shared" si="407"/>
        <v>227292.2</v>
      </c>
      <c r="R234" s="223">
        <f>(Q234-'KiGa - PS'!H235)*'KiGa - PS'!L235+'KiGa - PS'!C235</f>
        <v>62165.228054453837</v>
      </c>
      <c r="S234" s="226">
        <f t="shared" si="389"/>
        <v>0.68367819459448576</v>
      </c>
      <c r="T234" s="223">
        <f t="shared" si="390"/>
        <v>124330.45610890767</v>
      </c>
      <c r="U234" s="224">
        <f t="shared" si="391"/>
        <v>3885.3267534033648</v>
      </c>
      <c r="V234" s="365">
        <v>18444.55</v>
      </c>
      <c r="W234" s="223">
        <f>V234*'KiGa - PS'!L235</f>
        <v>5044.6502656570547</v>
      </c>
      <c r="X234" s="226">
        <f t="shared" si="392"/>
        <v>5.5479847720721259E-2</v>
      </c>
      <c r="Y234" s="223">
        <f t="shared" si="393"/>
        <v>10089.300531314109</v>
      </c>
      <c r="Z234" s="224">
        <f t="shared" si="385"/>
        <v>315.29064160356592</v>
      </c>
      <c r="AA234" s="365">
        <v>6786</v>
      </c>
      <c r="AB234" s="365">
        <v>18840</v>
      </c>
      <c r="AC234" s="225">
        <f>Artengliederung!AE234</f>
        <v>35570</v>
      </c>
      <c r="AD234" s="223">
        <f>AC234*'KiGa - PS'!L235</f>
        <v>9728.5219725838506</v>
      </c>
      <c r="AE234" s="226">
        <f t="shared" si="386"/>
        <v>0.10699193981019084</v>
      </c>
      <c r="AF234" s="223">
        <f t="shared" si="394"/>
        <v>19457.043945167701</v>
      </c>
      <c r="AG234" s="224">
        <f t="shared" si="395"/>
        <v>608.03262328649066</v>
      </c>
      <c r="AH234" s="225">
        <f t="shared" si="388"/>
        <v>-12054</v>
      </c>
      <c r="AI234" s="223">
        <f>AH234*'KiGa - PS'!L235</f>
        <v>-3296.8120286062899</v>
      </c>
      <c r="AJ234" s="226">
        <f t="shared" si="396"/>
        <v>-3.625754406724882E-2</v>
      </c>
      <c r="AK234" s="223">
        <f t="shared" si="397"/>
        <v>-6593.6240572125798</v>
      </c>
      <c r="AL234" s="224">
        <f t="shared" si="398"/>
        <v>-206.05075178789312</v>
      </c>
      <c r="AM234" s="365">
        <v>1977.15</v>
      </c>
      <c r="AN234" s="223">
        <f>AM234*'KiGa - PS'!L235</f>
        <v>540.7575827409097</v>
      </c>
      <c r="AO234" s="226">
        <f t="shared" si="399"/>
        <v>5.9471215573719087E-3</v>
      </c>
      <c r="AP234" s="223">
        <f t="shared" si="400"/>
        <v>1081.5151654818194</v>
      </c>
      <c r="AQ234" s="224">
        <f t="shared" si="387"/>
        <v>33.797348921306856</v>
      </c>
      <c r="AR234" s="223">
        <f>Artengliederung!X234*'KiGa - PS'!L235</f>
        <v>5593.6129554875779</v>
      </c>
      <c r="AS234" s="226">
        <f t="shared" si="401"/>
        <v>6.1517207068205799E-2</v>
      </c>
      <c r="AT234" s="223">
        <f t="shared" si="402"/>
        <v>11187.225910975156</v>
      </c>
      <c r="AU234" s="223">
        <f t="shared" si="403"/>
        <v>349.60080971797362</v>
      </c>
      <c r="AV234" s="227">
        <f t="shared" si="404"/>
        <v>0.12264323331627328</v>
      </c>
    </row>
    <row r="235" spans="1:48" x14ac:dyDescent="0.25">
      <c r="A235" s="365" t="s">
        <v>193</v>
      </c>
      <c r="B235" s="365" t="s">
        <v>35</v>
      </c>
      <c r="C235" s="328">
        <v>4</v>
      </c>
      <c r="D235" s="328">
        <f>Kennzahlen!D113</f>
        <v>98</v>
      </c>
      <c r="E235" s="223">
        <f>'KiGa - PS'!C236+H235*'KiGa - PS'!L236</f>
        <v>530223.11718140473</v>
      </c>
      <c r="F235" s="223">
        <f t="shared" si="405"/>
        <v>132555.77929535118</v>
      </c>
      <c r="G235" s="224">
        <f t="shared" si="384"/>
        <v>5410.439971238824</v>
      </c>
      <c r="H235" s="223">
        <f>I235-'KiGa - PS'!H236</f>
        <v>1125804.1499999999</v>
      </c>
      <c r="I235" s="223">
        <f t="shared" si="406"/>
        <v>3456008.55</v>
      </c>
      <c r="J235" s="365">
        <v>3816651.15</v>
      </c>
      <c r="K235" s="365">
        <v>266668.5</v>
      </c>
      <c r="L235" s="365">
        <v>0</v>
      </c>
      <c r="M235" s="365">
        <v>93974.1</v>
      </c>
      <c r="N235" s="365"/>
      <c r="O235" s="365"/>
      <c r="P235" s="365">
        <v>2350856.85</v>
      </c>
      <c r="Q235" s="27">
        <f t="shared" si="407"/>
        <v>2256882.75</v>
      </c>
      <c r="R235" s="223">
        <f>(Q235-'KiGa - PS'!H236)*'KiGa - PS'!L236+'KiGa - PS'!C236</f>
        <v>346252.44396977581</v>
      </c>
      <c r="S235" s="226">
        <f t="shared" si="389"/>
        <v>0.65303158755206214</v>
      </c>
      <c r="T235" s="223">
        <f t="shared" si="390"/>
        <v>86563.110992443952</v>
      </c>
      <c r="U235" s="224">
        <f t="shared" si="391"/>
        <v>3533.1882037732225</v>
      </c>
      <c r="V235" s="365">
        <v>133145.45000000001</v>
      </c>
      <c r="W235" s="223">
        <f>V235*'KiGa - PS'!L236</f>
        <v>20427.262987390724</v>
      </c>
      <c r="X235" s="226">
        <f t="shared" si="392"/>
        <v>3.8525787211955841E-2</v>
      </c>
      <c r="Y235" s="223">
        <f t="shared" si="393"/>
        <v>5106.8157468476811</v>
      </c>
      <c r="Z235" s="224">
        <f t="shared" si="385"/>
        <v>208.44145905500739</v>
      </c>
      <c r="AA235" s="365">
        <v>406749.05</v>
      </c>
      <c r="AB235" s="365">
        <v>34082</v>
      </c>
      <c r="AC235" s="225">
        <f>Artengliederung!AE235</f>
        <v>204309</v>
      </c>
      <c r="AD235" s="223">
        <f>AC235*'KiGa - PS'!L236</f>
        <v>31345.221888474676</v>
      </c>
      <c r="AE235" s="226">
        <f t="shared" si="386"/>
        <v>5.9117041246903174E-2</v>
      </c>
      <c r="AF235" s="223">
        <f t="shared" si="394"/>
        <v>7836.3054721186691</v>
      </c>
      <c r="AG235" s="224">
        <f t="shared" si="395"/>
        <v>319.84920294361916</v>
      </c>
      <c r="AH235" s="225">
        <f t="shared" si="388"/>
        <v>372667.05</v>
      </c>
      <c r="AI235" s="223">
        <f>AH235*'KiGa - PS'!L236</f>
        <v>57174.825253773874</v>
      </c>
      <c r="AJ235" s="226">
        <f t="shared" si="396"/>
        <v>0.10783163427069647</v>
      </c>
      <c r="AK235" s="223">
        <f t="shared" si="397"/>
        <v>14293.706313443468</v>
      </c>
      <c r="AL235" s="224">
        <f t="shared" si="398"/>
        <v>583.41658422218234</v>
      </c>
      <c r="AM235" s="365">
        <v>19161.7</v>
      </c>
      <c r="AN235" s="223">
        <f>AM235*'KiGa - PS'!L236</f>
        <v>2939.8006855321364</v>
      </c>
      <c r="AO235" s="226">
        <f t="shared" si="399"/>
        <v>5.5444596628674439E-3</v>
      </c>
      <c r="AP235" s="223">
        <f t="shared" si="400"/>
        <v>734.9501713830341</v>
      </c>
      <c r="AQ235" s="224">
        <f t="shared" si="387"/>
        <v>29.99796617889935</v>
      </c>
      <c r="AR235" s="223">
        <f>Artengliederung!X235*'KiGa - PS'!L236</f>
        <v>26273.433996358865</v>
      </c>
      <c r="AS235" s="226">
        <f t="shared" si="401"/>
        <v>4.9551656925154321E-2</v>
      </c>
      <c r="AT235" s="223">
        <f t="shared" si="402"/>
        <v>6568.3584990897161</v>
      </c>
      <c r="AU235" s="223">
        <f t="shared" si="403"/>
        <v>268.09626526896801</v>
      </c>
      <c r="AV235" s="227">
        <f t="shared" si="404"/>
        <v>8.6397833130360618E-2</v>
      </c>
    </row>
    <row r="236" spans="1:48" x14ac:dyDescent="0.25">
      <c r="A236" s="365" t="s">
        <v>194</v>
      </c>
      <c r="B236" s="365" t="s">
        <v>35</v>
      </c>
      <c r="C236" s="328">
        <v>5</v>
      </c>
      <c r="D236" s="328">
        <f>Kennzahlen!D114</f>
        <v>93</v>
      </c>
      <c r="E236" s="223">
        <f>'KiGa - PS'!C237+H236*'KiGa - PS'!L237</f>
        <v>732018.46748413588</v>
      </c>
      <c r="F236" s="223">
        <f t="shared" si="405"/>
        <v>146403.69349682718</v>
      </c>
      <c r="G236" s="224">
        <f t="shared" si="384"/>
        <v>7871.1663170337188</v>
      </c>
      <c r="H236" s="223">
        <f>I236-'KiGa - PS'!H237</f>
        <v>1185327.3000000003</v>
      </c>
      <c r="I236" s="223">
        <f t="shared" si="406"/>
        <v>3568528.3000000003</v>
      </c>
      <c r="J236" s="365">
        <v>3873405.85</v>
      </c>
      <c r="K236" s="365">
        <v>196074</v>
      </c>
      <c r="L236" s="365">
        <v>0</v>
      </c>
      <c r="M236" s="365">
        <v>108803.55</v>
      </c>
      <c r="N236" s="365"/>
      <c r="O236" s="365"/>
      <c r="P236" s="365">
        <v>2430130.75</v>
      </c>
      <c r="Q236" s="27">
        <f t="shared" si="407"/>
        <v>2321327.2000000002</v>
      </c>
      <c r="R236" s="223">
        <f>(Q236-'KiGa - PS'!H237)*'KiGa - PS'!L237+'KiGa - PS'!C237</f>
        <v>476177.91891218582</v>
      </c>
      <c r="S236" s="226">
        <f t="shared" si="389"/>
        <v>0.65049987133351306</v>
      </c>
      <c r="T236" s="223">
        <f t="shared" si="390"/>
        <v>95235.58378243717</v>
      </c>
      <c r="U236" s="224">
        <f t="shared" si="391"/>
        <v>5120.1926764751161</v>
      </c>
      <c r="V236" s="365">
        <v>185531.45</v>
      </c>
      <c r="W236" s="223">
        <f>V236*'KiGa - PS'!L237</f>
        <v>38058.391662218171</v>
      </c>
      <c r="X236" s="226">
        <f t="shared" si="392"/>
        <v>5.1991026664969985E-2</v>
      </c>
      <c r="Y236" s="223">
        <f t="shared" si="393"/>
        <v>7611.6783324436346</v>
      </c>
      <c r="Z236" s="224">
        <f t="shared" si="385"/>
        <v>409.23001787331367</v>
      </c>
      <c r="AA236" s="365">
        <v>355030.8</v>
      </c>
      <c r="AB236" s="365">
        <v>20195.25</v>
      </c>
      <c r="AC236" s="225">
        <f>Artengliederung!AE236</f>
        <v>304602.95</v>
      </c>
      <c r="AD236" s="223">
        <f>AC236*'KiGa - PS'!L237</f>
        <v>62483.737245448458</v>
      </c>
      <c r="AE236" s="226">
        <f t="shared" si="386"/>
        <v>8.5358143299578151E-2</v>
      </c>
      <c r="AF236" s="223">
        <f t="shared" si="394"/>
        <v>12496.747449089691</v>
      </c>
      <c r="AG236" s="224">
        <f t="shared" si="395"/>
        <v>671.86814242417699</v>
      </c>
      <c r="AH236" s="225">
        <f t="shared" si="388"/>
        <v>334835.55</v>
      </c>
      <c r="AI236" s="223">
        <f>AH236*'KiGa - PS'!L237</f>
        <v>68685.403495387087</v>
      </c>
      <c r="AJ236" s="226">
        <f t="shared" si="396"/>
        <v>9.3830151213877153E-2</v>
      </c>
      <c r="AK236" s="223">
        <f t="shared" si="397"/>
        <v>13737.080699077418</v>
      </c>
      <c r="AL236" s="224">
        <f t="shared" si="398"/>
        <v>738.55272575685035</v>
      </c>
      <c r="AM236" s="365">
        <v>39872.6</v>
      </c>
      <c r="AN236" s="223">
        <f>AM236*'KiGa - PS'!L237</f>
        <v>8179.1363533835374</v>
      </c>
      <c r="AO236" s="226">
        <f t="shared" si="399"/>
        <v>1.1173401651319395E-2</v>
      </c>
      <c r="AP236" s="223">
        <f t="shared" si="400"/>
        <v>1635.8272706767075</v>
      </c>
      <c r="AQ236" s="224">
        <f t="shared" si="387"/>
        <v>87.947702724554162</v>
      </c>
      <c r="AR236" s="223">
        <f>Artengliederung!X236*'KiGa - PS'!L237</f>
        <v>54922.026956832429</v>
      </c>
      <c r="AS236" s="226">
        <f t="shared" si="401"/>
        <v>7.5028198599405807E-2</v>
      </c>
      <c r="AT236" s="223">
        <f t="shared" si="402"/>
        <v>10984.405391366487</v>
      </c>
      <c r="AU236" s="223">
        <f t="shared" si="403"/>
        <v>590.55942964335941</v>
      </c>
      <c r="AV236" s="227">
        <f t="shared" si="404"/>
        <v>3.2119207237336453E-2</v>
      </c>
    </row>
    <row r="237" spans="1:48" x14ac:dyDescent="0.25">
      <c r="A237" s="365" t="s">
        <v>195</v>
      </c>
      <c r="B237" s="365" t="s">
        <v>35</v>
      </c>
      <c r="C237" s="328">
        <v>1.5</v>
      </c>
      <c r="D237" s="328">
        <f>Kennzahlen!D115</f>
        <v>38</v>
      </c>
      <c r="E237" s="223">
        <f>'KiGa - PS'!C238+H237*'KiGa - PS'!L238</f>
        <v>261854.53204198348</v>
      </c>
      <c r="F237" s="223">
        <f t="shared" si="405"/>
        <v>174569.68802798897</v>
      </c>
      <c r="G237" s="224">
        <f t="shared" si="384"/>
        <v>6890.9087379469338</v>
      </c>
      <c r="H237" s="223">
        <f>I237-'KiGa - PS'!H238</f>
        <v>763350.46</v>
      </c>
      <c r="I237" s="223">
        <f t="shared" si="406"/>
        <v>1582234.16</v>
      </c>
      <c r="J237" s="365">
        <v>1671046.76</v>
      </c>
      <c r="K237" s="365">
        <v>55364.6</v>
      </c>
      <c r="L237" s="365">
        <v>0</v>
      </c>
      <c r="M237" s="365">
        <v>33448</v>
      </c>
      <c r="N237" s="365"/>
      <c r="O237" s="365"/>
      <c r="P237" s="365">
        <v>821669.65</v>
      </c>
      <c r="Q237" s="27">
        <f t="shared" si="407"/>
        <v>788221.65</v>
      </c>
      <c r="R237" s="223">
        <f>(Q237-'KiGa - PS'!H238)*'KiGa - PS'!L238+'KiGa - PS'!C238</f>
        <v>130448.08191103023</v>
      </c>
      <c r="S237" s="226">
        <f t="shared" si="389"/>
        <v>0.4981700369811255</v>
      </c>
      <c r="T237" s="223">
        <f t="shared" si="390"/>
        <v>86965.387940686822</v>
      </c>
      <c r="U237" s="224">
        <f t="shared" si="391"/>
        <v>3432.8442608165847</v>
      </c>
      <c r="V237" s="365">
        <v>66302.350000000006</v>
      </c>
      <c r="W237" s="223">
        <f>V237*'KiGa - PS'!L238</f>
        <v>10972.820124509135</v>
      </c>
      <c r="X237" s="226">
        <f t="shared" si="392"/>
        <v>4.1904258975169653E-2</v>
      </c>
      <c r="Y237" s="223">
        <f t="shared" si="393"/>
        <v>7315.213416339423</v>
      </c>
      <c r="Z237" s="224">
        <f t="shared" si="385"/>
        <v>288.75842432918779</v>
      </c>
      <c r="AA237" s="365">
        <v>256172.56</v>
      </c>
      <c r="AB237" s="365">
        <v>34074</v>
      </c>
      <c r="AC237" s="225">
        <f>Artengliederung!AE237</f>
        <v>173600</v>
      </c>
      <c r="AD237" s="223">
        <f>AC237*'KiGa - PS'!L238</f>
        <v>28730.227112836656</v>
      </c>
      <c r="AE237" s="226">
        <f t="shared" si="386"/>
        <v>0.10971827330538736</v>
      </c>
      <c r="AF237" s="223">
        <f t="shared" si="394"/>
        <v>19153.484741891105</v>
      </c>
      <c r="AG237" s="224">
        <f t="shared" si="395"/>
        <v>756.05860823254352</v>
      </c>
      <c r="AH237" s="225">
        <f t="shared" si="388"/>
        <v>222098.56</v>
      </c>
      <c r="AI237" s="223">
        <f>AH237*'KiGa - PS'!L238</f>
        <v>36756.578745587438</v>
      </c>
      <c r="AJ237" s="226">
        <f t="shared" si="396"/>
        <v>0.14037022181343881</v>
      </c>
      <c r="AK237" s="223">
        <f t="shared" si="397"/>
        <v>24504.385830391624</v>
      </c>
      <c r="AL237" s="224">
        <f t="shared" si="398"/>
        <v>967.27838804177463</v>
      </c>
      <c r="AM237" s="365">
        <v>5519.15</v>
      </c>
      <c r="AN237" s="223">
        <f>AM237*'KiGa - PS'!L238</f>
        <v>913.40111157726051</v>
      </c>
      <c r="AO237" s="226">
        <f t="shared" si="399"/>
        <v>3.4882005075658334E-3</v>
      </c>
      <c r="AP237" s="223">
        <f t="shared" si="400"/>
        <v>608.9340743848403</v>
      </c>
      <c r="AQ237" s="224">
        <f t="shared" si="387"/>
        <v>24.036871357296331</v>
      </c>
      <c r="AR237" s="223">
        <f>Artengliederung!X237*'KiGa - PS'!L238</f>
        <v>25342.11247260142</v>
      </c>
      <c r="AS237" s="226">
        <f t="shared" si="401"/>
        <v>9.677935407487348E-2</v>
      </c>
      <c r="AT237" s="223">
        <f t="shared" si="402"/>
        <v>16894.741648400948</v>
      </c>
      <c r="AU237" s="223">
        <f t="shared" si="403"/>
        <v>666.89769664740584</v>
      </c>
      <c r="AV237" s="227">
        <f t="shared" si="404"/>
        <v>0.10956965434243943</v>
      </c>
    </row>
    <row r="238" spans="1:48" x14ac:dyDescent="0.25">
      <c r="A238" s="365" t="s">
        <v>196</v>
      </c>
      <c r="B238" s="365" t="s">
        <v>35</v>
      </c>
      <c r="C238" s="328">
        <v>1</v>
      </c>
      <c r="D238" s="328">
        <f>Kennzahlen!D116</f>
        <v>20</v>
      </c>
      <c r="E238" s="223">
        <f>'KiGa - PS'!C239+H238*'KiGa - PS'!L239</f>
        <v>127933.85616365267</v>
      </c>
      <c r="F238" s="223">
        <f t="shared" si="405"/>
        <v>127933.85616365267</v>
      </c>
      <c r="G238" s="224">
        <f t="shared" si="384"/>
        <v>6396.6928081826336</v>
      </c>
      <c r="H238" s="223">
        <f>I238-'KiGa - PS'!H239</f>
        <v>515363.92999999993</v>
      </c>
      <c r="I238" s="223">
        <f t="shared" si="406"/>
        <v>1375967.01</v>
      </c>
      <c r="J238" s="365">
        <v>1462694.26</v>
      </c>
      <c r="K238" s="365">
        <v>71124.25</v>
      </c>
      <c r="L238" s="365">
        <v>0</v>
      </c>
      <c r="M238" s="365">
        <v>15603</v>
      </c>
      <c r="N238" s="365"/>
      <c r="O238" s="365"/>
      <c r="P238" s="365">
        <v>879998.18</v>
      </c>
      <c r="Q238" s="27">
        <f t="shared" si="407"/>
        <v>864395.18</v>
      </c>
      <c r="R238" s="223">
        <f>(Q238-'KiGa - PS'!H239)*'KiGa - PS'!L239+'KiGa - PS'!C239</f>
        <v>80369.229656657742</v>
      </c>
      <c r="S238" s="226">
        <f t="shared" si="389"/>
        <v>0.62820923301060838</v>
      </c>
      <c r="T238" s="223">
        <f t="shared" si="390"/>
        <v>80369.229656657742</v>
      </c>
      <c r="U238" s="224">
        <f t="shared" si="391"/>
        <v>4018.4614828328872</v>
      </c>
      <c r="V238" s="365">
        <v>75328.55</v>
      </c>
      <c r="W238" s="223">
        <f>V238*'KiGa - PS'!L239</f>
        <v>7003.8538792558111</v>
      </c>
      <c r="X238" s="226">
        <f t="shared" si="392"/>
        <v>5.4745898304640321E-2</v>
      </c>
      <c r="Y238" s="223">
        <f t="shared" si="393"/>
        <v>7003.8538792558111</v>
      </c>
      <c r="Z238" s="224">
        <f t="shared" si="385"/>
        <v>350.19269396279054</v>
      </c>
      <c r="AA238" s="365">
        <v>178749.73</v>
      </c>
      <c r="AB238" s="365">
        <v>18997.95</v>
      </c>
      <c r="AC238" s="225">
        <f>Artengliederung!AE238</f>
        <v>60247</v>
      </c>
      <c r="AD238" s="223">
        <f>AC238*'KiGa - PS'!L239</f>
        <v>5601.6103411458844</v>
      </c>
      <c r="AE238" s="226">
        <f t="shared" si="386"/>
        <v>4.3785206739804031E-2</v>
      </c>
      <c r="AF238" s="223">
        <f t="shared" si="394"/>
        <v>5601.6103411458844</v>
      </c>
      <c r="AG238" s="224">
        <f t="shared" si="395"/>
        <v>280.08051705729423</v>
      </c>
      <c r="AH238" s="225">
        <f t="shared" si="388"/>
        <v>159751.78</v>
      </c>
      <c r="AI238" s="223">
        <f>AH238*'KiGa - PS'!L239</f>
        <v>14853.307598128742</v>
      </c>
      <c r="AJ238" s="226">
        <f t="shared" si="396"/>
        <v>0.1161014608918567</v>
      </c>
      <c r="AK238" s="223">
        <f t="shared" si="397"/>
        <v>14853.307598128742</v>
      </c>
      <c r="AL238" s="224">
        <f t="shared" si="398"/>
        <v>742.66537990643712</v>
      </c>
      <c r="AM238" s="365">
        <v>1367.8</v>
      </c>
      <c r="AN238" s="223">
        <f>AM238*'KiGa - PS'!L239</f>
        <v>127.17450868291102</v>
      </c>
      <c r="AO238" s="226">
        <f t="shared" si="399"/>
        <v>9.9406453066051338E-4</v>
      </c>
      <c r="AP238" s="223">
        <f t="shared" si="400"/>
        <v>127.17450868291102</v>
      </c>
      <c r="AQ238" s="224">
        <f t="shared" si="387"/>
        <v>6.3587254341455512</v>
      </c>
      <c r="AR238" s="223">
        <f>Artengliederung!X238*'KiGa - PS'!L239</f>
        <v>12971.7069082416</v>
      </c>
      <c r="AS238" s="226">
        <f t="shared" si="401"/>
        <v>0.10139385536576201</v>
      </c>
      <c r="AT238" s="223">
        <f t="shared" si="402"/>
        <v>12971.7069082416</v>
      </c>
      <c r="AU238" s="223">
        <f t="shared" si="403"/>
        <v>648.58534541207996</v>
      </c>
      <c r="AV238" s="227">
        <f t="shared" si="404"/>
        <v>5.4770281156668071E-2</v>
      </c>
    </row>
    <row r="239" spans="1:48" x14ac:dyDescent="0.25">
      <c r="A239" s="365" t="s">
        <v>197</v>
      </c>
      <c r="B239" s="365" t="s">
        <v>35</v>
      </c>
      <c r="C239" s="328">
        <v>2</v>
      </c>
      <c r="D239" s="328">
        <f>Kennzahlen!D117</f>
        <v>39</v>
      </c>
      <c r="E239" s="223">
        <f>'KiGa - PS'!C240+H239*'KiGa - PS'!L240</f>
        <v>240925.6774671606</v>
      </c>
      <c r="F239" s="223">
        <f t="shared" si="405"/>
        <v>120462.8387335803</v>
      </c>
      <c r="G239" s="224">
        <f t="shared" si="384"/>
        <v>6177.5814735169388</v>
      </c>
      <c r="H239" s="223">
        <f>I239-'KiGa - PS'!H240</f>
        <v>317712.75</v>
      </c>
      <c r="I239" s="223">
        <f t="shared" si="406"/>
        <v>970758.5</v>
      </c>
      <c r="J239" s="365">
        <v>1013383.85</v>
      </c>
      <c r="K239" s="365">
        <v>37765.5</v>
      </c>
      <c r="L239" s="365">
        <v>0</v>
      </c>
      <c r="M239" s="365">
        <v>4859.8500000000004</v>
      </c>
      <c r="N239" s="365"/>
      <c r="O239" s="365"/>
      <c r="P239" s="365">
        <v>653045.75</v>
      </c>
      <c r="Q239" s="27">
        <f t="shared" si="407"/>
        <v>648185.9</v>
      </c>
      <c r="R239" s="223">
        <f>(Q239-'KiGa - PS'!H240)*'KiGa - PS'!L240+'KiGa - PS'!C240</f>
        <v>160868.66824463676</v>
      </c>
      <c r="S239" s="226">
        <f t="shared" si="389"/>
        <v>0.66771076431470855</v>
      </c>
      <c r="T239" s="223">
        <f t="shared" si="390"/>
        <v>80434.334122318382</v>
      </c>
      <c r="U239" s="224">
        <f t="shared" si="391"/>
        <v>4124.8376472983782</v>
      </c>
      <c r="V239" s="365">
        <v>32730.25</v>
      </c>
      <c r="W239" s="223">
        <f>V239*'KiGa - PS'!L240</f>
        <v>8123.0889607657655</v>
      </c>
      <c r="X239" s="226">
        <f t="shared" si="392"/>
        <v>3.3716161125552854E-2</v>
      </c>
      <c r="Y239" s="223">
        <f t="shared" si="393"/>
        <v>4061.5444803828827</v>
      </c>
      <c r="Z239" s="224">
        <f t="shared" si="385"/>
        <v>208.28433232732732</v>
      </c>
      <c r="AA239" s="365">
        <v>136472.35</v>
      </c>
      <c r="AB239" s="365">
        <v>36640</v>
      </c>
      <c r="AC239" s="225">
        <f>Artengliederung!AE239</f>
        <v>33500</v>
      </c>
      <c r="AD239" s="223">
        <f>AC239*'KiGa - PS'!L240</f>
        <v>8314.1277621054887</v>
      </c>
      <c r="AE239" s="226">
        <f t="shared" si="386"/>
        <v>3.4509097782816224E-2</v>
      </c>
      <c r="AF239" s="223">
        <f t="shared" si="394"/>
        <v>4157.0638810527444</v>
      </c>
      <c r="AG239" s="224">
        <f t="shared" si="395"/>
        <v>213.18276313090996</v>
      </c>
      <c r="AH239" s="225">
        <f t="shared" si="388"/>
        <v>99832.35</v>
      </c>
      <c r="AI239" s="223">
        <f>AH239*'KiGa - PS'!L240</f>
        <v>24776.683960932292</v>
      </c>
      <c r="AJ239" s="226">
        <f t="shared" si="396"/>
        <v>0.10283953218024874</v>
      </c>
      <c r="AK239" s="223">
        <f t="shared" si="397"/>
        <v>12388.341980466146</v>
      </c>
      <c r="AL239" s="224">
        <f t="shared" si="398"/>
        <v>635.29958874185365</v>
      </c>
      <c r="AM239" s="365">
        <v>3413.2</v>
      </c>
      <c r="AN239" s="223">
        <f>AM239*'KiGa - PS'!L240</f>
        <v>847.09793664532685</v>
      </c>
      <c r="AO239" s="226">
        <f t="shared" si="399"/>
        <v>3.516013509024129E-3</v>
      </c>
      <c r="AP239" s="223">
        <f t="shared" si="400"/>
        <v>423.54896832266343</v>
      </c>
      <c r="AQ239" s="224">
        <f t="shared" si="387"/>
        <v>21.72045991398274</v>
      </c>
      <c r="AR239" s="223">
        <f>Artengliederung!X239*'KiGa - PS'!L240</f>
        <v>6049.4586328752621</v>
      </c>
      <c r="AS239" s="226">
        <f t="shared" si="401"/>
        <v>2.5109231595705835E-2</v>
      </c>
      <c r="AT239" s="223">
        <f t="shared" si="402"/>
        <v>3024.729316437631</v>
      </c>
      <c r="AU239" s="223">
        <f t="shared" si="403"/>
        <v>155.1143239198785</v>
      </c>
      <c r="AV239" s="227">
        <f t="shared" si="404"/>
        <v>0.13259919949194365</v>
      </c>
    </row>
    <row r="240" spans="1:48" x14ac:dyDescent="0.25">
      <c r="A240" s="365" t="s">
        <v>198</v>
      </c>
      <c r="B240" s="365" t="s">
        <v>35</v>
      </c>
      <c r="C240" s="328">
        <v>2</v>
      </c>
      <c r="D240" s="328">
        <f>Kennzahlen!D118</f>
        <v>44</v>
      </c>
      <c r="E240" s="223">
        <f>'KiGa - PS'!C241+H240*'KiGa - PS'!L241</f>
        <v>202734.38415058341</v>
      </c>
      <c r="F240" s="223">
        <f t="shared" si="405"/>
        <v>101367.19207529171</v>
      </c>
      <c r="G240" s="224">
        <f t="shared" si="384"/>
        <v>4607.5996397859863</v>
      </c>
      <c r="H240" s="223">
        <f>I240-'KiGa - PS'!H241</f>
        <v>544946.69999999972</v>
      </c>
      <c r="I240" s="223">
        <f t="shared" si="406"/>
        <v>1479077.2999999998</v>
      </c>
      <c r="J240" s="365">
        <v>1507035</v>
      </c>
      <c r="K240" s="365">
        <v>27958.1</v>
      </c>
      <c r="L240" s="365">
        <v>0</v>
      </c>
      <c r="M240" s="365">
        <v>-0.4</v>
      </c>
      <c r="N240" s="365"/>
      <c r="O240" s="365"/>
      <c r="P240" s="365">
        <v>951540</v>
      </c>
      <c r="Q240" s="27">
        <f t="shared" si="407"/>
        <v>951540.4</v>
      </c>
      <c r="R240" s="223">
        <f>(Q240-'KiGa - PS'!H241)*'KiGa - PS'!L241+'KiGa - PS'!C241</f>
        <v>130425.87901822293</v>
      </c>
      <c r="S240" s="226">
        <f t="shared" si="389"/>
        <v>0.64333378654381357</v>
      </c>
      <c r="T240" s="223">
        <f t="shared" si="390"/>
        <v>65212.939509111464</v>
      </c>
      <c r="U240" s="224">
        <f t="shared" si="391"/>
        <v>2964.2245231414304</v>
      </c>
      <c r="V240" s="365">
        <v>52144.65</v>
      </c>
      <c r="W240" s="223">
        <f>V240*'KiGa - PS'!L241</f>
        <v>7147.3705292466593</v>
      </c>
      <c r="X240" s="226">
        <f t="shared" si="392"/>
        <v>3.525485111562459E-2</v>
      </c>
      <c r="Y240" s="223">
        <f t="shared" si="393"/>
        <v>3573.6852646233297</v>
      </c>
      <c r="Z240" s="224">
        <f t="shared" si="385"/>
        <v>162.44023930106044</v>
      </c>
      <c r="AA240" s="365">
        <v>157475.5</v>
      </c>
      <c r="AB240" s="365">
        <v>1170</v>
      </c>
      <c r="AC240" s="225">
        <f>Artengliederung!AE240</f>
        <v>159604.04999999999</v>
      </c>
      <c r="AD240" s="223">
        <f>AC240*'KiGa - PS'!L241</f>
        <v>21876.631319194013</v>
      </c>
      <c r="AE240" s="226">
        <f t="shared" si="386"/>
        <v>0.10790784903534115</v>
      </c>
      <c r="AF240" s="223">
        <f t="shared" si="394"/>
        <v>10938.315659597007</v>
      </c>
      <c r="AG240" s="224">
        <f t="shared" si="395"/>
        <v>497.19616634531849</v>
      </c>
      <c r="AH240" s="225">
        <f t="shared" si="388"/>
        <v>156305.5</v>
      </c>
      <c r="AI240" s="223">
        <f>AH240*'KiGa - PS'!L241</f>
        <v>21424.505184312555</v>
      </c>
      <c r="AJ240" s="226">
        <f t="shared" si="396"/>
        <v>0.10567770866336736</v>
      </c>
      <c r="AK240" s="223">
        <f t="shared" si="397"/>
        <v>10712.252592156277</v>
      </c>
      <c r="AL240" s="224">
        <f t="shared" si="398"/>
        <v>486.92057237073988</v>
      </c>
      <c r="AM240" s="365">
        <v>7443.1</v>
      </c>
      <c r="AN240" s="223">
        <f>AM240*'KiGa - PS'!L241</f>
        <v>1020.2119217644727</v>
      </c>
      <c r="AO240" s="226">
        <f t="shared" si="399"/>
        <v>5.032258963071099E-3</v>
      </c>
      <c r="AP240" s="223">
        <f t="shared" si="400"/>
        <v>510.10596088223633</v>
      </c>
      <c r="AQ240" s="224">
        <f t="shared" si="387"/>
        <v>23.186634585556195</v>
      </c>
      <c r="AR240" s="223">
        <f>Artengliederung!X240*'KiGa - PS'!L241</f>
        <v>16096.083787360672</v>
      </c>
      <c r="AS240" s="226">
        <f t="shared" si="401"/>
        <v>7.9394937641190211E-2</v>
      </c>
      <c r="AT240" s="223">
        <f t="shared" si="402"/>
        <v>8048.0418936803362</v>
      </c>
      <c r="AU240" s="223">
        <f t="shared" si="403"/>
        <v>365.82008607637891</v>
      </c>
      <c r="AV240" s="227">
        <f t="shared" si="404"/>
        <v>2.3398608037592042E-2</v>
      </c>
    </row>
    <row r="241" spans="1:48" x14ac:dyDescent="0.25">
      <c r="A241" s="365" t="s">
        <v>199</v>
      </c>
      <c r="B241" s="365" t="s">
        <v>35</v>
      </c>
      <c r="C241" s="328">
        <v>1</v>
      </c>
      <c r="D241" s="328">
        <f>Kennzahlen!D119</f>
        <v>18</v>
      </c>
      <c r="E241" s="223">
        <f>'KiGa - PS'!C242+H241*'KiGa - PS'!L242</f>
        <v>124431.19224678664</v>
      </c>
      <c r="F241" s="223">
        <f t="shared" si="405"/>
        <v>124431.19224678664</v>
      </c>
      <c r="G241" s="224">
        <f t="shared" si="384"/>
        <v>6912.8440137103689</v>
      </c>
      <c r="H241" s="223">
        <f>I241-'KiGa - PS'!H242</f>
        <v>243945.84999999986</v>
      </c>
      <c r="I241" s="223">
        <f t="shared" si="406"/>
        <v>796970.09999999986</v>
      </c>
      <c r="J241" s="365">
        <v>862303.2</v>
      </c>
      <c r="K241" s="365">
        <v>14516.8</v>
      </c>
      <c r="L241" s="365">
        <v>0</v>
      </c>
      <c r="M241" s="365">
        <v>50816.3</v>
      </c>
      <c r="N241" s="365"/>
      <c r="O241" s="365"/>
      <c r="P241" s="365">
        <v>591027.25</v>
      </c>
      <c r="Q241" s="27">
        <f t="shared" si="407"/>
        <v>540210.94999999995</v>
      </c>
      <c r="R241" s="223">
        <f>(Q241-'KiGa - PS'!H242)*'KiGa - PS'!L242+'KiGa - PS'!C242</f>
        <v>84343.305443038887</v>
      </c>
      <c r="S241" s="226">
        <f t="shared" si="389"/>
        <v>0.67783088725662355</v>
      </c>
      <c r="T241" s="223">
        <f t="shared" si="390"/>
        <v>84343.305443038887</v>
      </c>
      <c r="U241" s="224">
        <f t="shared" si="391"/>
        <v>4685.7391912799385</v>
      </c>
      <c r="V241" s="365">
        <v>38790.9</v>
      </c>
      <c r="W241" s="223">
        <f>V241*'KiGa - PS'!L242</f>
        <v>6056.4354112229266</v>
      </c>
      <c r="X241" s="226">
        <f t="shared" si="392"/>
        <v>4.8672967781350905E-2</v>
      </c>
      <c r="Y241" s="223">
        <f t="shared" si="393"/>
        <v>6056.4354112229266</v>
      </c>
      <c r="Z241" s="224">
        <f t="shared" si="385"/>
        <v>336.46863395682925</v>
      </c>
      <c r="AA241" s="365">
        <v>53074.2</v>
      </c>
      <c r="AB241" s="365">
        <v>11200</v>
      </c>
      <c r="AC241" s="225">
        <f>Artengliederung!AE241</f>
        <v>71284</v>
      </c>
      <c r="AD241" s="223">
        <f>AC241*'KiGa - PS'!L242</f>
        <v>11129.593328683146</v>
      </c>
      <c r="AE241" s="226">
        <f t="shared" si="386"/>
        <v>8.9443757049354811E-2</v>
      </c>
      <c r="AF241" s="223">
        <f t="shared" si="394"/>
        <v>11129.593328683146</v>
      </c>
      <c r="AG241" s="224">
        <f t="shared" si="395"/>
        <v>618.31074048239702</v>
      </c>
      <c r="AH241" s="225">
        <f t="shared" si="388"/>
        <v>41874.199999999997</v>
      </c>
      <c r="AI241" s="223">
        <f>AH241*'KiGa - PS'!L242</f>
        <v>6537.8320094824057</v>
      </c>
      <c r="AJ241" s="226">
        <f t="shared" si="396"/>
        <v>5.2541745292577484E-2</v>
      </c>
      <c r="AK241" s="223">
        <f t="shared" si="397"/>
        <v>6537.8320094824057</v>
      </c>
      <c r="AL241" s="224">
        <f t="shared" si="398"/>
        <v>363.21288941568923</v>
      </c>
      <c r="AM241" s="365">
        <v>2717.05</v>
      </c>
      <c r="AN241" s="223">
        <f>AM241*'KiGa - PS'!L242</f>
        <v>424.21387062592652</v>
      </c>
      <c r="AO241" s="226">
        <f t="shared" si="399"/>
        <v>3.4092245116849437E-3</v>
      </c>
      <c r="AP241" s="223">
        <f t="shared" si="400"/>
        <v>424.21387062592652</v>
      </c>
      <c r="AQ241" s="224">
        <f t="shared" si="387"/>
        <v>23.567437256995916</v>
      </c>
      <c r="AR241" s="223">
        <f>Artengliederung!X241*'KiGa - PS'!L242</f>
        <v>4131.5984436939252</v>
      </c>
      <c r="AS241" s="226">
        <f t="shared" si="401"/>
        <v>3.3203880547087027E-2</v>
      </c>
      <c r="AT241" s="223">
        <f t="shared" si="402"/>
        <v>4131.5984436939252</v>
      </c>
      <c r="AU241" s="223">
        <f t="shared" si="403"/>
        <v>229.53324687188473</v>
      </c>
      <c r="AV241" s="227">
        <f t="shared" si="404"/>
        <v>9.4897537561321299E-2</v>
      </c>
    </row>
    <row r="242" spans="1:48" x14ac:dyDescent="0.25">
      <c r="A242" s="365" t="s">
        <v>200</v>
      </c>
      <c r="B242" s="365" t="s">
        <v>35</v>
      </c>
      <c r="C242" s="328">
        <v>0</v>
      </c>
      <c r="D242" s="328"/>
      <c r="E242" s="223"/>
      <c r="F242" s="223"/>
      <c r="G242" s="224"/>
      <c r="H242" s="223"/>
      <c r="I242" s="223"/>
      <c r="J242" s="365"/>
      <c r="K242" s="365"/>
      <c r="L242" s="365"/>
      <c r="M242" s="365"/>
      <c r="N242" s="365"/>
      <c r="O242" s="365"/>
      <c r="P242" s="365"/>
      <c r="Q242" s="27"/>
      <c r="R242" s="223"/>
      <c r="S242" s="226"/>
      <c r="T242" s="223"/>
      <c r="U242" s="224"/>
      <c r="V242" s="365"/>
      <c r="W242" s="223"/>
      <c r="X242" s="226"/>
      <c r="Y242" s="223"/>
      <c r="Z242" s="224"/>
      <c r="AA242" s="365"/>
      <c r="AB242" s="365"/>
      <c r="AC242" s="225"/>
      <c r="AD242" s="223"/>
      <c r="AE242" s="226"/>
      <c r="AF242" s="223"/>
      <c r="AG242" s="224"/>
      <c r="AH242" s="225"/>
      <c r="AI242" s="223"/>
      <c r="AJ242" s="226"/>
      <c r="AK242" s="223"/>
      <c r="AL242" s="224"/>
      <c r="AM242" s="365"/>
      <c r="AN242" s="223"/>
      <c r="AO242" s="226"/>
      <c r="AP242" s="223"/>
      <c r="AQ242" s="224"/>
      <c r="AR242" s="223"/>
      <c r="AS242" s="226"/>
      <c r="AT242" s="223"/>
      <c r="AU242" s="223"/>
      <c r="AV242" s="227"/>
    </row>
    <row r="243" spans="1:48" x14ac:dyDescent="0.25">
      <c r="A243" s="365" t="s">
        <v>201</v>
      </c>
      <c r="B243" s="365" t="s">
        <v>35</v>
      </c>
      <c r="C243" s="328">
        <v>1</v>
      </c>
      <c r="D243" s="328">
        <f>Kennzahlen!D121</f>
        <v>29</v>
      </c>
      <c r="E243" s="223">
        <f>'KiGa - PS'!C244+H243*'KiGa - PS'!L244</f>
        <v>141117.40024184555</v>
      </c>
      <c r="F243" s="223">
        <f t="shared" si="405"/>
        <v>141117.40024184555</v>
      </c>
      <c r="G243" s="224">
        <f t="shared" ref="G243:G250" si="408">E243/D243</f>
        <v>4866.1172497188118</v>
      </c>
      <c r="H243" s="223">
        <f>I243-'KiGa - PS'!H244</f>
        <v>441117.5</v>
      </c>
      <c r="I243" s="223">
        <f t="shared" si="406"/>
        <v>1185435.55</v>
      </c>
      <c r="J243" s="365">
        <v>1263893.8500000001</v>
      </c>
      <c r="K243" s="365">
        <v>50856.1</v>
      </c>
      <c r="L243" s="365">
        <v>0</v>
      </c>
      <c r="M243" s="365">
        <v>27602.2</v>
      </c>
      <c r="N243" s="365"/>
      <c r="O243" s="365"/>
      <c r="P243" s="365">
        <v>744318.05</v>
      </c>
      <c r="Q243" s="27">
        <f t="shared" si="407"/>
        <v>716715.85000000009</v>
      </c>
      <c r="R243" s="223">
        <f>(Q243-'KiGa - PS'!H244)*'KiGa - PS'!L244+'KiGa - PS'!C244</f>
        <v>85319.760710841292</v>
      </c>
      <c r="S243" s="226">
        <f t="shared" si="389"/>
        <v>0.60460127925132667</v>
      </c>
      <c r="T243" s="223">
        <f t="shared" si="390"/>
        <v>85319.760710841292</v>
      </c>
      <c r="U243" s="224">
        <f t="shared" si="391"/>
        <v>2942.0607141669411</v>
      </c>
      <c r="V243" s="365">
        <v>44773.599999999999</v>
      </c>
      <c r="W243" s="223">
        <f>V243*'KiGa - PS'!L244</f>
        <v>5329.9684082093663</v>
      </c>
      <c r="X243" s="226">
        <f t="shared" si="392"/>
        <v>3.7769746318135976E-2</v>
      </c>
      <c r="Y243" s="223">
        <f t="shared" si="393"/>
        <v>5329.9684082093663</v>
      </c>
      <c r="Z243" s="224">
        <f t="shared" ref="Z243:Z250" si="409">W243/D243</f>
        <v>183.79201407618504</v>
      </c>
      <c r="AA243" s="365">
        <v>242982.8</v>
      </c>
      <c r="AB243" s="365">
        <v>20750</v>
      </c>
      <c r="AC243" s="225">
        <f>Artengliederung!AE243</f>
        <v>73468</v>
      </c>
      <c r="AD243" s="223">
        <f>AC243*'KiGa - PS'!L244</f>
        <v>8745.8260898012613</v>
      </c>
      <c r="AE243" s="226">
        <f t="shared" ref="AE243:AE250" si="410">AD243/$E243</f>
        <v>6.1975532959172679E-2</v>
      </c>
      <c r="AF243" s="223">
        <f t="shared" si="394"/>
        <v>8745.8260898012613</v>
      </c>
      <c r="AG243" s="224">
        <f t="shared" si="395"/>
        <v>301.58020999314692</v>
      </c>
      <c r="AH243" s="225">
        <f t="shared" si="388"/>
        <v>222232.8</v>
      </c>
      <c r="AI243" s="223">
        <f>AH243*'KiGa - PS'!L244</f>
        <v>26455.183484640736</v>
      </c>
      <c r="AJ243" s="226">
        <f t="shared" si="396"/>
        <v>0.18746932298428198</v>
      </c>
      <c r="AK243" s="223">
        <f t="shared" si="397"/>
        <v>26455.183484640736</v>
      </c>
      <c r="AL243" s="224">
        <f t="shared" si="398"/>
        <v>912.24770636692199</v>
      </c>
      <c r="AM243" s="365">
        <v>4773.2</v>
      </c>
      <c r="AN243" s="223">
        <f>AM243*'KiGa - PS'!L244</f>
        <v>568.21442113354635</v>
      </c>
      <c r="AO243" s="226">
        <f t="shared" si="399"/>
        <v>4.0265369129515302E-3</v>
      </c>
      <c r="AP243" s="223">
        <f t="shared" si="400"/>
        <v>568.21442113354635</v>
      </c>
      <c r="AQ243" s="224">
        <f t="shared" ref="AQ243:AQ250" si="411">AN243/D243</f>
        <v>19.593600728742977</v>
      </c>
      <c r="AR243" s="223">
        <f>Artengliederung!X243*'KiGa - PS'!L244</f>
        <v>6008.3508583461062</v>
      </c>
      <c r="AS243" s="226">
        <f t="shared" si="401"/>
        <v>4.2576966752852989E-2</v>
      </c>
      <c r="AT243" s="223">
        <f t="shared" si="402"/>
        <v>6008.3508583461062</v>
      </c>
      <c r="AU243" s="223">
        <f t="shared" si="403"/>
        <v>207.18451235676227</v>
      </c>
      <c r="AV243" s="227">
        <f t="shared" si="404"/>
        <v>6.1580614821278183E-2</v>
      </c>
    </row>
    <row r="244" spans="1:48" x14ac:dyDescent="0.25">
      <c r="A244" s="365" t="s">
        <v>202</v>
      </c>
      <c r="B244" s="365" t="s">
        <v>35</v>
      </c>
      <c r="C244" s="328">
        <v>10</v>
      </c>
      <c r="D244" s="328">
        <f>Kennzahlen!D122</f>
        <v>222</v>
      </c>
      <c r="E244" s="223">
        <f>'KiGa - PS'!C245+H244*'KiGa - PS'!L245</f>
        <v>1297734.8158606247</v>
      </c>
      <c r="F244" s="223">
        <f t="shared" si="405"/>
        <v>129773.48158606247</v>
      </c>
      <c r="G244" s="224">
        <f t="shared" si="408"/>
        <v>5845.6523236965077</v>
      </c>
      <c r="H244" s="223">
        <f>I244-'KiGa - PS'!H245</f>
        <v>1791477.2500000009</v>
      </c>
      <c r="I244" s="223">
        <f t="shared" si="406"/>
        <v>7591082.1500000004</v>
      </c>
      <c r="J244" s="365">
        <v>8890333</v>
      </c>
      <c r="K244" s="365">
        <v>1114278.1000000001</v>
      </c>
      <c r="L244" s="365">
        <v>4434.3500000000004</v>
      </c>
      <c r="M244" s="365">
        <v>180538.4</v>
      </c>
      <c r="N244" s="365"/>
      <c r="O244" s="365"/>
      <c r="P244" s="365">
        <v>6150453.4000000004</v>
      </c>
      <c r="Q244" s="27">
        <f t="shared" si="407"/>
        <v>5969915</v>
      </c>
      <c r="R244" s="223">
        <f>(Q244-'KiGa - PS'!H245)*'KiGa - PS'!L245+'KiGa - PS'!C245</f>
        <v>1020587.8938128183</v>
      </c>
      <c r="S244" s="226">
        <f t="shared" si="389"/>
        <v>0.78643793889122904</v>
      </c>
      <c r="T244" s="223">
        <f t="shared" si="390"/>
        <v>102058.78938128184</v>
      </c>
      <c r="U244" s="224">
        <f t="shared" si="391"/>
        <v>4597.2427649226047</v>
      </c>
      <c r="V244" s="365">
        <v>429311.75</v>
      </c>
      <c r="W244" s="223">
        <f>V244*'KiGa - PS'!L245</f>
        <v>73393.067526354265</v>
      </c>
      <c r="X244" s="226">
        <f t="shared" si="392"/>
        <v>5.6554749575460729E-2</v>
      </c>
      <c r="Y244" s="223">
        <f t="shared" si="393"/>
        <v>7339.3067526354262</v>
      </c>
      <c r="Z244" s="224">
        <f t="shared" si="409"/>
        <v>330.59940327186604</v>
      </c>
      <c r="AA244" s="365">
        <v>799995.95</v>
      </c>
      <c r="AB244" s="365">
        <v>285745.7</v>
      </c>
      <c r="AC244" s="225">
        <f>Artengliederung!AE244</f>
        <v>70000</v>
      </c>
      <c r="AD244" s="223">
        <f>AC244*'KiGa - PS'!L245</f>
        <v>11966.862604726748</v>
      </c>
      <c r="AE244" s="226">
        <f t="shared" si="410"/>
        <v>9.221346656089079E-3</v>
      </c>
      <c r="AF244" s="223">
        <f t="shared" si="394"/>
        <v>1196.6862604726748</v>
      </c>
      <c r="AG244" s="224">
        <f t="shared" si="395"/>
        <v>53.904786507778141</v>
      </c>
      <c r="AH244" s="225">
        <f t="shared" si="388"/>
        <v>514250.24999999994</v>
      </c>
      <c r="AI244" s="223">
        <f>AH244*'KiGa - PS'!L245</f>
        <v>87913.744088519728</v>
      </c>
      <c r="AJ244" s="226">
        <f t="shared" si="396"/>
        <v>6.774399747472104E-2</v>
      </c>
      <c r="AK244" s="223">
        <f t="shared" si="397"/>
        <v>8791.3744088519725</v>
      </c>
      <c r="AL244" s="224">
        <f t="shared" si="398"/>
        <v>396.00785625459338</v>
      </c>
      <c r="AM244" s="365">
        <v>34963.199999999997</v>
      </c>
      <c r="AN244" s="223">
        <f>AM244*'KiGa - PS'!L245</f>
        <v>5977.1401517368886</v>
      </c>
      <c r="AO244" s="226">
        <f t="shared" si="399"/>
        <v>4.6058255343739097E-3</v>
      </c>
      <c r="AP244" s="223">
        <f t="shared" si="400"/>
        <v>597.71401517368884</v>
      </c>
      <c r="AQ244" s="224">
        <f t="shared" si="411"/>
        <v>26.924054737553551</v>
      </c>
      <c r="AR244" s="223">
        <f>Artengliederung!X244*'KiGa - PS'!L245</f>
        <v>0</v>
      </c>
      <c r="AS244" s="226">
        <f t="shared" si="401"/>
        <v>0</v>
      </c>
      <c r="AT244" s="223">
        <f t="shared" si="402"/>
        <v>0</v>
      </c>
      <c r="AU244" s="223">
        <f t="shared" si="403"/>
        <v>0</v>
      </c>
      <c r="AV244" s="227">
        <f t="shared" si="404"/>
        <v>7.5436141868126208E-2</v>
      </c>
    </row>
    <row r="245" spans="1:48" x14ac:dyDescent="0.25">
      <c r="A245" s="365" t="s">
        <v>203</v>
      </c>
      <c r="B245" s="365" t="s">
        <v>35</v>
      </c>
      <c r="C245" s="328">
        <v>2</v>
      </c>
      <c r="D245" s="328">
        <f>Kennzahlen!D123</f>
        <v>51</v>
      </c>
      <c r="E245" s="223">
        <f>'KiGa - PS'!C246+H245*'KiGa - PS'!L246</f>
        <v>276289.33058692998</v>
      </c>
      <c r="F245" s="223">
        <f t="shared" si="405"/>
        <v>138144.66529346499</v>
      </c>
      <c r="G245" s="224">
        <f t="shared" si="408"/>
        <v>5417.4378546456855</v>
      </c>
      <c r="H245" s="223">
        <f>I245-'KiGa - PS'!H246</f>
        <v>526857.30000000005</v>
      </c>
      <c r="I245" s="223">
        <f t="shared" si="406"/>
        <v>1936493.95</v>
      </c>
      <c r="J245" s="365">
        <v>2050687.35</v>
      </c>
      <c r="K245" s="365">
        <v>86034.55</v>
      </c>
      <c r="L245" s="365">
        <v>3286.25</v>
      </c>
      <c r="M245" s="365">
        <v>24872.6</v>
      </c>
      <c r="N245" s="365"/>
      <c r="O245" s="365"/>
      <c r="P245" s="365">
        <v>1413193.85</v>
      </c>
      <c r="Q245" s="27">
        <f t="shared" si="407"/>
        <v>1388321.25</v>
      </c>
      <c r="R245" s="223">
        <f>(Q245-'KiGa - PS'!H246)*'KiGa - PS'!L246+'KiGa - PS'!C246</f>
        <v>198078.77468561669</v>
      </c>
      <c r="S245" s="226">
        <f t="shared" si="389"/>
        <v>0.71692516777550486</v>
      </c>
      <c r="T245" s="223">
        <f t="shared" si="390"/>
        <v>99039.387342808346</v>
      </c>
      <c r="U245" s="224">
        <f t="shared" si="391"/>
        <v>3883.8975428552294</v>
      </c>
      <c r="V245" s="365">
        <v>79215.149999999994</v>
      </c>
      <c r="W245" s="223">
        <f>V245*'KiGa - PS'!L246</f>
        <v>11302.023828085416</v>
      </c>
      <c r="X245" s="226">
        <f t="shared" si="392"/>
        <v>4.0906479465117877E-2</v>
      </c>
      <c r="Y245" s="223">
        <f t="shared" si="393"/>
        <v>5651.0119140427078</v>
      </c>
      <c r="Z245" s="224">
        <f t="shared" si="409"/>
        <v>221.60831035461598</v>
      </c>
      <c r="AA245" s="365">
        <v>264480.25</v>
      </c>
      <c r="AB245" s="365">
        <v>17423.95</v>
      </c>
      <c r="AC245" s="225">
        <f>Artengliederung!AE245</f>
        <v>50987</v>
      </c>
      <c r="AD245" s="223">
        <f>AC245*'KiGa - PS'!L246</f>
        <v>7274.5717065812678</v>
      </c>
      <c r="AE245" s="226">
        <f t="shared" si="410"/>
        <v>2.6329542625217087E-2</v>
      </c>
      <c r="AF245" s="223">
        <f t="shared" si="394"/>
        <v>3637.2858532906339</v>
      </c>
      <c r="AG245" s="224">
        <f t="shared" si="395"/>
        <v>142.63866091335819</v>
      </c>
      <c r="AH245" s="225">
        <f t="shared" ref="AH245:AH250" si="412">AA245-AB245</f>
        <v>247056.3</v>
      </c>
      <c r="AI245" s="223">
        <f>AH245*'KiGa - PS'!L246</f>
        <v>35248.764781466918</v>
      </c>
      <c r="AJ245" s="226">
        <f t="shared" si="396"/>
        <v>0.12757917472450664</v>
      </c>
      <c r="AK245" s="223">
        <f t="shared" si="397"/>
        <v>17624.382390733459</v>
      </c>
      <c r="AL245" s="224">
        <f t="shared" si="398"/>
        <v>691.15225061699834</v>
      </c>
      <c r="AM245" s="365">
        <v>4836.05</v>
      </c>
      <c r="AN245" s="223">
        <f>AM245*'KiGa - PS'!L246</f>
        <v>689.98357427603787</v>
      </c>
      <c r="AO245" s="226">
        <f t="shared" si="399"/>
        <v>2.4973225452111537E-3</v>
      </c>
      <c r="AP245" s="223">
        <f t="shared" si="400"/>
        <v>344.99178713801894</v>
      </c>
      <c r="AQ245" s="224">
        <f t="shared" si="411"/>
        <v>13.529089691687018</v>
      </c>
      <c r="AR245" s="223">
        <f>Artengliederung!X245*'KiGa - PS'!L246</f>
        <v>10830.818143366947</v>
      </c>
      <c r="AS245" s="226">
        <f t="shared" si="401"/>
        <v>3.9201000343946343E-2</v>
      </c>
      <c r="AT245" s="223">
        <f t="shared" si="402"/>
        <v>5415.4090716834735</v>
      </c>
      <c r="AU245" s="223">
        <f t="shared" si="403"/>
        <v>212.36898320327347</v>
      </c>
      <c r="AV245" s="227">
        <f t="shared" si="404"/>
        <v>4.6561312520496043E-2</v>
      </c>
    </row>
    <row r="246" spans="1:48" x14ac:dyDescent="0.25">
      <c r="A246" s="365" t="s">
        <v>204</v>
      </c>
      <c r="B246" s="365" t="s">
        <v>35</v>
      </c>
      <c r="C246" s="328">
        <v>3</v>
      </c>
      <c r="D246" s="328">
        <f>Kennzahlen!D124</f>
        <v>53</v>
      </c>
      <c r="E246" s="223">
        <f>'KiGa - PS'!C247+H246*'KiGa - PS'!L247</f>
        <v>270378.79398995842</v>
      </c>
      <c r="F246" s="223">
        <f t="shared" si="405"/>
        <v>90126.264663319467</v>
      </c>
      <c r="G246" s="224">
        <f t="shared" si="408"/>
        <v>5101.486679055819</v>
      </c>
      <c r="H246" s="223">
        <f>I246-'KiGa - PS'!H247</f>
        <v>553093.30000000005</v>
      </c>
      <c r="I246" s="223">
        <f t="shared" si="406"/>
        <v>1740920.3499999999</v>
      </c>
      <c r="J246" s="365">
        <v>1892614.15</v>
      </c>
      <c r="K246" s="365">
        <v>46621.7</v>
      </c>
      <c r="L246" s="365">
        <v>0</v>
      </c>
      <c r="M246" s="365">
        <v>105072.1</v>
      </c>
      <c r="N246" s="365"/>
      <c r="O246" s="365"/>
      <c r="P246" s="365">
        <v>1215494.8500000001</v>
      </c>
      <c r="Q246" s="27">
        <f t="shared" si="407"/>
        <v>1110422.75</v>
      </c>
      <c r="R246" s="223">
        <f>(Q246-'KiGa - PS'!H247)*'KiGa - PS'!L247+'KiGa - PS'!C247</f>
        <v>172457.495809049</v>
      </c>
      <c r="S246" s="226">
        <f t="shared" ref="S246:S250" si="413">R246/$E246</f>
        <v>0.6378366190044249</v>
      </c>
      <c r="T246" s="223">
        <f t="shared" ref="T246:T250" si="414">R246/C246</f>
        <v>57485.831936349663</v>
      </c>
      <c r="U246" s="224">
        <f t="shared" ref="U246:U250" si="415">R246/D246</f>
        <v>3253.9150152650755</v>
      </c>
      <c r="V246" s="365">
        <v>88428.85</v>
      </c>
      <c r="W246" s="223">
        <f>V246*'KiGa - PS'!L247</f>
        <v>13733.704598788185</v>
      </c>
      <c r="X246" s="226">
        <f t="shared" ref="X246:X250" si="416">W246/$E246</f>
        <v>5.0794311181439178E-2</v>
      </c>
      <c r="Y246" s="223">
        <f t="shared" ref="Y246:Y250" si="417">W246/C246</f>
        <v>4577.9015329293952</v>
      </c>
      <c r="Z246" s="224">
        <f t="shared" si="409"/>
        <v>259.12650186392801</v>
      </c>
      <c r="AA246" s="365">
        <v>227528.45</v>
      </c>
      <c r="AB246" s="365">
        <v>7408.2</v>
      </c>
      <c r="AC246" s="225">
        <f>Artengliederung!AE246</f>
        <v>90031</v>
      </c>
      <c r="AD246" s="223">
        <f>AC246*'KiGa - PS'!L247</f>
        <v>13982.531252340146</v>
      </c>
      <c r="AE246" s="226">
        <f t="shared" si="410"/>
        <v>5.1714600268760139E-2</v>
      </c>
      <c r="AF246" s="223">
        <f t="shared" ref="AF246:AF250" si="418">AD246/C246</f>
        <v>4660.843750780049</v>
      </c>
      <c r="AG246" s="224">
        <f t="shared" ref="AG246:AG250" si="419">AD246/D246</f>
        <v>263.82134438377636</v>
      </c>
      <c r="AH246" s="225">
        <f t="shared" si="412"/>
        <v>220120.25</v>
      </c>
      <c r="AI246" s="223">
        <f>AH246*'KiGa - PS'!L247</f>
        <v>34186.427729314637</v>
      </c>
      <c r="AJ246" s="226">
        <f t="shared" ref="AJ246:AJ250" si="420">AI246/$E246</f>
        <v>0.12643901256022425</v>
      </c>
      <c r="AK246" s="223">
        <f t="shared" ref="AK246:AK250" si="421">AI246/C246</f>
        <v>11395.475909771545</v>
      </c>
      <c r="AL246" s="224">
        <f t="shared" ref="AL246:AL250" si="422">AI246/D246</f>
        <v>645.02693828895542</v>
      </c>
      <c r="AM246" s="365">
        <v>10383.9</v>
      </c>
      <c r="AN246" s="223">
        <f>AM246*'KiGa - PS'!L247</f>
        <v>1612.7023610886788</v>
      </c>
      <c r="AO246" s="226">
        <f t="shared" ref="AO246:AO250" si="423">AN246/$E246</f>
        <v>5.9646037223931581E-3</v>
      </c>
      <c r="AP246" s="223">
        <f t="shared" ref="AP246:AP250" si="424">AN246/C246</f>
        <v>537.56745369622627</v>
      </c>
      <c r="AQ246" s="224">
        <f t="shared" si="411"/>
        <v>30.428346435635451</v>
      </c>
      <c r="AR246" s="223">
        <f>Artengliederung!X246*'KiGa - PS'!L247</f>
        <v>14040.927046576353</v>
      </c>
      <c r="AS246" s="226">
        <f t="shared" ref="AS246:AS250" si="425">AR246/E246</f>
        <v>5.1930577984225415E-2</v>
      </c>
      <c r="AT246" s="223">
        <f t="shared" ref="AT246:AT250" si="426">AR246/C246</f>
        <v>4680.3090155254513</v>
      </c>
      <c r="AU246" s="223">
        <f t="shared" ref="AU246:AU250" si="427">AR246/D246</f>
        <v>264.92315182219534</v>
      </c>
      <c r="AV246" s="227">
        <f t="shared" ref="AV246:AV250" si="428">1-S246-X246-AJ246-AE246-AO246-AS246</f>
        <v>7.5320275278532953E-2</v>
      </c>
    </row>
    <row r="247" spans="1:48" x14ac:dyDescent="0.25">
      <c r="A247" s="365" t="s">
        <v>205</v>
      </c>
      <c r="B247" s="365" t="s">
        <v>35</v>
      </c>
      <c r="C247" s="328">
        <v>0.5</v>
      </c>
      <c r="D247" s="328">
        <f>Kennzahlen!D125</f>
        <v>17</v>
      </c>
      <c r="E247" s="223">
        <f>'KiGa - PS'!C248+H247*'KiGa - PS'!L248</f>
        <v>85874.957569755526</v>
      </c>
      <c r="F247" s="223">
        <f t="shared" ref="F247:F250" si="429">E247/C247</f>
        <v>171749.91513951105</v>
      </c>
      <c r="G247" s="224">
        <f t="shared" si="408"/>
        <v>5051.4680923385604</v>
      </c>
      <c r="H247" s="223">
        <f>I247-'KiGa - PS'!H248</f>
        <v>121454.75</v>
      </c>
      <c r="I247" s="223">
        <f t="shared" si="406"/>
        <v>458713</v>
      </c>
      <c r="J247" s="365">
        <v>469849.1</v>
      </c>
      <c r="K247" s="365">
        <v>4097.6000000000004</v>
      </c>
      <c r="L247" s="365">
        <v>0</v>
      </c>
      <c r="M247" s="365">
        <v>7038.5</v>
      </c>
      <c r="N247" s="365"/>
      <c r="O247" s="365"/>
      <c r="P247" s="365">
        <v>337546.2</v>
      </c>
      <c r="Q247" s="27">
        <f t="shared" si="407"/>
        <v>330507.7</v>
      </c>
      <c r="R247" s="223">
        <f>(Q247-'KiGa - PS'!H248)*'KiGa - PS'!L248+'KiGa - PS'!C248</f>
        <v>61873.83988240466</v>
      </c>
      <c r="S247" s="226">
        <f t="shared" si="413"/>
        <v>0.72051086409149079</v>
      </c>
      <c r="T247" s="223">
        <f t="shared" si="414"/>
        <v>123747.67976480932</v>
      </c>
      <c r="U247" s="224">
        <f t="shared" si="415"/>
        <v>3639.6376401414504</v>
      </c>
      <c r="V247" s="365">
        <v>17584.3</v>
      </c>
      <c r="W247" s="223">
        <f>V247*'KiGa - PS'!L248</f>
        <v>3291.9298480615371</v>
      </c>
      <c r="X247" s="226">
        <f t="shared" si="416"/>
        <v>3.8333990970388886E-2</v>
      </c>
      <c r="Y247" s="223">
        <f t="shared" si="417"/>
        <v>6583.8596961230742</v>
      </c>
      <c r="Z247" s="224">
        <f t="shared" si="409"/>
        <v>193.64293223891394</v>
      </c>
      <c r="AA247" s="365">
        <v>61639.55</v>
      </c>
      <c r="AB247" s="365">
        <v>9440</v>
      </c>
      <c r="AC247" s="225">
        <f>Artengliederung!AE247</f>
        <v>6500</v>
      </c>
      <c r="AD247" s="223">
        <f>AC247*'KiGa - PS'!L248</f>
        <v>1216.8550361629405</v>
      </c>
      <c r="AE247" s="226">
        <f t="shared" si="410"/>
        <v>1.4170080202653947E-2</v>
      </c>
      <c r="AF247" s="223">
        <f t="shared" si="418"/>
        <v>2433.7100723258809</v>
      </c>
      <c r="AG247" s="224">
        <f t="shared" si="419"/>
        <v>71.579708009584735</v>
      </c>
      <c r="AH247" s="225">
        <f t="shared" si="412"/>
        <v>52199.55</v>
      </c>
      <c r="AI247" s="223">
        <f>AH247*'KiGa - PS'!L248</f>
        <v>9772.1977389137264</v>
      </c>
      <c r="AJ247" s="226">
        <f t="shared" si="420"/>
        <v>0.11379566308345306</v>
      </c>
      <c r="AK247" s="223">
        <f t="shared" si="421"/>
        <v>19544.395477827453</v>
      </c>
      <c r="AL247" s="224">
        <f t="shared" si="422"/>
        <v>574.83516111257211</v>
      </c>
      <c r="AM247" s="365">
        <v>1285.05</v>
      </c>
      <c r="AN247" s="223">
        <f>AM247*'KiGa - PS'!L248</f>
        <v>240.57224064941329</v>
      </c>
      <c r="AO247" s="226">
        <f t="shared" si="423"/>
        <v>2.8014248560646847E-3</v>
      </c>
      <c r="AP247" s="223">
        <f t="shared" si="424"/>
        <v>481.14448129882658</v>
      </c>
      <c r="AQ247" s="224">
        <f t="shared" si="411"/>
        <v>14.1513082734949</v>
      </c>
      <c r="AR247" s="223">
        <f>Artengliederung!X247*'KiGa - PS'!L248</f>
        <v>3312.7474296032788</v>
      </c>
      <c r="AS247" s="226">
        <f t="shared" si="425"/>
        <v>3.8576408342471218E-2</v>
      </c>
      <c r="AT247" s="223">
        <f t="shared" si="426"/>
        <v>6625.4948592065575</v>
      </c>
      <c r="AU247" s="223">
        <f t="shared" si="427"/>
        <v>194.8674958590164</v>
      </c>
      <c r="AV247" s="227">
        <f t="shared" si="428"/>
        <v>7.1811568453477415E-2</v>
      </c>
    </row>
    <row r="248" spans="1:48" x14ac:dyDescent="0.25">
      <c r="A248" s="365" t="s">
        <v>206</v>
      </c>
      <c r="B248" s="365" t="s">
        <v>35</v>
      </c>
      <c r="C248" s="328">
        <v>0.5</v>
      </c>
      <c r="D248" s="328">
        <f>Kennzahlen!D126</f>
        <v>21</v>
      </c>
      <c r="E248" s="223">
        <f>'KiGa - PS'!C249+H248*'KiGa - PS'!L249</f>
        <v>101197.06406818517</v>
      </c>
      <c r="F248" s="223">
        <f t="shared" si="429"/>
        <v>202394.12813637033</v>
      </c>
      <c r="G248" s="224">
        <f t="shared" si="408"/>
        <v>4818.9078127707226</v>
      </c>
      <c r="H248" s="223">
        <f>I248-'KiGa - PS'!H249</f>
        <v>508111.00000000023</v>
      </c>
      <c r="I248" s="223">
        <f t="shared" ref="I248:I250" si="430">J248-K248-L248-M248</f>
        <v>1540944.6500000001</v>
      </c>
      <c r="J248" s="365">
        <v>1589779.85</v>
      </c>
      <c r="K248" s="365">
        <v>10291.5</v>
      </c>
      <c r="L248" s="365">
        <v>0</v>
      </c>
      <c r="M248" s="365">
        <v>38543.699999999997</v>
      </c>
      <c r="N248" s="365"/>
      <c r="O248" s="365"/>
      <c r="P248" s="365">
        <v>1104946.2</v>
      </c>
      <c r="Q248" s="27">
        <f t="shared" ref="Q248:Q250" si="431">P248-M248</f>
        <v>1066402.5</v>
      </c>
      <c r="R248" s="223">
        <f>(Q248-'KiGa - PS'!H249)*'KiGa - PS'!L249+'KiGa - PS'!C249</f>
        <v>70032.88671982658</v>
      </c>
      <c r="S248" s="226">
        <f t="shared" si="413"/>
        <v>0.69204464936492027</v>
      </c>
      <c r="T248" s="223">
        <f t="shared" si="414"/>
        <v>140065.77343965316</v>
      </c>
      <c r="U248" s="224">
        <f t="shared" si="415"/>
        <v>3334.8993676107893</v>
      </c>
      <c r="V248" s="365">
        <v>37947.85</v>
      </c>
      <c r="W248" s="223">
        <f>V248*'KiGa - PS'!L249</f>
        <v>2492.1148256038141</v>
      </c>
      <c r="X248" s="226">
        <f t="shared" si="416"/>
        <v>2.4626355008922612E-2</v>
      </c>
      <c r="Y248" s="223">
        <f t="shared" si="417"/>
        <v>4984.2296512076282</v>
      </c>
      <c r="Z248" s="224">
        <f t="shared" si="409"/>
        <v>118.67213455256258</v>
      </c>
      <c r="AA248" s="365">
        <v>280650</v>
      </c>
      <c r="AB248" s="365">
        <v>64117.3</v>
      </c>
      <c r="AC248" s="225">
        <f>Artengliederung!AE248</f>
        <v>75740</v>
      </c>
      <c r="AD248" s="223">
        <f>AC248*'KiGa - PS'!L249</f>
        <v>4974.0045059531139</v>
      </c>
      <c r="AE248" s="226">
        <f t="shared" si="410"/>
        <v>4.9151668101771205E-2</v>
      </c>
      <c r="AF248" s="223">
        <f t="shared" si="418"/>
        <v>9948.0090119062279</v>
      </c>
      <c r="AG248" s="224">
        <f t="shared" si="419"/>
        <v>236.85735742633875</v>
      </c>
      <c r="AH248" s="225">
        <f t="shared" si="412"/>
        <v>216532.7</v>
      </c>
      <c r="AI248" s="223">
        <f>AH248*'KiGa - PS'!L249</f>
        <v>14220.156132640532</v>
      </c>
      <c r="AJ248" s="226">
        <f t="shared" si="420"/>
        <v>0.14051945344045941</v>
      </c>
      <c r="AK248" s="223">
        <f t="shared" si="421"/>
        <v>28440.312265281063</v>
      </c>
      <c r="AL248" s="224">
        <f t="shared" si="422"/>
        <v>677.15029203050153</v>
      </c>
      <c r="AM248" s="365">
        <v>5344.55</v>
      </c>
      <c r="AN248" s="223">
        <f>AM248*'KiGa - PS'!L249</f>
        <v>350.98779749526955</v>
      </c>
      <c r="AO248" s="226">
        <f t="shared" si="423"/>
        <v>3.4683594897454624E-3</v>
      </c>
      <c r="AP248" s="223">
        <f t="shared" si="424"/>
        <v>701.97559499053909</v>
      </c>
      <c r="AQ248" s="224">
        <f t="shared" si="411"/>
        <v>16.713704642631882</v>
      </c>
      <c r="AR248" s="223">
        <f>Artengliederung!X248*'KiGa - PS'!L249</f>
        <v>1949.5024209271266</v>
      </c>
      <c r="AS248" s="226">
        <f t="shared" si="425"/>
        <v>1.9264416797838909E-2</v>
      </c>
      <c r="AT248" s="223">
        <f t="shared" si="426"/>
        <v>3899.0048418542533</v>
      </c>
      <c r="AU248" s="223">
        <f t="shared" si="427"/>
        <v>92.833448615577453</v>
      </c>
      <c r="AV248" s="227">
        <f t="shared" si="428"/>
        <v>7.092509779634211E-2</v>
      </c>
    </row>
    <row r="249" spans="1:48" x14ac:dyDescent="0.25">
      <c r="A249" s="365" t="s">
        <v>207</v>
      </c>
      <c r="B249" s="365" t="s">
        <v>35</v>
      </c>
      <c r="C249" s="328">
        <v>0</v>
      </c>
      <c r="D249" s="328"/>
      <c r="E249" s="223"/>
      <c r="F249" s="223"/>
      <c r="G249" s="224"/>
      <c r="H249" s="223"/>
      <c r="I249" s="223"/>
      <c r="J249" s="365"/>
      <c r="K249" s="365"/>
      <c r="L249" s="365"/>
      <c r="M249" s="365"/>
      <c r="N249" s="365"/>
      <c r="O249" s="365"/>
      <c r="P249" s="365"/>
      <c r="Q249" s="27"/>
      <c r="R249" s="223"/>
      <c r="S249" s="226"/>
      <c r="T249" s="223"/>
      <c r="U249" s="224"/>
      <c r="V249" s="365"/>
      <c r="W249" s="223"/>
      <c r="X249" s="226"/>
      <c r="Y249" s="223"/>
      <c r="Z249" s="224"/>
      <c r="AA249" s="365"/>
      <c r="AB249" s="365"/>
      <c r="AC249" s="225"/>
      <c r="AD249" s="223"/>
      <c r="AE249" s="226"/>
      <c r="AF249" s="223"/>
      <c r="AG249" s="224"/>
      <c r="AH249" s="225"/>
      <c r="AI249" s="223"/>
      <c r="AJ249" s="226"/>
      <c r="AK249" s="223"/>
      <c r="AL249" s="224"/>
      <c r="AM249" s="365"/>
      <c r="AN249" s="223"/>
      <c r="AO249" s="226"/>
      <c r="AP249" s="223"/>
      <c r="AQ249" s="224"/>
      <c r="AR249" s="223"/>
      <c r="AS249" s="226"/>
      <c r="AT249" s="223"/>
      <c r="AU249" s="223"/>
      <c r="AV249" s="227"/>
    </row>
    <row r="250" spans="1:48" x14ac:dyDescent="0.25">
      <c r="A250" s="365" t="s">
        <v>208</v>
      </c>
      <c r="B250" s="365" t="s">
        <v>35</v>
      </c>
      <c r="C250" s="328">
        <v>1</v>
      </c>
      <c r="D250" s="328">
        <f>Kennzahlen!D128</f>
        <v>17</v>
      </c>
      <c r="E250" s="223">
        <f>'KiGa - PS'!C251+H250*'KiGa - PS'!L251</f>
        <v>168794.71434598521</v>
      </c>
      <c r="F250" s="223">
        <f t="shared" si="429"/>
        <v>168794.71434598521</v>
      </c>
      <c r="G250" s="224">
        <f t="shared" si="408"/>
        <v>9929.1008438814824</v>
      </c>
      <c r="H250" s="223">
        <f>I250-'KiGa - PS'!H251</f>
        <v>414440.12</v>
      </c>
      <c r="I250" s="223">
        <f t="shared" si="430"/>
        <v>1287953.95</v>
      </c>
      <c r="J250" s="365">
        <v>1349670.5</v>
      </c>
      <c r="K250" s="365">
        <v>38825</v>
      </c>
      <c r="L250" s="365">
        <v>0</v>
      </c>
      <c r="M250" s="365">
        <v>22891.55</v>
      </c>
      <c r="N250" s="365"/>
      <c r="O250" s="365"/>
      <c r="P250" s="365">
        <v>873513.83</v>
      </c>
      <c r="Q250" s="27">
        <f t="shared" si="431"/>
        <v>850622.27999999991</v>
      </c>
      <c r="R250" s="223">
        <f>(Q250-'KiGa - PS'!H251)*'KiGa - PS'!L251+'KiGa - PS'!C251</f>
        <v>111479.56397736941</v>
      </c>
      <c r="S250" s="226">
        <f t="shared" si="413"/>
        <v>0.66044463779159179</v>
      </c>
      <c r="T250" s="223">
        <f t="shared" si="414"/>
        <v>111479.56397736941</v>
      </c>
      <c r="U250" s="224">
        <f t="shared" si="415"/>
        <v>6557.6214104334949</v>
      </c>
      <c r="V250" s="365">
        <v>48592.75</v>
      </c>
      <c r="W250" s="223">
        <f>V250*'KiGa - PS'!L251</f>
        <v>6368.3948913979993</v>
      </c>
      <c r="X250" s="226">
        <f t="shared" si="416"/>
        <v>3.7728639288695069E-2</v>
      </c>
      <c r="Y250" s="223">
        <f t="shared" si="417"/>
        <v>6368.3948913979993</v>
      </c>
      <c r="Z250" s="224">
        <f t="shared" si="409"/>
        <v>374.61146419988233</v>
      </c>
      <c r="AA250" s="365">
        <v>225578.15</v>
      </c>
      <c r="AB250" s="365">
        <v>18952.2</v>
      </c>
      <c r="AC250" s="225">
        <f>Artengliederung!AE250</f>
        <v>87249</v>
      </c>
      <c r="AD250" s="223">
        <f>AC250*'KiGa - PS'!L251</f>
        <v>11434.547044149262</v>
      </c>
      <c r="AE250" s="226">
        <f t="shared" si="410"/>
        <v>6.7742328830933757E-2</v>
      </c>
      <c r="AF250" s="223">
        <f t="shared" si="418"/>
        <v>11434.547044149262</v>
      </c>
      <c r="AG250" s="224">
        <f t="shared" si="419"/>
        <v>672.62041436172126</v>
      </c>
      <c r="AH250" s="225">
        <f t="shared" si="412"/>
        <v>206625.94999999998</v>
      </c>
      <c r="AI250" s="223">
        <f>AH250*'KiGa - PS'!L251</f>
        <v>27079.670206157465</v>
      </c>
      <c r="AJ250" s="226">
        <f t="shared" si="420"/>
        <v>0.16042961008039144</v>
      </c>
      <c r="AK250" s="223">
        <f t="shared" si="421"/>
        <v>27079.670206157465</v>
      </c>
      <c r="AL250" s="224">
        <f t="shared" si="422"/>
        <v>1592.9217768327921</v>
      </c>
      <c r="AM250" s="365">
        <v>5217.2</v>
      </c>
      <c r="AN250" s="223">
        <f>AM250*'KiGa - PS'!L251</f>
        <v>683.74788064889594</v>
      </c>
      <c r="AO250" s="226">
        <f t="shared" si="423"/>
        <v>4.0507659454749921E-3</v>
      </c>
      <c r="AP250" s="223">
        <f t="shared" si="424"/>
        <v>683.74788064889594</v>
      </c>
      <c r="AQ250" s="224">
        <f t="shared" si="411"/>
        <v>40.220463567582115</v>
      </c>
      <c r="AR250" s="223">
        <f>Artengliederung!X250*'KiGa - PS'!L251</f>
        <v>6205.1574895843378</v>
      </c>
      <c r="AS250" s="226">
        <f t="shared" si="425"/>
        <v>3.6761562787240958E-2</v>
      </c>
      <c r="AT250" s="223">
        <f t="shared" si="426"/>
        <v>6205.1574895843378</v>
      </c>
      <c r="AU250" s="223">
        <f t="shared" si="427"/>
        <v>365.00926409319635</v>
      </c>
      <c r="AV250" s="227">
        <f t="shared" si="428"/>
        <v>3.2842455275671985E-2</v>
      </c>
    </row>
    <row r="251" spans="1:48" x14ac:dyDescent="0.25">
      <c r="A251" s="365" t="s">
        <v>209</v>
      </c>
      <c r="B251" s="365" t="s">
        <v>35</v>
      </c>
      <c r="C251" s="328">
        <v>0</v>
      </c>
      <c r="D251" s="328"/>
      <c r="E251" s="223"/>
      <c r="F251" s="223"/>
      <c r="G251" s="224"/>
      <c r="H251" s="223"/>
      <c r="I251" s="223"/>
      <c r="J251" s="365"/>
      <c r="K251" s="365"/>
      <c r="L251" s="365"/>
      <c r="M251" s="365"/>
      <c r="N251" s="365"/>
      <c r="O251" s="365"/>
      <c r="P251" s="365"/>
      <c r="Q251" s="27"/>
      <c r="R251" s="223"/>
      <c r="S251" s="226"/>
      <c r="T251" s="223"/>
      <c r="U251" s="224"/>
      <c r="V251" s="365"/>
      <c r="W251" s="223"/>
      <c r="X251" s="226"/>
      <c r="Y251" s="223"/>
      <c r="Z251" s="224"/>
      <c r="AA251" s="365"/>
      <c r="AB251" s="365"/>
      <c r="AC251" s="225"/>
      <c r="AD251" s="223"/>
      <c r="AE251" s="226"/>
      <c r="AF251" s="223"/>
      <c r="AG251" s="224"/>
      <c r="AH251" s="225"/>
      <c r="AI251" s="223"/>
      <c r="AJ251" s="226"/>
      <c r="AK251" s="223"/>
      <c r="AL251" s="224"/>
      <c r="AM251" s="365"/>
      <c r="AN251" s="223"/>
      <c r="AO251" s="226"/>
      <c r="AP251" s="223"/>
      <c r="AQ251" s="224"/>
      <c r="AR251" s="223"/>
      <c r="AS251" s="226"/>
      <c r="AT251" s="223"/>
      <c r="AU251" s="223"/>
      <c r="AV251" s="227"/>
    </row>
    <row r="252" spans="1:48" ht="25.9" customHeight="1" x14ac:dyDescent="0.25">
      <c r="A252" s="365" t="s">
        <v>210</v>
      </c>
      <c r="B252" s="365" t="s">
        <v>36</v>
      </c>
      <c r="C252" s="328">
        <f>59+28</f>
        <v>87</v>
      </c>
      <c r="D252" s="328">
        <f>Kennzahlen!H252+Kennzahlen!D252</f>
        <v>1775</v>
      </c>
      <c r="E252" s="223">
        <f t="shared" ref="E252:E257" si="432">I252</f>
        <v>19564052.550000001</v>
      </c>
      <c r="F252" s="223">
        <f t="shared" ref="F252:F259" si="433">E252/C252</f>
        <v>224874.16724137933</v>
      </c>
      <c r="G252" s="224">
        <f t="shared" ref="G252:G255" si="434">E252/D252</f>
        <v>11022.001436619719</v>
      </c>
      <c r="H252" s="223"/>
      <c r="I252" s="223">
        <f t="shared" ref="I252:I262" si="435">J252-K252-L252-M252</f>
        <v>19564052.550000001</v>
      </c>
      <c r="J252" s="365">
        <v>20710251</v>
      </c>
      <c r="K252" s="365">
        <v>836218</v>
      </c>
      <c r="L252" s="365">
        <v>0</v>
      </c>
      <c r="M252" s="365">
        <v>309980.45</v>
      </c>
      <c r="N252" s="365"/>
      <c r="O252" s="365"/>
      <c r="P252" s="365">
        <v>15266454.35</v>
      </c>
      <c r="Q252" s="27">
        <f t="shared" ref="Q252:Q262" si="436">P252-M252</f>
        <v>14956473.9</v>
      </c>
      <c r="R252" s="223">
        <f t="shared" ref="R252:R257" si="437">Q252</f>
        <v>14956473.9</v>
      </c>
      <c r="S252" s="226">
        <f t="shared" ref="S252:S258" si="438">R252/$E252</f>
        <v>0.76448751411680294</v>
      </c>
      <c r="T252" s="223">
        <f t="shared" ref="T252:T258" si="439">R252/C252</f>
        <v>171913.49310344827</v>
      </c>
      <c r="U252" s="224">
        <f t="shared" ref="U252:U258" si="440">R252/D252</f>
        <v>8426.1824788732392</v>
      </c>
      <c r="V252" s="365">
        <v>992934.5</v>
      </c>
      <c r="W252" s="223">
        <f t="shared" ref="W252:W257" si="441">V252</f>
        <v>992934.5</v>
      </c>
      <c r="X252" s="226">
        <f t="shared" ref="X252:X257" si="442">W252/$E252</f>
        <v>5.0753007203510093E-2</v>
      </c>
      <c r="Y252" s="223">
        <f t="shared" ref="Y252:Y258" si="443">W252/C252</f>
        <v>11413.040229885057</v>
      </c>
      <c r="Z252" s="224">
        <f t="shared" ref="Z252:Z258" si="444">W252/D252</f>
        <v>559.39971830985917</v>
      </c>
      <c r="AA252" s="365">
        <v>1754639.75</v>
      </c>
      <c r="AB252" s="365">
        <v>625226.4</v>
      </c>
      <c r="AC252" s="225">
        <f>Artengliederung!AE252</f>
        <v>124418.25</v>
      </c>
      <c r="AD252" s="223">
        <f t="shared" ref="AD252:AD257" si="445">AC252</f>
        <v>124418.25</v>
      </c>
      <c r="AE252" s="226">
        <f t="shared" ref="AE252:AE255" si="446">AD252/$E252</f>
        <v>6.3595336233136417E-3</v>
      </c>
      <c r="AF252" s="223">
        <f t="shared" ref="AF252:AF258" si="447">AD252/C252</f>
        <v>1430.094827586207</v>
      </c>
      <c r="AG252" s="224">
        <f t="shared" ref="AG252:AG258" si="448">AD252/D252</f>
        <v>70.094788732394363</v>
      </c>
      <c r="AH252" s="225">
        <f t="shared" ref="AH252:AH257" si="449">AA252-AB252</f>
        <v>1129413.3500000001</v>
      </c>
      <c r="AI252" s="223">
        <f t="shared" ref="AI252:AI257" si="450">AH252</f>
        <v>1129413.3500000001</v>
      </c>
      <c r="AJ252" s="226">
        <f t="shared" ref="AJ252:AJ258" si="451">AI252/$E252</f>
        <v>5.7729008195697165E-2</v>
      </c>
      <c r="AK252" s="223">
        <f t="shared" ref="AK252:AK258" si="452">AI252/C252</f>
        <v>12981.762643678161</v>
      </c>
      <c r="AL252" s="224">
        <f t="shared" ref="AL252:AL258" si="453">AI252/D252</f>
        <v>636.28921126760565</v>
      </c>
      <c r="AM252" s="365">
        <v>164146.25</v>
      </c>
      <c r="AN252" s="223">
        <f t="shared" ref="AN252:AN257" si="454">AM252</f>
        <v>164146.25</v>
      </c>
      <c r="AO252" s="226">
        <f t="shared" ref="AO252:AO258" si="455">AN252/$E252</f>
        <v>8.3901967437722911E-3</v>
      </c>
      <c r="AP252" s="223">
        <f t="shared" ref="AP252:AP258" si="456">AN252/C252</f>
        <v>1886.7385057471265</v>
      </c>
      <c r="AQ252" s="224">
        <f t="shared" ref="AQ252:AQ255" si="457">AN252/D252</f>
        <v>92.476760563380282</v>
      </c>
      <c r="AR252" s="223">
        <f>Artengliederung!X252</f>
        <v>768152.85</v>
      </c>
      <c r="AS252" s="226">
        <f t="shared" ref="AS252:AS258" si="458">AR252/E252</f>
        <v>3.9263483270494483E-2</v>
      </c>
      <c r="AT252" s="223">
        <f t="shared" ref="AT252:AT258" si="459">AR252/C252</f>
        <v>8829.3431034482765</v>
      </c>
      <c r="AU252" s="223">
        <f t="shared" ref="AU252:AU258" si="460">AR252/D252</f>
        <v>432.76216901408452</v>
      </c>
      <c r="AV252" s="227">
        <f t="shared" ref="AV252:AV258" si="461">1-S252-X252-AJ252-AE252-AO252-AS252</f>
        <v>7.301725684640939E-2</v>
      </c>
    </row>
    <row r="253" spans="1:48" x14ac:dyDescent="0.25">
      <c r="A253" s="365" t="s">
        <v>211</v>
      </c>
      <c r="B253" s="365" t="s">
        <v>36</v>
      </c>
      <c r="C253" s="328">
        <f>17+8</f>
        <v>25</v>
      </c>
      <c r="D253" s="328">
        <f>Kennzahlen!H253+Kennzahlen!D253</f>
        <v>506</v>
      </c>
      <c r="E253" s="223">
        <f t="shared" si="432"/>
        <v>5223390.4999999991</v>
      </c>
      <c r="F253" s="223">
        <f t="shared" si="433"/>
        <v>208935.61999999997</v>
      </c>
      <c r="G253" s="224">
        <f t="shared" si="434"/>
        <v>10322.906126482212</v>
      </c>
      <c r="H253" s="223"/>
      <c r="I253" s="223">
        <f t="shared" si="435"/>
        <v>5223390.4999999991</v>
      </c>
      <c r="J253" s="365">
        <v>5453981.5999999996</v>
      </c>
      <c r="K253" s="365">
        <v>168806.95</v>
      </c>
      <c r="L253" s="365">
        <v>0</v>
      </c>
      <c r="M253" s="365">
        <v>61784.15</v>
      </c>
      <c r="N253" s="365"/>
      <c r="O253" s="365"/>
      <c r="P253" s="365">
        <v>3919012.75</v>
      </c>
      <c r="Q253" s="27">
        <f t="shared" si="436"/>
        <v>3857228.6</v>
      </c>
      <c r="R253" s="223">
        <f t="shared" si="437"/>
        <v>3857228.6</v>
      </c>
      <c r="S253" s="226">
        <f t="shared" si="438"/>
        <v>0.73845304118081934</v>
      </c>
      <c r="T253" s="223">
        <f t="shared" si="439"/>
        <v>154289.144</v>
      </c>
      <c r="U253" s="224">
        <f t="shared" si="440"/>
        <v>7622.9814229249014</v>
      </c>
      <c r="V253" s="365">
        <v>304419.05</v>
      </c>
      <c r="W253" s="223">
        <f t="shared" si="441"/>
        <v>304419.05</v>
      </c>
      <c r="X253" s="226">
        <f t="shared" si="442"/>
        <v>5.8279971600821351E-2</v>
      </c>
      <c r="Y253" s="223">
        <f t="shared" si="443"/>
        <v>12176.761999999999</v>
      </c>
      <c r="Z253" s="224">
        <f t="shared" si="444"/>
        <v>601.61867588932807</v>
      </c>
      <c r="AA253" s="365">
        <v>749719</v>
      </c>
      <c r="AB253" s="365">
        <v>3669</v>
      </c>
      <c r="AC253" s="225">
        <f>Artengliederung!AE253</f>
        <v>121925</v>
      </c>
      <c r="AD253" s="223">
        <f t="shared" si="445"/>
        <v>121925</v>
      </c>
      <c r="AE253" s="226">
        <f t="shared" si="446"/>
        <v>2.3342118495639955E-2</v>
      </c>
      <c r="AF253" s="223">
        <f t="shared" si="447"/>
        <v>4877</v>
      </c>
      <c r="AG253" s="224">
        <f t="shared" si="448"/>
        <v>240.95849802371541</v>
      </c>
      <c r="AH253" s="225">
        <f t="shared" si="449"/>
        <v>746050</v>
      </c>
      <c r="AI253" s="223">
        <f t="shared" si="450"/>
        <v>746050</v>
      </c>
      <c r="AJ253" s="226">
        <f t="shared" si="451"/>
        <v>0.1428286856975369</v>
      </c>
      <c r="AK253" s="223">
        <f t="shared" si="452"/>
        <v>29842</v>
      </c>
      <c r="AL253" s="224">
        <f t="shared" si="453"/>
        <v>1474.407114624506</v>
      </c>
      <c r="AM253" s="365">
        <v>22718.87</v>
      </c>
      <c r="AN253" s="223">
        <f t="shared" si="454"/>
        <v>22718.87</v>
      </c>
      <c r="AO253" s="226">
        <f t="shared" si="455"/>
        <v>4.3494488876525701E-3</v>
      </c>
      <c r="AP253" s="223">
        <f t="shared" si="456"/>
        <v>908.75479999999993</v>
      </c>
      <c r="AQ253" s="224">
        <f t="shared" si="457"/>
        <v>44.898952569169957</v>
      </c>
      <c r="AR253" s="223">
        <f>Artengliederung!X253</f>
        <v>70505.55</v>
      </c>
      <c r="AS253" s="226">
        <f t="shared" si="458"/>
        <v>1.3498043081404697E-2</v>
      </c>
      <c r="AT253" s="223">
        <f t="shared" si="459"/>
        <v>2820.2220000000002</v>
      </c>
      <c r="AU253" s="223">
        <f t="shared" si="460"/>
        <v>139.33903162055336</v>
      </c>
      <c r="AV253" s="227">
        <f t="shared" si="461"/>
        <v>1.9248691056125193E-2</v>
      </c>
    </row>
    <row r="254" spans="1:48" x14ac:dyDescent="0.25">
      <c r="A254" s="365" t="s">
        <v>212</v>
      </c>
      <c r="B254" s="365" t="s">
        <v>36</v>
      </c>
      <c r="C254" s="328">
        <f>16+7</f>
        <v>23</v>
      </c>
      <c r="D254" s="328">
        <f>Kennzahlen!H254+Kennzahlen!D254</f>
        <v>444</v>
      </c>
      <c r="E254" s="223">
        <f t="shared" si="432"/>
        <v>5449465.2000000002</v>
      </c>
      <c r="F254" s="223">
        <f t="shared" si="433"/>
        <v>236933.2695652174</v>
      </c>
      <c r="G254" s="224">
        <f t="shared" si="434"/>
        <v>12273.570270270271</v>
      </c>
      <c r="H254" s="223"/>
      <c r="I254" s="223">
        <f t="shared" si="435"/>
        <v>5449465.2000000002</v>
      </c>
      <c r="J254" s="365">
        <v>5663103.6500000004</v>
      </c>
      <c r="K254" s="365">
        <v>120383.15</v>
      </c>
      <c r="L254" s="365">
        <v>-614.29999999999995</v>
      </c>
      <c r="M254" s="365">
        <v>93869.6</v>
      </c>
      <c r="N254" s="365"/>
      <c r="O254" s="365"/>
      <c r="P254" s="365">
        <v>3496138</v>
      </c>
      <c r="Q254" s="27">
        <f t="shared" si="436"/>
        <v>3402268.4</v>
      </c>
      <c r="R254" s="223">
        <f t="shared" si="437"/>
        <v>3402268.4</v>
      </c>
      <c r="S254" s="226">
        <f t="shared" si="438"/>
        <v>0.62433069579011158</v>
      </c>
      <c r="T254" s="223">
        <f t="shared" si="439"/>
        <v>147924.71304347826</v>
      </c>
      <c r="U254" s="224">
        <f t="shared" si="440"/>
        <v>7662.7666666666664</v>
      </c>
      <c r="V254" s="365">
        <v>241252.05</v>
      </c>
      <c r="W254" s="223">
        <f t="shared" si="441"/>
        <v>241252.05</v>
      </c>
      <c r="X254" s="226">
        <f t="shared" si="442"/>
        <v>4.4270775414805841E-2</v>
      </c>
      <c r="Y254" s="223">
        <f t="shared" si="443"/>
        <v>10489.21956521739</v>
      </c>
      <c r="Z254" s="224">
        <f t="shared" si="444"/>
        <v>543.36047297297296</v>
      </c>
      <c r="AA254" s="365">
        <v>597259.44999999995</v>
      </c>
      <c r="AB254" s="365">
        <v>17661.05</v>
      </c>
      <c r="AC254" s="225">
        <f>Artengliederung!AE254</f>
        <v>676603.1</v>
      </c>
      <c r="AD254" s="223">
        <f t="shared" si="445"/>
        <v>676603.1</v>
      </c>
      <c r="AE254" s="226">
        <f t="shared" si="446"/>
        <v>0.12415954138031746</v>
      </c>
      <c r="AF254" s="223">
        <f t="shared" si="447"/>
        <v>29417.526086956521</v>
      </c>
      <c r="AG254" s="224">
        <f t="shared" si="448"/>
        <v>1523.8808558558558</v>
      </c>
      <c r="AH254" s="225">
        <f t="shared" si="449"/>
        <v>579598.39999999991</v>
      </c>
      <c r="AI254" s="223">
        <f t="shared" si="450"/>
        <v>579598.39999999991</v>
      </c>
      <c r="AJ254" s="226">
        <f t="shared" si="451"/>
        <v>0.10635876709516374</v>
      </c>
      <c r="AK254" s="223">
        <f t="shared" si="452"/>
        <v>25199.930434782604</v>
      </c>
      <c r="AL254" s="224">
        <f t="shared" si="453"/>
        <v>1305.4018018018016</v>
      </c>
      <c r="AM254" s="365">
        <v>4838.2</v>
      </c>
      <c r="AN254" s="223">
        <f t="shared" si="454"/>
        <v>4838.2</v>
      </c>
      <c r="AO254" s="226">
        <f t="shared" si="455"/>
        <v>8.8783024066288192E-4</v>
      </c>
      <c r="AP254" s="223">
        <f t="shared" si="456"/>
        <v>210.35652173913041</v>
      </c>
      <c r="AQ254" s="224">
        <f t="shared" si="457"/>
        <v>10.896846846846847</v>
      </c>
      <c r="AR254" s="223">
        <f>Artengliederung!X254</f>
        <v>449353.1</v>
      </c>
      <c r="AS254" s="226">
        <f t="shared" si="458"/>
        <v>8.245820158646025E-2</v>
      </c>
      <c r="AT254" s="223">
        <f t="shared" si="459"/>
        <v>19537.091304347825</v>
      </c>
      <c r="AU254" s="223">
        <f t="shared" si="460"/>
        <v>1012.0565315315315</v>
      </c>
      <c r="AV254" s="227">
        <f t="shared" si="461"/>
        <v>1.7534188492478259E-2</v>
      </c>
    </row>
    <row r="255" spans="1:48" x14ac:dyDescent="0.25">
      <c r="A255" s="365" t="s">
        <v>213</v>
      </c>
      <c r="B255" s="365" t="s">
        <v>36</v>
      </c>
      <c r="C255" s="328">
        <f>11+5</f>
        <v>16</v>
      </c>
      <c r="D255" s="328">
        <f>Kennzahlen!H255+Kennzahlen!D255</f>
        <v>300</v>
      </c>
      <c r="E255" s="223">
        <f t="shared" si="432"/>
        <v>3524074.73</v>
      </c>
      <c r="F255" s="223">
        <f t="shared" si="433"/>
        <v>220254.670625</v>
      </c>
      <c r="G255" s="224">
        <f t="shared" si="434"/>
        <v>11746.915766666667</v>
      </c>
      <c r="H255" s="223"/>
      <c r="I255" s="223">
        <f t="shared" si="435"/>
        <v>3524074.73</v>
      </c>
      <c r="J255" s="365">
        <v>3853369.83</v>
      </c>
      <c r="K255" s="365">
        <v>201369.85</v>
      </c>
      <c r="L255" s="365">
        <v>0</v>
      </c>
      <c r="M255" s="365">
        <v>127925.25</v>
      </c>
      <c r="N255" s="365"/>
      <c r="O255" s="365"/>
      <c r="P255" s="365">
        <v>2578886.94</v>
      </c>
      <c r="Q255" s="27">
        <f t="shared" si="436"/>
        <v>2450961.69</v>
      </c>
      <c r="R255" s="223">
        <f t="shared" si="437"/>
        <v>2450961.69</v>
      </c>
      <c r="S255" s="226">
        <f t="shared" si="438"/>
        <v>0.69549083881090112</v>
      </c>
      <c r="T255" s="223">
        <f t="shared" si="439"/>
        <v>153185.105625</v>
      </c>
      <c r="U255" s="224">
        <f t="shared" si="440"/>
        <v>8169.8723</v>
      </c>
      <c r="V255" s="365">
        <v>145179.75</v>
      </c>
      <c r="W255" s="223">
        <f t="shared" si="441"/>
        <v>145179.75</v>
      </c>
      <c r="X255" s="226">
        <f t="shared" si="442"/>
        <v>4.1196558280703656E-2</v>
      </c>
      <c r="Y255" s="223">
        <f t="shared" si="443"/>
        <v>9073.734375</v>
      </c>
      <c r="Z255" s="224">
        <f t="shared" si="444"/>
        <v>483.9325</v>
      </c>
      <c r="AA255" s="365">
        <v>415189.9</v>
      </c>
      <c r="AB255" s="365">
        <v>16860</v>
      </c>
      <c r="AC255" s="225">
        <f>Artengliederung!AE255</f>
        <v>200000</v>
      </c>
      <c r="AD255" s="223">
        <f t="shared" si="445"/>
        <v>200000</v>
      </c>
      <c r="AE255" s="226">
        <f t="shared" si="446"/>
        <v>5.6752485495675062E-2</v>
      </c>
      <c r="AF255" s="223">
        <f t="shared" si="447"/>
        <v>12500</v>
      </c>
      <c r="AG255" s="224">
        <f t="shared" si="448"/>
        <v>666.66666666666663</v>
      </c>
      <c r="AH255" s="225">
        <f t="shared" si="449"/>
        <v>398329.9</v>
      </c>
      <c r="AI255" s="223">
        <f t="shared" si="450"/>
        <v>398329.9</v>
      </c>
      <c r="AJ255" s="226">
        <f t="shared" si="451"/>
        <v>0.11303105936121849</v>
      </c>
      <c r="AK255" s="223">
        <f t="shared" si="452"/>
        <v>24895.618750000001</v>
      </c>
      <c r="AL255" s="224">
        <f t="shared" si="453"/>
        <v>1327.7663333333335</v>
      </c>
      <c r="AM255" s="365">
        <v>31491.99</v>
      </c>
      <c r="AN255" s="223">
        <f t="shared" si="454"/>
        <v>31491.99</v>
      </c>
      <c r="AO255" s="226">
        <f t="shared" si="455"/>
        <v>8.9362435285247205E-3</v>
      </c>
      <c r="AP255" s="223">
        <f t="shared" si="456"/>
        <v>1968.2493750000001</v>
      </c>
      <c r="AQ255" s="224">
        <f t="shared" si="457"/>
        <v>104.97330000000001</v>
      </c>
      <c r="AR255" s="223">
        <f>Artengliederung!X255</f>
        <v>177269.85</v>
      </c>
      <c r="AS255" s="226">
        <f t="shared" si="458"/>
        <v>5.0302522954727466E-2</v>
      </c>
      <c r="AT255" s="223">
        <f t="shared" si="459"/>
        <v>11079.365625</v>
      </c>
      <c r="AU255" s="223">
        <f t="shared" si="460"/>
        <v>590.89949999999999</v>
      </c>
      <c r="AV255" s="227">
        <f t="shared" si="461"/>
        <v>3.4290291568249462E-2</v>
      </c>
    </row>
    <row r="256" spans="1:48" x14ac:dyDescent="0.25">
      <c r="A256" s="365" t="s">
        <v>214</v>
      </c>
      <c r="B256" s="365" t="s">
        <v>36</v>
      </c>
      <c r="C256" s="328">
        <f>27+8</f>
        <v>35</v>
      </c>
      <c r="D256" s="328">
        <f>Kennzahlen!H256+Kennzahlen!D256</f>
        <v>666</v>
      </c>
      <c r="E256" s="223">
        <f t="shared" si="432"/>
        <v>7215301.1500000004</v>
      </c>
      <c r="F256" s="223">
        <f t="shared" si="433"/>
        <v>206151.46142857143</v>
      </c>
      <c r="G256" s="224">
        <f t="shared" ref="G256:G271" si="462">E256/D256</f>
        <v>10833.785510510512</v>
      </c>
      <c r="H256" s="223"/>
      <c r="I256" s="223">
        <f t="shared" si="435"/>
        <v>7215301.1500000004</v>
      </c>
      <c r="J256" s="365">
        <v>7552676.9500000002</v>
      </c>
      <c r="K256" s="365">
        <v>207891.25</v>
      </c>
      <c r="L256" s="365">
        <v>44828.25</v>
      </c>
      <c r="M256" s="365">
        <v>84656.3</v>
      </c>
      <c r="N256" s="365"/>
      <c r="O256" s="365"/>
      <c r="P256" s="365">
        <v>5029748.5</v>
      </c>
      <c r="Q256" s="27">
        <f t="shared" si="436"/>
        <v>4945092.2</v>
      </c>
      <c r="R256" s="223">
        <f t="shared" si="437"/>
        <v>4945092.2</v>
      </c>
      <c r="S256" s="226">
        <f t="shared" si="438"/>
        <v>0.68536185769598823</v>
      </c>
      <c r="T256" s="223">
        <f t="shared" si="439"/>
        <v>141288.34857142856</v>
      </c>
      <c r="U256" s="224">
        <f t="shared" si="440"/>
        <v>7425.0633633633634</v>
      </c>
      <c r="V256" s="365">
        <v>397664.7</v>
      </c>
      <c r="W256" s="223">
        <f t="shared" si="441"/>
        <v>397664.7</v>
      </c>
      <c r="X256" s="226">
        <f t="shared" si="442"/>
        <v>5.5114082105914591E-2</v>
      </c>
      <c r="Y256" s="223">
        <f t="shared" si="443"/>
        <v>11361.848571428573</v>
      </c>
      <c r="Z256" s="224">
        <f t="shared" si="444"/>
        <v>597.09414414414414</v>
      </c>
      <c r="AA256" s="365">
        <v>937556.65</v>
      </c>
      <c r="AB256" s="365">
        <v>74717.899999999994</v>
      </c>
      <c r="AC256" s="225">
        <f>Artengliederung!AE256</f>
        <v>513000</v>
      </c>
      <c r="AD256" s="223">
        <f t="shared" si="445"/>
        <v>513000</v>
      </c>
      <c r="AE256" s="226">
        <f t="shared" ref="AE256:AE271" si="463">AD256/$E256</f>
        <v>7.1098903474042796E-2</v>
      </c>
      <c r="AF256" s="223">
        <f t="shared" si="447"/>
        <v>14657.142857142857</v>
      </c>
      <c r="AG256" s="224">
        <f t="shared" si="448"/>
        <v>770.27027027027032</v>
      </c>
      <c r="AH256" s="225">
        <f t="shared" si="449"/>
        <v>862838.75</v>
      </c>
      <c r="AI256" s="223">
        <f t="shared" si="450"/>
        <v>862838.75</v>
      </c>
      <c r="AJ256" s="226">
        <f t="shared" si="451"/>
        <v>0.11958457894720027</v>
      </c>
      <c r="AK256" s="223">
        <f t="shared" si="452"/>
        <v>24652.535714285714</v>
      </c>
      <c r="AL256" s="224">
        <f t="shared" si="453"/>
        <v>1295.5536786786786</v>
      </c>
      <c r="AM256" s="365">
        <v>32090.65</v>
      </c>
      <c r="AN256" s="223">
        <f t="shared" si="454"/>
        <v>32090.65</v>
      </c>
      <c r="AO256" s="226">
        <f t="shared" si="455"/>
        <v>4.4475828981857535E-3</v>
      </c>
      <c r="AP256" s="223">
        <f t="shared" si="456"/>
        <v>916.87571428571437</v>
      </c>
      <c r="AQ256" s="224">
        <f t="shared" ref="AQ256:AQ271" si="464">AN256/D256</f>
        <v>48.184159159159158</v>
      </c>
      <c r="AR256" s="223">
        <f>Artengliederung!X256</f>
        <v>258781.25</v>
      </c>
      <c r="AS256" s="226">
        <f t="shared" si="458"/>
        <v>3.5865620106514888E-2</v>
      </c>
      <c r="AT256" s="223">
        <f t="shared" si="459"/>
        <v>7393.75</v>
      </c>
      <c r="AU256" s="223">
        <f t="shared" si="460"/>
        <v>388.56043543543541</v>
      </c>
      <c r="AV256" s="227">
        <f t="shared" si="461"/>
        <v>2.8527374772153453E-2</v>
      </c>
    </row>
    <row r="257" spans="1:48" x14ac:dyDescent="0.25">
      <c r="A257" s="365" t="s">
        <v>215</v>
      </c>
      <c r="B257" s="365" t="s">
        <v>36</v>
      </c>
      <c r="C257" s="328">
        <f>29+8</f>
        <v>37</v>
      </c>
      <c r="D257" s="328">
        <f>Kennzahlen!H257+Kennzahlen!D257</f>
        <v>692</v>
      </c>
      <c r="E257" s="223">
        <f t="shared" si="432"/>
        <v>6738842.0599999996</v>
      </c>
      <c r="F257" s="223">
        <f t="shared" si="433"/>
        <v>182130.86648648648</v>
      </c>
      <c r="G257" s="224">
        <f t="shared" si="462"/>
        <v>9738.2110693641607</v>
      </c>
      <c r="H257" s="223"/>
      <c r="I257" s="223">
        <f t="shared" si="435"/>
        <v>6738842.0599999996</v>
      </c>
      <c r="J257" s="365">
        <v>6987168.0599999996</v>
      </c>
      <c r="K257" s="365">
        <v>162450.54999999999</v>
      </c>
      <c r="L257" s="365">
        <v>-43.7</v>
      </c>
      <c r="M257" s="365">
        <v>85919.15</v>
      </c>
      <c r="N257" s="365"/>
      <c r="O257" s="365"/>
      <c r="P257" s="365">
        <v>5385895.6600000001</v>
      </c>
      <c r="Q257" s="27">
        <f t="shared" si="436"/>
        <v>5299976.51</v>
      </c>
      <c r="R257" s="223">
        <f t="shared" si="437"/>
        <v>5299976.51</v>
      </c>
      <c r="S257" s="226">
        <f t="shared" si="438"/>
        <v>0.78648178170835481</v>
      </c>
      <c r="T257" s="223">
        <f t="shared" si="439"/>
        <v>143242.60837837838</v>
      </c>
      <c r="U257" s="224">
        <f t="shared" si="440"/>
        <v>7658.9255924855488</v>
      </c>
      <c r="V257" s="365">
        <v>191496.7</v>
      </c>
      <c r="W257" s="223">
        <f t="shared" si="441"/>
        <v>191496.7</v>
      </c>
      <c r="X257" s="226">
        <f t="shared" si="442"/>
        <v>2.8416855343245725E-2</v>
      </c>
      <c r="Y257" s="223">
        <f t="shared" si="443"/>
        <v>5175.586486486487</v>
      </c>
      <c r="Z257" s="224">
        <f t="shared" si="444"/>
        <v>276.72933526011565</v>
      </c>
      <c r="AA257" s="365">
        <v>574669.6</v>
      </c>
      <c r="AB257" s="365">
        <v>30540.85</v>
      </c>
      <c r="AC257" s="225">
        <f>Artengliederung!AE257</f>
        <v>340000</v>
      </c>
      <c r="AD257" s="223">
        <f t="shared" si="445"/>
        <v>340000</v>
      </c>
      <c r="AE257" s="226">
        <f t="shared" si="463"/>
        <v>5.0453771875460754E-2</v>
      </c>
      <c r="AF257" s="223">
        <f t="shared" si="447"/>
        <v>9189.1891891891901</v>
      </c>
      <c r="AG257" s="224">
        <f t="shared" si="448"/>
        <v>491.32947976878614</v>
      </c>
      <c r="AH257" s="225">
        <f t="shared" si="449"/>
        <v>544128.75</v>
      </c>
      <c r="AI257" s="223">
        <f t="shared" si="450"/>
        <v>544128.75</v>
      </c>
      <c r="AJ257" s="226">
        <f t="shared" si="451"/>
        <v>8.0745140656998879E-2</v>
      </c>
      <c r="AK257" s="223">
        <f t="shared" si="452"/>
        <v>14706.182432432432</v>
      </c>
      <c r="AL257" s="224">
        <f t="shared" si="453"/>
        <v>786.31322254335259</v>
      </c>
      <c r="AM257" s="365">
        <v>13181</v>
      </c>
      <c r="AN257" s="223">
        <f t="shared" si="454"/>
        <v>13181</v>
      </c>
      <c r="AO257" s="226">
        <f t="shared" si="455"/>
        <v>1.9559740208542594E-3</v>
      </c>
      <c r="AP257" s="223">
        <f t="shared" si="456"/>
        <v>356.24324324324323</v>
      </c>
      <c r="AQ257" s="224">
        <f t="shared" si="464"/>
        <v>19.047687861271676</v>
      </c>
      <c r="AR257" s="223">
        <f>Artengliederung!X257</f>
        <v>192586.1</v>
      </c>
      <c r="AS257" s="226">
        <f t="shared" si="458"/>
        <v>2.8578515164072567E-2</v>
      </c>
      <c r="AT257" s="223">
        <f t="shared" si="459"/>
        <v>5205.0297297297302</v>
      </c>
      <c r="AU257" s="223">
        <f t="shared" si="460"/>
        <v>278.30361271676304</v>
      </c>
      <c r="AV257" s="227">
        <f t="shared" si="461"/>
        <v>2.3367961231013E-2</v>
      </c>
    </row>
    <row r="258" spans="1:48" x14ac:dyDescent="0.25">
      <c r="A258" s="365" t="s">
        <v>216</v>
      </c>
      <c r="B258" s="365" t="s">
        <v>217</v>
      </c>
      <c r="C258" s="328">
        <v>2.5</v>
      </c>
      <c r="D258" s="328">
        <f>Kennzahlen!H258</f>
        <v>39</v>
      </c>
      <c r="E258" s="223">
        <f>'KiGa - PS'!F259+Funktional!H258*'KiGa - PS'!L259</f>
        <v>528389.54896001425</v>
      </c>
      <c r="F258" s="223">
        <f t="shared" si="433"/>
        <v>211355.81958400569</v>
      </c>
      <c r="G258" s="224">
        <f t="shared" si="462"/>
        <v>13548.449973333698</v>
      </c>
      <c r="H258" s="223">
        <f>I258-'KiGa - PS'!H259</f>
        <v>269589.05</v>
      </c>
      <c r="I258" s="223">
        <f t="shared" si="435"/>
        <v>630336.75</v>
      </c>
      <c r="J258" s="365">
        <v>954526.95</v>
      </c>
      <c r="K258" s="365">
        <v>0</v>
      </c>
      <c r="L258" s="365">
        <v>0</v>
      </c>
      <c r="M258" s="365">
        <v>324190.2</v>
      </c>
      <c r="N258" s="365"/>
      <c r="O258" s="365"/>
      <c r="P258" s="365">
        <v>674807.55</v>
      </c>
      <c r="Q258" s="27">
        <f t="shared" si="436"/>
        <v>350617.35000000003</v>
      </c>
      <c r="R258" s="223">
        <f>(Q258-'KiGa - PS'!H259)*'KiGa - PS'!L259+'KiGa - PS'!F259</f>
        <v>293910.42712336773</v>
      </c>
      <c r="S258" s="226">
        <f t="shared" si="438"/>
        <v>0.55623815365358287</v>
      </c>
      <c r="T258" s="223">
        <f t="shared" si="439"/>
        <v>117564.17084934709</v>
      </c>
      <c r="U258" s="224">
        <f t="shared" si="440"/>
        <v>7536.1647980350699</v>
      </c>
      <c r="V258" s="365">
        <v>40920.199999999997</v>
      </c>
      <c r="W258" s="223">
        <f>V258*'KiGa - PS'!L259</f>
        <v>34301.991786697457</v>
      </c>
      <c r="X258" s="226">
        <f>W258/E258</f>
        <v>6.491799819699548E-2</v>
      </c>
      <c r="Y258" s="223">
        <f t="shared" si="443"/>
        <v>13720.796714678983</v>
      </c>
      <c r="Z258" s="224">
        <f t="shared" si="444"/>
        <v>879.53825094096044</v>
      </c>
      <c r="AA258" s="365">
        <v>140502.65</v>
      </c>
      <c r="AB258" s="365">
        <v>23655</v>
      </c>
      <c r="AC258" s="225">
        <f>Artengliederung!AE258</f>
        <v>45243</v>
      </c>
      <c r="AD258" s="223">
        <f>AC258*'KiGa - PS'!L259</f>
        <v>37925.645876744333</v>
      </c>
      <c r="AE258" s="226">
        <f t="shared" si="463"/>
        <v>7.177591977621485E-2</v>
      </c>
      <c r="AF258" s="223">
        <f t="shared" si="447"/>
        <v>15170.258350697733</v>
      </c>
      <c r="AG258" s="224">
        <f t="shared" si="448"/>
        <v>972.45245837805976</v>
      </c>
      <c r="AH258" s="225">
        <f t="shared" ref="AH258:AH271" si="465">AA258-AB258</f>
        <v>116847.65</v>
      </c>
      <c r="AI258" s="223">
        <f>AH258*'KiGa - PS'!L259</f>
        <v>97949.353390132499</v>
      </c>
      <c r="AJ258" s="226">
        <f t="shared" si="451"/>
        <v>0.18537337383549346</v>
      </c>
      <c r="AK258" s="223">
        <f t="shared" si="452"/>
        <v>39179.741356052997</v>
      </c>
      <c r="AL258" s="224">
        <f t="shared" si="453"/>
        <v>2511.5218817982691</v>
      </c>
      <c r="AM258" s="365">
        <v>3195</v>
      </c>
      <c r="AN258" s="223">
        <f>AM258*'KiGa - PS'!L259</f>
        <v>2678.2582626306421</v>
      </c>
      <c r="AO258" s="226">
        <f t="shared" si="455"/>
        <v>5.0687192203215181E-3</v>
      </c>
      <c r="AP258" s="223">
        <f t="shared" si="456"/>
        <v>1071.3033050522567</v>
      </c>
      <c r="AQ258" s="224">
        <f t="shared" si="464"/>
        <v>68.673288785401084</v>
      </c>
      <c r="AR258" s="223">
        <f>Artengliederung!X258*'KiGa - PS'!L259</f>
        <v>30529.713224048275</v>
      </c>
      <c r="AS258" s="226">
        <f t="shared" si="458"/>
        <v>5.7778798396254057E-2</v>
      </c>
      <c r="AT258" s="223">
        <f t="shared" si="459"/>
        <v>12211.885289619309</v>
      </c>
      <c r="AU258" s="223">
        <f t="shared" si="460"/>
        <v>782.8131595909814</v>
      </c>
      <c r="AV258" s="227">
        <f t="shared" si="461"/>
        <v>5.8847036921137734E-2</v>
      </c>
    </row>
    <row r="259" spans="1:48" x14ac:dyDescent="0.25">
      <c r="A259" s="365" t="s">
        <v>218</v>
      </c>
      <c r="B259" s="365" t="s">
        <v>217</v>
      </c>
      <c r="C259" s="328">
        <v>5</v>
      </c>
      <c r="D259" s="328">
        <f>Kennzahlen!H259</f>
        <v>96</v>
      </c>
      <c r="E259" s="223">
        <f>'KiGa - PS'!F260+Funktional!H259*'KiGa - PS'!L260</f>
        <v>1054928.8174574736</v>
      </c>
      <c r="F259" s="223">
        <f t="shared" si="433"/>
        <v>210985.76349149473</v>
      </c>
      <c r="G259" s="224">
        <f t="shared" si="462"/>
        <v>10988.841848515351</v>
      </c>
      <c r="H259" s="223">
        <f>I259-'KiGa - PS'!H260</f>
        <v>586405.5</v>
      </c>
      <c r="I259" s="223">
        <f t="shared" si="435"/>
        <v>1311376.1000000001</v>
      </c>
      <c r="J259" s="365">
        <v>2081023.45</v>
      </c>
      <c r="K259" s="365">
        <v>100926.5</v>
      </c>
      <c r="L259" s="365">
        <v>0</v>
      </c>
      <c r="M259" s="365">
        <v>668720.85</v>
      </c>
      <c r="N259" s="365"/>
      <c r="O259" s="365"/>
      <c r="P259" s="365">
        <v>1344844.6</v>
      </c>
      <c r="Q259" s="27">
        <f t="shared" si="436"/>
        <v>676123.75000000012</v>
      </c>
      <c r="R259" s="223">
        <f>(Q259-'KiGa - PS'!H260)*'KiGa - PS'!L260+'KiGa - PS'!F260</f>
        <v>543903.78781679226</v>
      </c>
      <c r="S259" s="226">
        <f t="shared" ref="S259:S274" si="466">R259/$E259</f>
        <v>0.51558340128358293</v>
      </c>
      <c r="T259" s="223">
        <f t="shared" ref="T259:T274" si="467">R259/C259</f>
        <v>108780.75756335845</v>
      </c>
      <c r="U259" s="224">
        <f t="shared" ref="U259:U274" si="468">R259/D259</f>
        <v>5665.6644564249191</v>
      </c>
      <c r="V259" s="365">
        <v>88002.25</v>
      </c>
      <c r="W259" s="223">
        <f>V259*'KiGa - PS'!L260</f>
        <v>70792.894217072389</v>
      </c>
      <c r="X259" s="226">
        <f t="shared" ref="X259:X274" si="469">W259/E259</f>
        <v>6.710679720333472E-2</v>
      </c>
      <c r="Y259" s="223">
        <f t="shared" ref="Y259:Y274" si="470">W259/C259</f>
        <v>14158.578843414478</v>
      </c>
      <c r="Z259" s="224">
        <f t="shared" ref="Z259:Z274" si="471">W259/D259</f>
        <v>737.42598142783743</v>
      </c>
      <c r="AA259" s="365">
        <v>186520.1</v>
      </c>
      <c r="AB259" s="365">
        <v>60814.35</v>
      </c>
      <c r="AC259" s="225">
        <f>Artengliederung!AE259</f>
        <v>260000</v>
      </c>
      <c r="AD259" s="223">
        <f>AC259*'KiGa - PS'!L260</f>
        <v>209155.47609792728</v>
      </c>
      <c r="AE259" s="226">
        <f t="shared" si="463"/>
        <v>0.19826501337030616</v>
      </c>
      <c r="AF259" s="223">
        <f t="shared" ref="AF259:AF274" si="472">AD259/C259</f>
        <v>41831.095219585455</v>
      </c>
      <c r="AG259" s="224">
        <f t="shared" ref="AG259:AG274" si="473">AD259/D259</f>
        <v>2178.702876020076</v>
      </c>
      <c r="AH259" s="225">
        <f t="shared" si="465"/>
        <v>125705.75</v>
      </c>
      <c r="AI259" s="223">
        <f>AH259*'KiGa - PS'!L260</f>
        <v>101123.25380575778</v>
      </c>
      <c r="AJ259" s="226">
        <f t="shared" ref="AJ259:AJ274" si="474">AI259/$E259</f>
        <v>9.5857893094132174E-2</v>
      </c>
      <c r="AK259" s="223">
        <f t="shared" ref="AK259:AK274" si="475">AI259/C259</f>
        <v>20224.650761151555</v>
      </c>
      <c r="AL259" s="224">
        <f t="shared" ref="AL259:AL274" si="476">AI259/D259</f>
        <v>1053.3672271433102</v>
      </c>
      <c r="AM259" s="365">
        <v>12878.05</v>
      </c>
      <c r="AN259" s="223">
        <f>AM259*'KiGa - PS'!L260</f>
        <v>10359.671842165048</v>
      </c>
      <c r="AO259" s="226">
        <f t="shared" ref="AO259:AO274" si="477">AN259/$E259</f>
        <v>9.8202567516671967E-3</v>
      </c>
      <c r="AP259" s="223">
        <f t="shared" ref="AP259:AP274" si="478">AN259/C259</f>
        <v>2071.9343684330097</v>
      </c>
      <c r="AQ259" s="224">
        <f t="shared" si="464"/>
        <v>107.91324835588591</v>
      </c>
      <c r="AR259" s="223">
        <f>Artengliederung!X259*'KiGa - PS'!L260</f>
        <v>47762.503188481031</v>
      </c>
      <c r="AS259" s="226">
        <f t="shared" ref="AS259:AS274" si="479">AR259/E259</f>
        <v>4.5275569685920003E-2</v>
      </c>
      <c r="AT259" s="223">
        <f t="shared" ref="AT259:AT274" si="480">AR259/C259</f>
        <v>9552.5006376962065</v>
      </c>
      <c r="AU259" s="223">
        <f t="shared" ref="AU259:AU274" si="481">AR259/D259</f>
        <v>497.52607488001075</v>
      </c>
      <c r="AV259" s="227">
        <f t="shared" ref="AV259:AV274" si="482">1-S259-X259-AJ259-AE259-AO259-AS259</f>
        <v>6.8091068611056793E-2</v>
      </c>
    </row>
    <row r="260" spans="1:48" x14ac:dyDescent="0.25">
      <c r="A260" s="365" t="s">
        <v>219</v>
      </c>
      <c r="B260" s="365" t="s">
        <v>217</v>
      </c>
      <c r="C260" s="328">
        <v>5.5</v>
      </c>
      <c r="D260" s="328">
        <f>Kennzahlen!H260</f>
        <v>106</v>
      </c>
      <c r="E260" s="223">
        <f>'KiGa - PS'!F261+Funktional!H260*'KiGa - PS'!L261</f>
        <v>1014144.4521578443</v>
      </c>
      <c r="F260" s="223">
        <f t="shared" ref="F260:F275" si="483">E260/C260</f>
        <v>184389.90039233534</v>
      </c>
      <c r="G260" s="224">
        <f t="shared" si="462"/>
        <v>9567.4004920551342</v>
      </c>
      <c r="H260" s="223">
        <f>I260-'KiGa - PS'!H261</f>
        <v>546372.89999999991</v>
      </c>
      <c r="I260" s="223">
        <f t="shared" si="435"/>
        <v>1214619.6499999999</v>
      </c>
      <c r="J260" s="365">
        <v>1632657.5</v>
      </c>
      <c r="K260" s="365">
        <v>12760.25</v>
      </c>
      <c r="L260" s="365">
        <v>0</v>
      </c>
      <c r="M260" s="365">
        <v>405277.6</v>
      </c>
      <c r="N260" s="365"/>
      <c r="O260" s="365"/>
      <c r="P260" s="365">
        <v>1025914.2</v>
      </c>
      <c r="Q260" s="27">
        <f t="shared" si="436"/>
        <v>620636.6</v>
      </c>
      <c r="R260" s="223">
        <f>(Q260-'KiGa - PS'!H261)*'KiGa - PS'!L261+'KiGa - PS'!F261</f>
        <v>518199.39245681331</v>
      </c>
      <c r="S260" s="226">
        <f t="shared" si="466"/>
        <v>0.5109719738191294</v>
      </c>
      <c r="T260" s="223">
        <f t="shared" si="467"/>
        <v>94218.071355784239</v>
      </c>
      <c r="U260" s="224">
        <f t="shared" si="468"/>
        <v>4888.6735137435217</v>
      </c>
      <c r="V260" s="365">
        <v>47125.05</v>
      </c>
      <c r="W260" s="223">
        <f>V260*'KiGa - PS'!L261</f>
        <v>39346.974186660846</v>
      </c>
      <c r="X260" s="226">
        <f t="shared" si="469"/>
        <v>3.8798194974039822E-2</v>
      </c>
      <c r="Y260" s="223">
        <f t="shared" si="470"/>
        <v>7153.995306665608</v>
      </c>
      <c r="Z260" s="224">
        <f t="shared" si="471"/>
        <v>371.1978696854797</v>
      </c>
      <c r="AA260" s="365">
        <v>128423.65</v>
      </c>
      <c r="AB260" s="365">
        <v>10210</v>
      </c>
      <c r="AC260" s="225">
        <f>Artengliederung!AE260</f>
        <v>202000</v>
      </c>
      <c r="AD260" s="223">
        <f>AC260*'KiGa - PS'!L261</f>
        <v>168659.53003138438</v>
      </c>
      <c r="AE260" s="226">
        <f t="shared" si="463"/>
        <v>0.16630720571662086</v>
      </c>
      <c r="AF260" s="223">
        <f t="shared" si="472"/>
        <v>30665.369096615341</v>
      </c>
      <c r="AG260" s="224">
        <f t="shared" si="473"/>
        <v>1591.1276418055129</v>
      </c>
      <c r="AH260" s="225">
        <f t="shared" si="465"/>
        <v>118213.65</v>
      </c>
      <c r="AI260" s="223">
        <f>AH260*'KiGa - PS'!L261</f>
        <v>98702.270555913667</v>
      </c>
      <c r="AJ260" s="226">
        <f t="shared" si="474"/>
        <v>9.7325652520111966E-2</v>
      </c>
      <c r="AK260" s="223">
        <f t="shared" si="475"/>
        <v>17945.867373802485</v>
      </c>
      <c r="AL260" s="224">
        <f t="shared" si="476"/>
        <v>931.15349581050634</v>
      </c>
      <c r="AM260" s="365">
        <v>8819.0499999999993</v>
      </c>
      <c r="AN260" s="223">
        <f>AM260*'KiGa - PS'!L261</f>
        <v>7363.4496451647537</v>
      </c>
      <c r="AO260" s="226">
        <f t="shared" si="477"/>
        <v>7.2607503097780451E-3</v>
      </c>
      <c r="AP260" s="223">
        <f t="shared" si="478"/>
        <v>1338.8090263935917</v>
      </c>
      <c r="AQ260" s="224">
        <f t="shared" si="464"/>
        <v>69.466506086459944</v>
      </c>
      <c r="AR260" s="223">
        <f>Artengliederung!X260*'KiGa - PS'!L261</f>
        <v>162029.20662554665</v>
      </c>
      <c r="AS260" s="226">
        <f t="shared" si="479"/>
        <v>0.15976935660476105</v>
      </c>
      <c r="AT260" s="223">
        <f t="shared" si="480"/>
        <v>29459.855750099392</v>
      </c>
      <c r="AU260" s="223">
        <f t="shared" si="481"/>
        <v>1528.5774209957231</v>
      </c>
      <c r="AV260" s="227">
        <f t="shared" si="482"/>
        <v>1.9566866055558907E-2</v>
      </c>
    </row>
    <row r="261" spans="1:48" x14ac:dyDescent="0.25">
      <c r="A261" s="365" t="s">
        <v>220</v>
      </c>
      <c r="B261" s="365" t="s">
        <v>217</v>
      </c>
      <c r="C261" s="328">
        <v>2</v>
      </c>
      <c r="D261" s="328">
        <f>Kennzahlen!H261</f>
        <v>58</v>
      </c>
      <c r="E261" s="223">
        <f>'KiGa - PS'!F262+Funktional!H261*'KiGa - PS'!L262</f>
        <v>579138.93270693161</v>
      </c>
      <c r="F261" s="223">
        <f t="shared" si="483"/>
        <v>289569.4663534658</v>
      </c>
      <c r="G261" s="224">
        <f t="shared" si="462"/>
        <v>9985.1540121884755</v>
      </c>
      <c r="H261" s="223">
        <f>I261-'KiGa - PS'!H262</f>
        <v>-47478.95000000007</v>
      </c>
      <c r="I261" s="223">
        <f t="shared" si="435"/>
        <v>656845.44999999995</v>
      </c>
      <c r="J261" s="365">
        <v>860274.3</v>
      </c>
      <c r="K261" s="365">
        <v>554.9</v>
      </c>
      <c r="L261" s="365">
        <v>0</v>
      </c>
      <c r="M261" s="365">
        <v>202873.95</v>
      </c>
      <c r="N261" s="365"/>
      <c r="O261" s="365"/>
      <c r="P261" s="365">
        <v>714120.95</v>
      </c>
      <c r="Q261" s="27">
        <f t="shared" si="436"/>
        <v>511246.99999999994</v>
      </c>
      <c r="R261" s="223">
        <f>(Q261-'KiGa - PS'!H262)*'KiGa - PS'!L262+'KiGa - PS'!F262</f>
        <v>450765.15629303758</v>
      </c>
      <c r="S261" s="226">
        <f t="shared" si="466"/>
        <v>0.77833682185055841</v>
      </c>
      <c r="T261" s="223">
        <f t="shared" si="467"/>
        <v>225382.57814651879</v>
      </c>
      <c r="U261" s="224">
        <f t="shared" si="468"/>
        <v>7771.8130395351309</v>
      </c>
      <c r="V261" s="365">
        <v>25674.6</v>
      </c>
      <c r="W261" s="223">
        <f>V261*'KiGa - PS'!L262</f>
        <v>22637.228349039164</v>
      </c>
      <c r="X261" s="226">
        <f t="shared" si="469"/>
        <v>3.9087733651805005E-2</v>
      </c>
      <c r="Y261" s="223">
        <f t="shared" si="470"/>
        <v>11318.614174519582</v>
      </c>
      <c r="Z261" s="224">
        <f t="shared" si="471"/>
        <v>390.29704050067522</v>
      </c>
      <c r="AA261" s="365">
        <v>61620.55</v>
      </c>
      <c r="AB261" s="365">
        <v>17600</v>
      </c>
      <c r="AC261" s="225">
        <f>Artengliederung!AE261</f>
        <v>29806</v>
      </c>
      <c r="AD261" s="223">
        <f>AC261*'KiGa - PS'!L262</f>
        <v>26279.873032937663</v>
      </c>
      <c r="AE261" s="226">
        <f t="shared" si="463"/>
        <v>4.5377493290088257E-2</v>
      </c>
      <c r="AF261" s="223">
        <f t="shared" si="472"/>
        <v>13139.936516468832</v>
      </c>
      <c r="AG261" s="224">
        <f t="shared" si="473"/>
        <v>453.1012591885804</v>
      </c>
      <c r="AH261" s="225">
        <f t="shared" si="465"/>
        <v>44020.55</v>
      </c>
      <c r="AI261" s="223">
        <f>AH261*'KiGa - PS'!L262</f>
        <v>38812.804966788033</v>
      </c>
      <c r="AJ261" s="226">
        <f t="shared" si="474"/>
        <v>6.7018124278702101E-2</v>
      </c>
      <c r="AK261" s="223">
        <f t="shared" si="475"/>
        <v>19406.402483394017</v>
      </c>
      <c r="AL261" s="224">
        <f t="shared" si="476"/>
        <v>669.18629253082815</v>
      </c>
      <c r="AM261" s="365">
        <v>4617.6499999999996</v>
      </c>
      <c r="AN261" s="223">
        <f>AM261*'KiGa - PS'!L262</f>
        <v>4071.3700500082064</v>
      </c>
      <c r="AO261" s="226">
        <f t="shared" si="477"/>
        <v>7.0300403237930631E-3</v>
      </c>
      <c r="AP261" s="223">
        <f t="shared" si="478"/>
        <v>2035.6850250041032</v>
      </c>
      <c r="AQ261" s="224">
        <f t="shared" si="464"/>
        <v>70.196035344969076</v>
      </c>
      <c r="AR261" s="223">
        <f>Artengliederung!X261*'KiGa - PS'!L262</f>
        <v>17633.948220450689</v>
      </c>
      <c r="AS261" s="226">
        <f t="shared" si="479"/>
        <v>3.0448562900146449E-2</v>
      </c>
      <c r="AT261" s="223">
        <f t="shared" si="480"/>
        <v>8816.9741102253447</v>
      </c>
      <c r="AU261" s="223">
        <f t="shared" si="481"/>
        <v>304.0335900077705</v>
      </c>
      <c r="AV261" s="227">
        <f t="shared" si="482"/>
        <v>3.2701223704906711E-2</v>
      </c>
    </row>
    <row r="262" spans="1:48" x14ac:dyDescent="0.25">
      <c r="A262" s="365" t="s">
        <v>221</v>
      </c>
      <c r="B262" s="365" t="s">
        <v>217</v>
      </c>
      <c r="C262" s="328">
        <v>6</v>
      </c>
      <c r="D262" s="328">
        <f>Kennzahlen!H262</f>
        <v>120</v>
      </c>
      <c r="E262" s="223">
        <f>'KiGa - PS'!F263+Funktional!H262*'KiGa - PS'!L263</f>
        <v>1172770.0499027064</v>
      </c>
      <c r="F262" s="223">
        <f t="shared" si="483"/>
        <v>195461.67498378441</v>
      </c>
      <c r="G262" s="224">
        <f t="shared" si="462"/>
        <v>9773.0837491892198</v>
      </c>
      <c r="H262" s="223">
        <f>I262-'KiGa - PS'!H263</f>
        <v>580618.69999999995</v>
      </c>
      <c r="I262" s="223">
        <f t="shared" si="435"/>
        <v>1401562.15</v>
      </c>
      <c r="J262" s="365">
        <v>1680199.5</v>
      </c>
      <c r="K262" s="365">
        <v>14287.6</v>
      </c>
      <c r="L262" s="365">
        <v>415</v>
      </c>
      <c r="M262" s="365">
        <v>263934.75</v>
      </c>
      <c r="N262" s="365"/>
      <c r="O262" s="365"/>
      <c r="P262" s="365">
        <v>1200189.5</v>
      </c>
      <c r="Q262" s="27">
        <f t="shared" si="436"/>
        <v>936254.75</v>
      </c>
      <c r="R262" s="223">
        <f>(Q262-'KiGa - PS'!H263)*'KiGa - PS'!L263+'KiGa - PS'!F263</f>
        <v>783419.79332072148</v>
      </c>
      <c r="S262" s="226">
        <f t="shared" si="466"/>
        <v>0.66800801519932607</v>
      </c>
      <c r="T262" s="223">
        <f t="shared" si="467"/>
        <v>130569.96555345359</v>
      </c>
      <c r="U262" s="224">
        <f t="shared" si="468"/>
        <v>6528.4982776726793</v>
      </c>
      <c r="V262" s="365">
        <v>63942.55</v>
      </c>
      <c r="W262" s="223">
        <f>V262*'KiGa - PS'!L263</f>
        <v>53504.51819379277</v>
      </c>
      <c r="X262" s="226">
        <f t="shared" si="469"/>
        <v>4.5622343611376785E-2</v>
      </c>
      <c r="Y262" s="223">
        <f t="shared" si="470"/>
        <v>8917.4196989654611</v>
      </c>
      <c r="Z262" s="224">
        <f t="shared" si="471"/>
        <v>445.87098494827308</v>
      </c>
      <c r="AA262" s="365">
        <v>239951.3</v>
      </c>
      <c r="AB262" s="365">
        <v>22306.65</v>
      </c>
      <c r="AC262" s="225">
        <f>Artengliederung!AE262</f>
        <v>106028</v>
      </c>
      <c r="AD262" s="223">
        <f>AC262*'KiGa - PS'!L263</f>
        <v>88719.906463715626</v>
      </c>
      <c r="AE262" s="226">
        <f t="shared" si="463"/>
        <v>7.5649873963848133E-2</v>
      </c>
      <c r="AF262" s="223">
        <f t="shared" si="472"/>
        <v>14786.651077285938</v>
      </c>
      <c r="AG262" s="224">
        <f t="shared" si="473"/>
        <v>739.33255386429687</v>
      </c>
      <c r="AH262" s="225">
        <f t="shared" si="465"/>
        <v>217644.65</v>
      </c>
      <c r="AI262" s="223">
        <f>AH262*'KiGa - PS'!L263</f>
        <v>182116.16733625197</v>
      </c>
      <c r="AJ262" s="226">
        <f t="shared" si="474"/>
        <v>0.15528719150984494</v>
      </c>
      <c r="AK262" s="223">
        <f t="shared" si="475"/>
        <v>30352.694556041995</v>
      </c>
      <c r="AL262" s="224">
        <f t="shared" si="476"/>
        <v>1517.6347278020996</v>
      </c>
      <c r="AM262" s="365">
        <v>4943.55</v>
      </c>
      <c r="AN262" s="223">
        <f>AM262*'KiGa - PS'!L263</f>
        <v>4136.5610366950368</v>
      </c>
      <c r="AO262" s="226">
        <f t="shared" si="477"/>
        <v>3.5271714493716887E-3</v>
      </c>
      <c r="AP262" s="223">
        <f t="shared" si="478"/>
        <v>689.4268394491728</v>
      </c>
      <c r="AQ262" s="224">
        <f t="shared" si="464"/>
        <v>34.471341972458639</v>
      </c>
      <c r="AR262" s="223">
        <f>Artengliederung!X262*'KiGa - PS'!L263</f>
        <v>18757.338544816947</v>
      </c>
      <c r="AS262" s="226">
        <f t="shared" si="479"/>
        <v>1.5994046357487614E-2</v>
      </c>
      <c r="AT262" s="223">
        <f t="shared" si="480"/>
        <v>3126.2230908028246</v>
      </c>
      <c r="AU262" s="223">
        <f t="shared" si="481"/>
        <v>156.31115454014122</v>
      </c>
      <c r="AV262" s="227">
        <f t="shared" si="482"/>
        <v>3.5911357908744772E-2</v>
      </c>
    </row>
    <row r="263" spans="1:48" x14ac:dyDescent="0.25">
      <c r="A263" s="365" t="s">
        <v>222</v>
      </c>
      <c r="B263" s="365" t="s">
        <v>217</v>
      </c>
      <c r="C263" s="328">
        <v>6</v>
      </c>
      <c r="D263" s="328">
        <f>Kennzahlen!H263</f>
        <v>120</v>
      </c>
      <c r="E263" s="223">
        <f>'KiGa - PS'!F264+Funktional!H263*'KiGa - PS'!L264</f>
        <v>1201808.815700192</v>
      </c>
      <c r="F263" s="223">
        <f t="shared" si="483"/>
        <v>200301.46928336532</v>
      </c>
      <c r="G263" s="224">
        <f t="shared" si="462"/>
        <v>10015.073464168267</v>
      </c>
      <c r="H263" s="223">
        <f>I263-'KiGa - PS'!H264</f>
        <v>358056.60000000009</v>
      </c>
      <c r="I263" s="223">
        <f t="shared" ref="I263:I278" si="484">J263-K263-L263-M263</f>
        <v>1439785.1</v>
      </c>
      <c r="J263" s="365">
        <v>2012871.75</v>
      </c>
      <c r="K263" s="365">
        <v>62232</v>
      </c>
      <c r="L263" s="365">
        <v>0</v>
      </c>
      <c r="M263" s="365">
        <v>510854.65</v>
      </c>
      <c r="N263" s="365"/>
      <c r="O263" s="365"/>
      <c r="P263" s="365">
        <v>1521897.45</v>
      </c>
      <c r="Q263" s="27">
        <f t="shared" ref="Q263:Q278" si="485">P263-M263</f>
        <v>1011042.7999999999</v>
      </c>
      <c r="R263" s="223">
        <f>(Q263-'KiGa - PS'!H264)*'KiGa - PS'!L264+'KiGa - PS'!F264</f>
        <v>843931.60485561762</v>
      </c>
      <c r="S263" s="226">
        <f t="shared" si="466"/>
        <v>0.70221785181691343</v>
      </c>
      <c r="T263" s="223">
        <f t="shared" si="467"/>
        <v>140655.26747593627</v>
      </c>
      <c r="U263" s="224">
        <f t="shared" si="468"/>
        <v>7032.7633737968135</v>
      </c>
      <c r="V263" s="365">
        <v>74685.149999999994</v>
      </c>
      <c r="W263" s="223">
        <f>V263*'KiGa - PS'!L264</f>
        <v>62340.742150957936</v>
      </c>
      <c r="X263" s="226">
        <f t="shared" si="469"/>
        <v>5.187242873953897E-2</v>
      </c>
      <c r="Y263" s="223">
        <f t="shared" si="470"/>
        <v>10390.123691826322</v>
      </c>
      <c r="Z263" s="224">
        <f t="shared" si="471"/>
        <v>519.50618459131613</v>
      </c>
      <c r="AA263" s="365">
        <v>158079.4</v>
      </c>
      <c r="AB263" s="365">
        <v>10273.299999999999</v>
      </c>
      <c r="AC263" s="225">
        <f>Artengliederung!AE263</f>
        <v>107371.25</v>
      </c>
      <c r="AD263" s="223">
        <f>AC263*'KiGa - PS'!L264</f>
        <v>89624.288237702451</v>
      </c>
      <c r="AE263" s="226">
        <f t="shared" si="463"/>
        <v>7.4574497263515227E-2</v>
      </c>
      <c r="AF263" s="223">
        <f t="shared" si="472"/>
        <v>14937.381372950409</v>
      </c>
      <c r="AG263" s="224">
        <f t="shared" si="473"/>
        <v>746.86906864752041</v>
      </c>
      <c r="AH263" s="225">
        <f>AA263-AB263</f>
        <v>147806.1</v>
      </c>
      <c r="AI263" s="223">
        <f>AH263*'KiGa - PS'!L264</f>
        <v>123375.82462428883</v>
      </c>
      <c r="AJ263" s="226">
        <f t="shared" si="474"/>
        <v>0.10265844534715632</v>
      </c>
      <c r="AK263" s="223">
        <f t="shared" si="475"/>
        <v>20562.637437381472</v>
      </c>
      <c r="AL263" s="224">
        <f t="shared" si="476"/>
        <v>1028.1318718690736</v>
      </c>
      <c r="AM263" s="365">
        <v>13038.65</v>
      </c>
      <c r="AN263" s="223">
        <f>AM263*'KiGa - PS'!L264</f>
        <v>10883.544019749412</v>
      </c>
      <c r="AO263" s="226">
        <f t="shared" si="477"/>
        <v>9.0559695332310362E-3</v>
      </c>
      <c r="AP263" s="223">
        <f t="shared" si="478"/>
        <v>1813.9240032915686</v>
      </c>
      <c r="AQ263" s="224">
        <f t="shared" si="464"/>
        <v>90.696200164578428</v>
      </c>
      <c r="AR263" s="223">
        <f>Artengliederung!X263*'KiGa - PS'!L264</f>
        <v>51001.026916643139</v>
      </c>
      <c r="AS263" s="226">
        <f t="shared" si="479"/>
        <v>4.2436888671788589E-2</v>
      </c>
      <c r="AT263" s="223">
        <f t="shared" si="480"/>
        <v>8500.1711527738571</v>
      </c>
      <c r="AU263" s="223">
        <f t="shared" si="481"/>
        <v>425.00855763869282</v>
      </c>
      <c r="AV263" s="227">
        <f t="shared" si="482"/>
        <v>1.718391862785644E-2</v>
      </c>
    </row>
    <row r="264" spans="1:48" x14ac:dyDescent="0.25">
      <c r="A264" s="365" t="s">
        <v>223</v>
      </c>
      <c r="B264" s="365" t="s">
        <v>217</v>
      </c>
      <c r="C264" s="328">
        <v>1</v>
      </c>
      <c r="D264" s="328">
        <f>Kennzahlen!H264</f>
        <v>27</v>
      </c>
      <c r="E264" s="223">
        <f>'KiGa - PS'!F265+Funktional!H264*'KiGa - PS'!L265</f>
        <v>708457.99893302424</v>
      </c>
      <c r="F264" s="223">
        <f t="shared" si="483"/>
        <v>708457.99893302424</v>
      </c>
      <c r="G264" s="224">
        <f t="shared" si="462"/>
        <v>26239.185145667565</v>
      </c>
      <c r="H264" s="223">
        <f>I264-'KiGa - PS'!H265</f>
        <v>559066.85</v>
      </c>
      <c r="I264" s="223">
        <f t="shared" si="484"/>
        <v>902978.15</v>
      </c>
      <c r="J264" s="365">
        <v>916573.65</v>
      </c>
      <c r="K264" s="365">
        <v>30081.5</v>
      </c>
      <c r="L264" s="365">
        <v>0</v>
      </c>
      <c r="M264" s="365">
        <v>-16486</v>
      </c>
      <c r="N264" s="365"/>
      <c r="O264" s="365"/>
      <c r="P264" s="365">
        <v>630517.19999999995</v>
      </c>
      <c r="Q264" s="27">
        <f t="shared" si="485"/>
        <v>647003.19999999995</v>
      </c>
      <c r="R264" s="223">
        <f>(Q264-'KiGa - PS'!H265)*'KiGa - PS'!L265+'KiGa - PS'!F265</f>
        <v>507625.34218049818</v>
      </c>
      <c r="S264" s="226">
        <f t="shared" si="466"/>
        <v>0.71652143520859268</v>
      </c>
      <c r="T264" s="223">
        <f t="shared" si="467"/>
        <v>507625.34218049818</v>
      </c>
      <c r="U264" s="224">
        <f t="shared" si="468"/>
        <v>18800.93859927771</v>
      </c>
      <c r="V264" s="365">
        <v>49835.65</v>
      </c>
      <c r="W264" s="223">
        <f>V264*'KiGa - PS'!L265</f>
        <v>39100.02127352314</v>
      </c>
      <c r="X264" s="226">
        <f t="shared" si="469"/>
        <v>5.5190316620618116E-2</v>
      </c>
      <c r="Y264" s="223">
        <f t="shared" si="470"/>
        <v>39100.02127352314</v>
      </c>
      <c r="Z264" s="224">
        <f t="shared" si="471"/>
        <v>1448.1489360564126</v>
      </c>
      <c r="AA264" s="365">
        <v>77350</v>
      </c>
      <c r="AB264" s="365">
        <v>43543.95</v>
      </c>
      <c r="AC264" s="225">
        <f>Artengliederung!AE264</f>
        <v>0</v>
      </c>
      <c r="AD264" s="223">
        <f>AC264*'KiGa - PS'!L265</f>
        <v>0</v>
      </c>
      <c r="AE264" s="226">
        <f t="shared" si="463"/>
        <v>0</v>
      </c>
      <c r="AF264" s="223">
        <f t="shared" si="472"/>
        <v>0</v>
      </c>
      <c r="AG264" s="224">
        <f t="shared" si="473"/>
        <v>0</v>
      </c>
      <c r="AH264" s="225">
        <f t="shared" si="465"/>
        <v>33806.050000000003</v>
      </c>
      <c r="AI264" s="223">
        <f>AH264*'KiGa - PS'!L265</f>
        <v>26523.52832106709</v>
      </c>
      <c r="AJ264" s="226">
        <f t="shared" si="474"/>
        <v>3.7438392058545385E-2</v>
      </c>
      <c r="AK264" s="223">
        <f t="shared" si="475"/>
        <v>26523.52832106709</v>
      </c>
      <c r="AL264" s="224">
        <f t="shared" si="476"/>
        <v>982.35290078026253</v>
      </c>
      <c r="AM264" s="365">
        <v>10956.05</v>
      </c>
      <c r="AN264" s="223">
        <f>AM264*'KiGa - PS'!L265</f>
        <v>8595.8904533959758</v>
      </c>
      <c r="AO264" s="226">
        <f t="shared" si="477"/>
        <v>1.2133239325890664E-2</v>
      </c>
      <c r="AP264" s="223">
        <f t="shared" si="478"/>
        <v>8595.8904533959758</v>
      </c>
      <c r="AQ264" s="224">
        <f t="shared" si="464"/>
        <v>318.36631308873984</v>
      </c>
      <c r="AR264" s="223">
        <f>Artengliederung!X264*'KiGa - PS'!L265</f>
        <v>0</v>
      </c>
      <c r="AS264" s="226">
        <f t="shared" si="479"/>
        <v>0</v>
      </c>
      <c r="AT264" s="223">
        <f t="shared" si="480"/>
        <v>0</v>
      </c>
      <c r="AU264" s="223">
        <f t="shared" si="481"/>
        <v>0</v>
      </c>
      <c r="AV264" s="227">
        <f t="shared" si="482"/>
        <v>0.17871661678635314</v>
      </c>
    </row>
    <row r="265" spans="1:48" x14ac:dyDescent="0.25">
      <c r="A265" s="365" t="s">
        <v>216</v>
      </c>
      <c r="B265" s="365" t="s">
        <v>224</v>
      </c>
      <c r="C265" s="328">
        <v>0.5</v>
      </c>
      <c r="D265" s="328">
        <f>Kennzahlen!D265</f>
        <v>15</v>
      </c>
      <c r="E265" s="223">
        <f>H265*'KiGa - PS'!L266+'KiGa - PS'!C266</f>
        <v>101947.20103998584</v>
      </c>
      <c r="F265" s="223">
        <f t="shared" si="483"/>
        <v>203894.40207997168</v>
      </c>
      <c r="G265" s="224">
        <f t="shared" si="462"/>
        <v>6796.4800693323896</v>
      </c>
      <c r="H265" s="223">
        <f>I265-'KiGa - PS'!H266</f>
        <v>269589.05</v>
      </c>
      <c r="I265" s="223">
        <f t="shared" si="484"/>
        <v>630336.75</v>
      </c>
      <c r="J265" s="365">
        <v>954526.95</v>
      </c>
      <c r="K265" s="365">
        <v>0</v>
      </c>
      <c r="L265" s="365">
        <v>0</v>
      </c>
      <c r="M265" s="365">
        <v>324190.2</v>
      </c>
      <c r="N265" s="365"/>
      <c r="O265" s="365"/>
      <c r="P265" s="365">
        <v>674807.55</v>
      </c>
      <c r="Q265" s="27">
        <f t="shared" si="485"/>
        <v>350617.35000000003</v>
      </c>
      <c r="R265" s="223">
        <f>(Q265-'KiGa - PS'!H266)*'KiGa - PS'!L266+'KiGa - PS'!C266</f>
        <v>56706.922876632343</v>
      </c>
      <c r="S265" s="226">
        <f t="shared" si="466"/>
        <v>0.55623815365358287</v>
      </c>
      <c r="T265" s="223">
        <f t="shared" si="467"/>
        <v>113413.84575326469</v>
      </c>
      <c r="U265" s="224">
        <f t="shared" si="468"/>
        <v>3780.461525108823</v>
      </c>
      <c r="V265" s="365">
        <v>40920.199999999997</v>
      </c>
      <c r="W265" s="223">
        <f>V265*'KiGa - PS'!L266</f>
        <v>6618.2082133025369</v>
      </c>
      <c r="X265" s="226">
        <f t="shared" si="469"/>
        <v>6.491799819699548E-2</v>
      </c>
      <c r="Y265" s="223">
        <f t="shared" si="470"/>
        <v>13236.416426605074</v>
      </c>
      <c r="Z265" s="224">
        <f t="shared" si="471"/>
        <v>441.2138808868358</v>
      </c>
      <c r="AA265" s="365">
        <v>140502.65</v>
      </c>
      <c r="AB265" s="365">
        <v>23655</v>
      </c>
      <c r="AC265" s="225">
        <f>Artengliederung!AE265</f>
        <v>45243</v>
      </c>
      <c r="AD265" s="223">
        <f>AC265*'KiGa - PS'!L266</f>
        <v>7317.3541232556709</v>
      </c>
      <c r="AE265" s="226">
        <f t="shared" si="463"/>
        <v>7.177591977621485E-2</v>
      </c>
      <c r="AF265" s="223">
        <f t="shared" si="472"/>
        <v>14634.708246511342</v>
      </c>
      <c r="AG265" s="224">
        <f t="shared" si="473"/>
        <v>487.82360821704475</v>
      </c>
      <c r="AH265" s="225">
        <f t="shared" si="465"/>
        <v>116847.65</v>
      </c>
      <c r="AI265" s="223">
        <f>AH265*'KiGa - PS'!L266</f>
        <v>18898.296609867502</v>
      </c>
      <c r="AJ265" s="226">
        <f t="shared" si="474"/>
        <v>0.18537337383549346</v>
      </c>
      <c r="AK265" s="223">
        <f t="shared" si="475"/>
        <v>37796.593219735005</v>
      </c>
      <c r="AL265" s="224">
        <f t="shared" si="476"/>
        <v>1259.8864406578334</v>
      </c>
      <c r="AM265" s="365">
        <v>3195</v>
      </c>
      <c r="AN265" s="223">
        <f>AM265*'KiGa - PS'!L266</f>
        <v>516.74173736935813</v>
      </c>
      <c r="AO265" s="226">
        <f t="shared" si="477"/>
        <v>5.0687192203215181E-3</v>
      </c>
      <c r="AP265" s="223">
        <f t="shared" si="478"/>
        <v>1033.4834747387163</v>
      </c>
      <c r="AQ265" s="224">
        <f t="shared" si="464"/>
        <v>34.449449157957211</v>
      </c>
      <c r="AR265" s="223">
        <f>Artengliederung!X265*'KiGa - PS'!L266</f>
        <v>5890.3867759517243</v>
      </c>
      <c r="AS265" s="226">
        <f t="shared" si="479"/>
        <v>5.7778798396254064E-2</v>
      </c>
      <c r="AT265" s="223">
        <f t="shared" si="480"/>
        <v>11780.773551903449</v>
      </c>
      <c r="AU265" s="223">
        <f t="shared" si="481"/>
        <v>392.69245173011495</v>
      </c>
      <c r="AV265" s="227">
        <f t="shared" si="482"/>
        <v>5.8847036921137727E-2</v>
      </c>
    </row>
    <row r="266" spans="1:48" x14ac:dyDescent="0.25">
      <c r="A266" s="365" t="s">
        <v>218</v>
      </c>
      <c r="B266" s="365" t="s">
        <v>224</v>
      </c>
      <c r="C266" s="328">
        <v>2</v>
      </c>
      <c r="D266" s="328">
        <f>Kennzahlen!D266</f>
        <v>42</v>
      </c>
      <c r="E266" s="223">
        <f>H266*'KiGa - PS'!L267+'KiGa - PS'!C267</f>
        <v>256447.28254252655</v>
      </c>
      <c r="F266" s="223">
        <f t="shared" si="483"/>
        <v>128223.64127126327</v>
      </c>
      <c r="G266" s="224">
        <f t="shared" si="462"/>
        <v>6105.8876795839651</v>
      </c>
      <c r="H266" s="223">
        <f>I266-'KiGa - PS'!H267</f>
        <v>586405.5</v>
      </c>
      <c r="I266" s="223">
        <f t="shared" si="484"/>
        <v>1311376.1000000001</v>
      </c>
      <c r="J266" s="365">
        <v>2081023.45</v>
      </c>
      <c r="K266" s="365">
        <v>100926.5</v>
      </c>
      <c r="L266" s="365">
        <v>0</v>
      </c>
      <c r="M266" s="365">
        <v>668720.85</v>
      </c>
      <c r="N266" s="365"/>
      <c r="O266" s="365"/>
      <c r="P266" s="365">
        <v>1344844.6</v>
      </c>
      <c r="Q266" s="27">
        <f t="shared" si="485"/>
        <v>676123.75000000012</v>
      </c>
      <c r="R266" s="223">
        <f>(Q266-'KiGa - PS'!H267)*'KiGa - PS'!L267+'KiGa - PS'!C267</f>
        <v>132219.96218320786</v>
      </c>
      <c r="S266" s="226">
        <f t="shared" si="466"/>
        <v>0.51558340128358304</v>
      </c>
      <c r="T266" s="223">
        <f t="shared" si="467"/>
        <v>66109.981091603928</v>
      </c>
      <c r="U266" s="224">
        <f t="shared" si="468"/>
        <v>3148.0943376954251</v>
      </c>
      <c r="V266" s="365">
        <v>88002.25</v>
      </c>
      <c r="W266" s="223">
        <f>V266*'KiGa - PS'!L267</f>
        <v>17209.355782927607</v>
      </c>
      <c r="X266" s="226">
        <f t="shared" si="469"/>
        <v>6.7106797203334706E-2</v>
      </c>
      <c r="Y266" s="223">
        <f t="shared" si="470"/>
        <v>8604.6778914638035</v>
      </c>
      <c r="Z266" s="224">
        <f t="shared" si="471"/>
        <v>409.74656626018111</v>
      </c>
      <c r="AA266" s="365">
        <v>186520.1</v>
      </c>
      <c r="AB266" s="365">
        <v>60814.35</v>
      </c>
      <c r="AC266" s="225">
        <f>Artengliederung!AE266</f>
        <v>260000</v>
      </c>
      <c r="AD266" s="223">
        <f>AC266*'KiGa - PS'!L267</f>
        <v>50844.523902072709</v>
      </c>
      <c r="AE266" s="226">
        <f t="shared" si="463"/>
        <v>0.19826501337030616</v>
      </c>
      <c r="AF266" s="223">
        <f t="shared" si="472"/>
        <v>25422.261951036355</v>
      </c>
      <c r="AG266" s="224">
        <f t="shared" si="473"/>
        <v>1210.5839024303027</v>
      </c>
      <c r="AH266" s="225">
        <f t="shared" si="465"/>
        <v>125705.75</v>
      </c>
      <c r="AI266" s="223">
        <f>AH266*'KiGa - PS'!L267</f>
        <v>24582.496194242216</v>
      </c>
      <c r="AJ266" s="226">
        <f t="shared" si="474"/>
        <v>9.585789309413216E-2</v>
      </c>
      <c r="AK266" s="223">
        <f t="shared" si="475"/>
        <v>12291.248097121108</v>
      </c>
      <c r="AL266" s="224">
        <f t="shared" si="476"/>
        <v>585.29752843433846</v>
      </c>
      <c r="AM266" s="365">
        <v>12878.05</v>
      </c>
      <c r="AN266" s="223">
        <f>AM266*'KiGa - PS'!L267</f>
        <v>2518.3781578349517</v>
      </c>
      <c r="AO266" s="226">
        <f t="shared" si="477"/>
        <v>9.8202567516671967E-3</v>
      </c>
      <c r="AP266" s="223">
        <f t="shared" si="478"/>
        <v>1259.1890789174759</v>
      </c>
      <c r="AQ266" s="224">
        <f t="shared" si="464"/>
        <v>59.961384710355993</v>
      </c>
      <c r="AR266" s="223">
        <f>Artengliederung!X266*'KiGa - PS'!L267</f>
        <v>11610.796811518976</v>
      </c>
      <c r="AS266" s="226">
        <f t="shared" si="479"/>
        <v>4.5275569685919996E-2</v>
      </c>
      <c r="AT266" s="223">
        <f t="shared" si="480"/>
        <v>5805.398405759488</v>
      </c>
      <c r="AU266" s="223">
        <f t="shared" si="481"/>
        <v>276.44754313140419</v>
      </c>
      <c r="AV266" s="227">
        <f t="shared" si="482"/>
        <v>6.8091068611056738E-2</v>
      </c>
    </row>
    <row r="267" spans="1:48" x14ac:dyDescent="0.25">
      <c r="A267" s="365" t="s">
        <v>219</v>
      </c>
      <c r="B267" s="365" t="s">
        <v>224</v>
      </c>
      <c r="C267" s="328">
        <v>2</v>
      </c>
      <c r="D267" s="328">
        <f>Kennzahlen!D267</f>
        <v>26</v>
      </c>
      <c r="E267" s="223">
        <f>H267*'KiGa - PS'!L268+'KiGa - PS'!C268</f>
        <v>200475.19784215558</v>
      </c>
      <c r="F267" s="223">
        <f t="shared" si="483"/>
        <v>100237.59892107779</v>
      </c>
      <c r="G267" s="224">
        <f t="shared" si="462"/>
        <v>7710.5845323905996</v>
      </c>
      <c r="H267" s="223">
        <f>I267-'KiGa - PS'!H268</f>
        <v>546372.89999999991</v>
      </c>
      <c r="I267" s="223">
        <f t="shared" si="484"/>
        <v>1214619.6499999999</v>
      </c>
      <c r="J267" s="365">
        <v>1632657.5</v>
      </c>
      <c r="K267" s="365">
        <v>12760.25</v>
      </c>
      <c r="L267" s="365">
        <v>0</v>
      </c>
      <c r="M267" s="365">
        <v>405277.6</v>
      </c>
      <c r="N267" s="365"/>
      <c r="O267" s="365"/>
      <c r="P267" s="365">
        <v>1025914.2</v>
      </c>
      <c r="Q267" s="27">
        <f t="shared" si="485"/>
        <v>620636.6</v>
      </c>
      <c r="R267" s="223">
        <f>(Q267-'KiGa - PS'!H268)*'KiGa - PS'!L268+'KiGa - PS'!C268</f>
        <v>102437.20754318671</v>
      </c>
      <c r="S267" s="226">
        <f t="shared" si="466"/>
        <v>0.5109719738191294</v>
      </c>
      <c r="T267" s="223">
        <f t="shared" si="467"/>
        <v>51218.603771593356</v>
      </c>
      <c r="U267" s="224">
        <f t="shared" si="468"/>
        <v>3939.8925978148736</v>
      </c>
      <c r="V267" s="365">
        <v>47125.05</v>
      </c>
      <c r="W267" s="223">
        <f>V267*'KiGa - PS'!L268</f>
        <v>7778.07581333916</v>
      </c>
      <c r="X267" s="226">
        <f t="shared" si="469"/>
        <v>3.8798194974039822E-2</v>
      </c>
      <c r="Y267" s="223">
        <f t="shared" si="470"/>
        <v>3889.03790666958</v>
      </c>
      <c r="Z267" s="224">
        <f t="shared" si="471"/>
        <v>299.15676205150618</v>
      </c>
      <c r="AA267" s="365">
        <v>128423.65</v>
      </c>
      <c r="AB267" s="365">
        <v>10210</v>
      </c>
      <c r="AC267" s="225">
        <f>Artengliederung!AE267</f>
        <v>202000</v>
      </c>
      <c r="AD267" s="223">
        <f>AC267*'KiGa - PS'!L268</f>
        <v>33340.469968615638</v>
      </c>
      <c r="AE267" s="226">
        <f t="shared" si="463"/>
        <v>0.16630720571662089</v>
      </c>
      <c r="AF267" s="223">
        <f t="shared" si="472"/>
        <v>16670.234984307819</v>
      </c>
      <c r="AG267" s="224">
        <f t="shared" si="473"/>
        <v>1282.3257680236784</v>
      </c>
      <c r="AH267" s="225">
        <f t="shared" si="465"/>
        <v>118213.65</v>
      </c>
      <c r="AI267" s="223">
        <f>AH267*'KiGa - PS'!L268</f>
        <v>19511.379444086335</v>
      </c>
      <c r="AJ267" s="226">
        <f t="shared" si="474"/>
        <v>9.7325652520111966E-2</v>
      </c>
      <c r="AK267" s="223">
        <f t="shared" si="475"/>
        <v>9755.6897220431674</v>
      </c>
      <c r="AL267" s="224">
        <f t="shared" si="476"/>
        <v>750.43767092639746</v>
      </c>
      <c r="AM267" s="365">
        <v>8819.0499999999993</v>
      </c>
      <c r="AN267" s="223">
        <f>AM267*'KiGa - PS'!L268</f>
        <v>1455.600354835246</v>
      </c>
      <c r="AO267" s="226">
        <f t="shared" si="477"/>
        <v>7.2607503097780451E-3</v>
      </c>
      <c r="AP267" s="223">
        <f t="shared" si="478"/>
        <v>727.80017741762299</v>
      </c>
      <c r="AQ267" s="224">
        <f t="shared" si="464"/>
        <v>55.984629032124843</v>
      </c>
      <c r="AR267" s="223">
        <f>Artengliederung!X267*'KiGa - PS'!L268</f>
        <v>32029.793374453373</v>
      </c>
      <c r="AS267" s="226">
        <f t="shared" si="479"/>
        <v>0.15976935660476102</v>
      </c>
      <c r="AT267" s="223">
        <f t="shared" si="480"/>
        <v>16014.896687226686</v>
      </c>
      <c r="AU267" s="223">
        <f t="shared" si="481"/>
        <v>1231.9151297866681</v>
      </c>
      <c r="AV267" s="227">
        <f t="shared" si="482"/>
        <v>1.9566866055558907E-2</v>
      </c>
    </row>
    <row r="268" spans="1:48" x14ac:dyDescent="0.25">
      <c r="A268" s="365" t="s">
        <v>220</v>
      </c>
      <c r="B268" s="365" t="s">
        <v>224</v>
      </c>
      <c r="C268" s="328">
        <v>0.5</v>
      </c>
      <c r="D268" s="328">
        <f>Kennzahlen!D268</f>
        <v>12</v>
      </c>
      <c r="E268" s="223">
        <f>H268*'KiGa - PS'!L269+'KiGa - PS'!C269</f>
        <v>77706.517293068347</v>
      </c>
      <c r="F268" s="223">
        <f t="shared" si="483"/>
        <v>155413.03458613669</v>
      </c>
      <c r="G268" s="224">
        <f t="shared" si="462"/>
        <v>6475.5431077556959</v>
      </c>
      <c r="H268" s="223">
        <f>I268-'KiGa - PS'!H269</f>
        <v>-47478.95000000007</v>
      </c>
      <c r="I268" s="223">
        <f t="shared" si="484"/>
        <v>656845.44999999995</v>
      </c>
      <c r="J268" s="365">
        <v>860274.3</v>
      </c>
      <c r="K268" s="365">
        <v>554.9</v>
      </c>
      <c r="L268" s="365">
        <v>0</v>
      </c>
      <c r="M268" s="365">
        <v>202873.95</v>
      </c>
      <c r="N268" s="365"/>
      <c r="O268" s="365"/>
      <c r="P268" s="365">
        <v>714120.95</v>
      </c>
      <c r="Q268" s="27">
        <f t="shared" si="485"/>
        <v>511246.99999999994</v>
      </c>
      <c r="R268" s="223">
        <f>(Q268-'KiGa - PS'!H269)*'KiGa - PS'!L269+'KiGa - PS'!C269</f>
        <v>60481.843706962289</v>
      </c>
      <c r="S268" s="226">
        <f t="shared" si="466"/>
        <v>0.77833682185055864</v>
      </c>
      <c r="T268" s="223">
        <f t="shared" si="467"/>
        <v>120963.68741392458</v>
      </c>
      <c r="U268" s="224">
        <f t="shared" si="468"/>
        <v>5040.1536422468571</v>
      </c>
      <c r="V268" s="365">
        <v>25674.6</v>
      </c>
      <c r="W268" s="223">
        <f>V268*'KiGa - PS'!L269</f>
        <v>3037.3716509608353</v>
      </c>
      <c r="X268" s="226">
        <f t="shared" si="469"/>
        <v>3.9087733651805005E-2</v>
      </c>
      <c r="Y268" s="223">
        <f t="shared" si="470"/>
        <v>6074.7433019216705</v>
      </c>
      <c r="Z268" s="224">
        <f t="shared" si="471"/>
        <v>253.11430424673628</v>
      </c>
      <c r="AA268" s="365">
        <v>61620.55</v>
      </c>
      <c r="AB268" s="365">
        <v>17600</v>
      </c>
      <c r="AC268" s="225">
        <f>Artengliederung!AE268</f>
        <v>29806</v>
      </c>
      <c r="AD268" s="223">
        <f>AC268*'KiGa - PS'!L269</f>
        <v>3526.126967062336</v>
      </c>
      <c r="AE268" s="226">
        <f t="shared" si="463"/>
        <v>4.5377493290088257E-2</v>
      </c>
      <c r="AF268" s="223">
        <f t="shared" si="472"/>
        <v>7052.253934124672</v>
      </c>
      <c r="AG268" s="224">
        <f t="shared" si="473"/>
        <v>293.84391392186131</v>
      </c>
      <c r="AH268" s="225">
        <f t="shared" si="465"/>
        <v>44020.55</v>
      </c>
      <c r="AI268" s="223">
        <f>AH268*'KiGa - PS'!L269</f>
        <v>5207.7450332119688</v>
      </c>
      <c r="AJ268" s="226">
        <f t="shared" si="474"/>
        <v>6.7018124278702101E-2</v>
      </c>
      <c r="AK268" s="223">
        <f t="shared" si="475"/>
        <v>10415.490066423938</v>
      </c>
      <c r="AL268" s="224">
        <f t="shared" si="476"/>
        <v>433.97875276766405</v>
      </c>
      <c r="AM268" s="365">
        <v>4617.6499999999996</v>
      </c>
      <c r="AN268" s="223">
        <f>AM268*'KiGa - PS'!L269</f>
        <v>546.2799499917935</v>
      </c>
      <c r="AO268" s="226">
        <f t="shared" si="477"/>
        <v>7.030040323793064E-3</v>
      </c>
      <c r="AP268" s="223">
        <f t="shared" si="478"/>
        <v>1092.559899983587</v>
      </c>
      <c r="AQ268" s="224">
        <f t="shared" si="464"/>
        <v>45.523329165982794</v>
      </c>
      <c r="AR268" s="223">
        <f>Artengliederung!X268*'KiGa - PS'!L269</f>
        <v>2366.0517795493097</v>
      </c>
      <c r="AS268" s="226">
        <f t="shared" si="479"/>
        <v>3.0448562900146452E-2</v>
      </c>
      <c r="AT268" s="223">
        <f t="shared" si="480"/>
        <v>4732.1035590986194</v>
      </c>
      <c r="AU268" s="223">
        <f t="shared" si="481"/>
        <v>197.17098162910915</v>
      </c>
      <c r="AV268" s="227">
        <f t="shared" si="482"/>
        <v>3.2701223704906482E-2</v>
      </c>
    </row>
    <row r="269" spans="1:48" x14ac:dyDescent="0.25">
      <c r="A269" s="365" t="s">
        <v>221</v>
      </c>
      <c r="B269" s="365" t="s">
        <v>224</v>
      </c>
      <c r="C269" s="328">
        <v>2</v>
      </c>
      <c r="D269" s="328">
        <f>Kennzahlen!D269</f>
        <v>32</v>
      </c>
      <c r="E269" s="223">
        <f>H269*'KiGa - PS'!L270+'KiGa - PS'!C270</f>
        <v>228792.10009729356</v>
      </c>
      <c r="F269" s="223">
        <f t="shared" si="483"/>
        <v>114396.05004864678</v>
      </c>
      <c r="G269" s="224">
        <f t="shared" si="462"/>
        <v>7149.7531280404237</v>
      </c>
      <c r="H269" s="223">
        <f>I269-'KiGa - PS'!H270</f>
        <v>580618.69999999995</v>
      </c>
      <c r="I269" s="223">
        <f t="shared" si="484"/>
        <v>1401562.15</v>
      </c>
      <c r="J269" s="365">
        <v>1680199.5</v>
      </c>
      <c r="K269" s="365">
        <v>14287.6</v>
      </c>
      <c r="L269" s="365">
        <v>415</v>
      </c>
      <c r="M269" s="365">
        <v>263934.75</v>
      </c>
      <c r="N269" s="365"/>
      <c r="O269" s="365"/>
      <c r="P269" s="365">
        <v>1200189.5</v>
      </c>
      <c r="Q269" s="27">
        <f t="shared" si="485"/>
        <v>936254.75</v>
      </c>
      <c r="R269" s="223">
        <f>(Q269-'KiGa - PS'!H270)*'KiGa - PS'!L270+'KiGa - PS'!C270</f>
        <v>152834.95667927861</v>
      </c>
      <c r="S269" s="226">
        <f t="shared" si="466"/>
        <v>0.66800801519932607</v>
      </c>
      <c r="T269" s="223">
        <f t="shared" si="467"/>
        <v>76417.478339639303</v>
      </c>
      <c r="U269" s="224">
        <f t="shared" si="468"/>
        <v>4776.0923962274564</v>
      </c>
      <c r="V269" s="365">
        <v>63942.55</v>
      </c>
      <c r="W269" s="223">
        <f>V269*'KiGa - PS'!L270</f>
        <v>10438.031806207238</v>
      </c>
      <c r="X269" s="226">
        <f t="shared" si="469"/>
        <v>4.5622343611376785E-2</v>
      </c>
      <c r="Y269" s="223">
        <f t="shared" si="470"/>
        <v>5219.0159031036192</v>
      </c>
      <c r="Z269" s="224">
        <f t="shared" si="471"/>
        <v>326.1884939439762</v>
      </c>
      <c r="AA269" s="365">
        <v>239951.3</v>
      </c>
      <c r="AB269" s="365">
        <v>22306.65</v>
      </c>
      <c r="AC269" s="225">
        <f>Artengliederung!AE269</f>
        <v>106028</v>
      </c>
      <c r="AD269" s="223">
        <f>AC269*'KiGa - PS'!L270</f>
        <v>17308.093536284381</v>
      </c>
      <c r="AE269" s="226">
        <f t="shared" si="463"/>
        <v>7.5649873963848119E-2</v>
      </c>
      <c r="AF269" s="223">
        <f t="shared" si="472"/>
        <v>8654.0467681421906</v>
      </c>
      <c r="AG269" s="224">
        <f t="shared" si="473"/>
        <v>540.87792300888691</v>
      </c>
      <c r="AH269" s="225">
        <f t="shared" si="465"/>
        <v>217644.65</v>
      </c>
      <c r="AI269" s="223">
        <f>AH269*'KiGa - PS'!L270</f>
        <v>35528.482663748036</v>
      </c>
      <c r="AJ269" s="226">
        <f t="shared" si="474"/>
        <v>0.15528719150984494</v>
      </c>
      <c r="AK269" s="223">
        <f t="shared" si="475"/>
        <v>17764.241331874018</v>
      </c>
      <c r="AL269" s="224">
        <f t="shared" si="476"/>
        <v>1110.2650832421261</v>
      </c>
      <c r="AM269" s="365">
        <v>4943.55</v>
      </c>
      <c r="AN269" s="223">
        <f>AM269*'KiGa - PS'!L270</f>
        <v>806.98896330496348</v>
      </c>
      <c r="AO269" s="226">
        <f t="shared" si="477"/>
        <v>3.5271714493716891E-3</v>
      </c>
      <c r="AP269" s="223">
        <f t="shared" si="478"/>
        <v>403.49448165248174</v>
      </c>
      <c r="AQ269" s="224">
        <f t="shared" si="464"/>
        <v>25.218405103280109</v>
      </c>
      <c r="AR269" s="223">
        <f>Artengliederung!X269*'KiGa - PS'!L270</f>
        <v>3659.3114551830586</v>
      </c>
      <c r="AS269" s="226">
        <f t="shared" si="479"/>
        <v>1.599404635748761E-2</v>
      </c>
      <c r="AT269" s="223">
        <f t="shared" si="480"/>
        <v>1829.6557275915293</v>
      </c>
      <c r="AU269" s="223">
        <f t="shared" si="481"/>
        <v>114.35348297447058</v>
      </c>
      <c r="AV269" s="227">
        <f t="shared" si="482"/>
        <v>3.5911357908744793E-2</v>
      </c>
    </row>
    <row r="270" spans="1:48" x14ac:dyDescent="0.25">
      <c r="A270" s="365" t="s">
        <v>222</v>
      </c>
      <c r="B270" s="365" t="s">
        <v>224</v>
      </c>
      <c r="C270" s="328">
        <v>2</v>
      </c>
      <c r="D270" s="328">
        <f>Kennzahlen!D270</f>
        <v>32</v>
      </c>
      <c r="E270" s="223">
        <f>H270*'KiGa - PS'!L271+'KiGa - PS'!C271</f>
        <v>237976.28429980815</v>
      </c>
      <c r="F270" s="223">
        <f t="shared" si="483"/>
        <v>118988.14214990407</v>
      </c>
      <c r="G270" s="224">
        <f t="shared" si="462"/>
        <v>7436.7588843690046</v>
      </c>
      <c r="H270" s="223">
        <f>I270-'KiGa - PS'!H271</f>
        <v>358056.60000000009</v>
      </c>
      <c r="I270" s="223">
        <f t="shared" si="484"/>
        <v>1439785.1</v>
      </c>
      <c r="J270" s="365">
        <v>2012871.75</v>
      </c>
      <c r="K270" s="365">
        <v>62232</v>
      </c>
      <c r="L270" s="365">
        <v>0</v>
      </c>
      <c r="M270" s="365">
        <v>510854.65</v>
      </c>
      <c r="N270" s="365"/>
      <c r="O270" s="365"/>
      <c r="P270" s="365">
        <v>1521897.45</v>
      </c>
      <c r="Q270" s="27">
        <f t="shared" si="485"/>
        <v>1011042.7999999999</v>
      </c>
      <c r="R270" s="223">
        <f>(Q270-'KiGa - PS'!H271)*'KiGa - PS'!L271+'KiGa - PS'!C271</f>
        <v>167111.19514438233</v>
      </c>
      <c r="S270" s="226">
        <f t="shared" si="466"/>
        <v>0.70221785181691343</v>
      </c>
      <c r="T270" s="223">
        <f t="shared" si="467"/>
        <v>83555.597572191167</v>
      </c>
      <c r="U270" s="224">
        <f t="shared" si="468"/>
        <v>5222.224848261948</v>
      </c>
      <c r="V270" s="365">
        <v>74685.149999999994</v>
      </c>
      <c r="W270" s="223">
        <f>V270*'KiGa - PS'!L271</f>
        <v>12344.407849042063</v>
      </c>
      <c r="X270" s="226">
        <f t="shared" si="469"/>
        <v>5.1872428739538963E-2</v>
      </c>
      <c r="Y270" s="223">
        <f t="shared" si="470"/>
        <v>6172.2039245210317</v>
      </c>
      <c r="Z270" s="224">
        <f t="shared" si="471"/>
        <v>385.76274528256448</v>
      </c>
      <c r="AA270" s="365">
        <v>158079.4</v>
      </c>
      <c r="AB270" s="365">
        <v>10273.299999999999</v>
      </c>
      <c r="AC270" s="225">
        <f>Artengliederung!AE270</f>
        <v>107371.25</v>
      </c>
      <c r="AD270" s="223">
        <f>AC270*'KiGa - PS'!L271</f>
        <v>17746.961762297564</v>
      </c>
      <c r="AE270" s="226">
        <f t="shared" si="463"/>
        <v>7.4574497263515227E-2</v>
      </c>
      <c r="AF270" s="223">
        <f t="shared" si="472"/>
        <v>8873.4808811487819</v>
      </c>
      <c r="AG270" s="224">
        <f t="shared" si="473"/>
        <v>554.59255507179887</v>
      </c>
      <c r="AH270" s="225">
        <f>AA270-AB270</f>
        <v>147806.1</v>
      </c>
      <c r="AI270" s="223">
        <f>AH270*'KiGa - PS'!L271</f>
        <v>24430.27537571119</v>
      </c>
      <c r="AJ270" s="226">
        <f t="shared" si="474"/>
        <v>0.10265844534715632</v>
      </c>
      <c r="AK270" s="223">
        <f t="shared" si="475"/>
        <v>12215.137687855595</v>
      </c>
      <c r="AL270" s="224">
        <f t="shared" si="476"/>
        <v>763.44610549097467</v>
      </c>
      <c r="AM270" s="365">
        <v>13038.65</v>
      </c>
      <c r="AN270" s="223">
        <f>AM270*'KiGa - PS'!L271</f>
        <v>2155.1059802505897</v>
      </c>
      <c r="AO270" s="226">
        <f t="shared" si="477"/>
        <v>9.0559695332310345E-3</v>
      </c>
      <c r="AP270" s="223">
        <f t="shared" si="478"/>
        <v>1077.5529901252949</v>
      </c>
      <c r="AQ270" s="224">
        <f t="shared" si="464"/>
        <v>67.347061882830928</v>
      </c>
      <c r="AR270" s="223">
        <f>Artengliederung!X270*'KiGa - PS'!L271</f>
        <v>10098.973083356868</v>
      </c>
      <c r="AS270" s="226">
        <f t="shared" si="479"/>
        <v>4.2436888671788589E-2</v>
      </c>
      <c r="AT270" s="223">
        <f t="shared" si="480"/>
        <v>5049.4865416784342</v>
      </c>
      <c r="AU270" s="223">
        <f t="shared" si="481"/>
        <v>315.59290885490213</v>
      </c>
      <c r="AV270" s="227">
        <f t="shared" si="482"/>
        <v>1.7183918627856447E-2</v>
      </c>
    </row>
    <row r="271" spans="1:48" x14ac:dyDescent="0.25">
      <c r="A271" s="365" t="s">
        <v>223</v>
      </c>
      <c r="B271" s="365" t="s">
        <v>224</v>
      </c>
      <c r="C271" s="328">
        <v>1</v>
      </c>
      <c r="D271" s="328">
        <f>Kennzahlen!D271</f>
        <v>20</v>
      </c>
      <c r="E271" s="223">
        <f>H271*'KiGa - PS'!L272+'KiGa - PS'!C272</f>
        <v>194520.15106697567</v>
      </c>
      <c r="F271" s="223">
        <f t="shared" si="483"/>
        <v>194520.15106697567</v>
      </c>
      <c r="G271" s="224">
        <f t="shared" si="462"/>
        <v>9726.0075533487834</v>
      </c>
      <c r="H271" s="223">
        <f>I271-'KiGa - PS'!H272</f>
        <v>559066.85</v>
      </c>
      <c r="I271" s="223">
        <f t="shared" si="484"/>
        <v>902978.15</v>
      </c>
      <c r="J271" s="365">
        <v>916573.65</v>
      </c>
      <c r="K271" s="365">
        <v>30081.5</v>
      </c>
      <c r="L271" s="365">
        <v>0</v>
      </c>
      <c r="M271" s="365">
        <v>-16486</v>
      </c>
      <c r="N271" s="365"/>
      <c r="O271" s="365"/>
      <c r="P271" s="365">
        <v>630517.19999999995</v>
      </c>
      <c r="Q271" s="27">
        <f t="shared" si="485"/>
        <v>647003.19999999995</v>
      </c>
      <c r="R271" s="223">
        <f>(Q271-'KiGa - PS'!H272)*'KiGa - PS'!L272+'KiGa - PS'!C272</f>
        <v>139377.85781950169</v>
      </c>
      <c r="S271" s="226">
        <f t="shared" si="466"/>
        <v>0.71652143520859279</v>
      </c>
      <c r="T271" s="223">
        <f t="shared" si="467"/>
        <v>139377.85781950169</v>
      </c>
      <c r="U271" s="224">
        <f t="shared" si="468"/>
        <v>6968.8928909750848</v>
      </c>
      <c r="V271" s="365">
        <v>49835.65</v>
      </c>
      <c r="W271" s="223">
        <f>V271*'KiGa - PS'!L272</f>
        <v>10735.628726476856</v>
      </c>
      <c r="X271" s="226">
        <f t="shared" si="469"/>
        <v>5.5190316620618129E-2</v>
      </c>
      <c r="Y271" s="223">
        <f t="shared" si="470"/>
        <v>10735.628726476856</v>
      </c>
      <c r="Z271" s="224">
        <f t="shared" si="471"/>
        <v>536.78143632384285</v>
      </c>
      <c r="AA271" s="365">
        <v>77350</v>
      </c>
      <c r="AB271" s="365">
        <v>43543.95</v>
      </c>
      <c r="AC271" s="225">
        <f>Artengliederung!AE271</f>
        <v>0</v>
      </c>
      <c r="AD271" s="223">
        <f>AC271*'KiGa - PS'!L272</f>
        <v>0</v>
      </c>
      <c r="AE271" s="226">
        <f t="shared" si="463"/>
        <v>0</v>
      </c>
      <c r="AF271" s="223">
        <f t="shared" si="472"/>
        <v>0</v>
      </c>
      <c r="AG271" s="224">
        <f t="shared" si="473"/>
        <v>0</v>
      </c>
      <c r="AH271" s="225">
        <f t="shared" si="465"/>
        <v>33806.050000000003</v>
      </c>
      <c r="AI271" s="223">
        <f>AH271*'KiGa - PS'!L272</f>
        <v>7282.5216789329106</v>
      </c>
      <c r="AJ271" s="226">
        <f t="shared" si="474"/>
        <v>3.7438392058545385E-2</v>
      </c>
      <c r="AK271" s="223">
        <f t="shared" si="475"/>
        <v>7282.5216789329106</v>
      </c>
      <c r="AL271" s="224">
        <f t="shared" si="476"/>
        <v>364.12608394664551</v>
      </c>
      <c r="AM271" s="365">
        <v>10956.05</v>
      </c>
      <c r="AN271" s="223">
        <f>AM271*'KiGa - PS'!L272</f>
        <v>2360.1595466040221</v>
      </c>
      <c r="AO271" s="226">
        <f t="shared" si="477"/>
        <v>1.2133239325890664E-2</v>
      </c>
      <c r="AP271" s="223">
        <f t="shared" si="478"/>
        <v>2360.1595466040221</v>
      </c>
      <c r="AQ271" s="224">
        <f t="shared" si="464"/>
        <v>118.0079773302011</v>
      </c>
      <c r="AR271" s="223">
        <f>Artengliederung!X271*'KiGa - PS'!L272</f>
        <v>0</v>
      </c>
      <c r="AS271" s="226">
        <f t="shared" si="479"/>
        <v>0</v>
      </c>
      <c r="AT271" s="223">
        <f t="shared" si="480"/>
        <v>0</v>
      </c>
      <c r="AU271" s="223">
        <f t="shared" si="481"/>
        <v>0</v>
      </c>
      <c r="AV271" s="227">
        <f t="shared" si="482"/>
        <v>0.17871661678635303</v>
      </c>
    </row>
    <row r="272" spans="1:48" ht="19.899999999999999" customHeight="1" x14ac:dyDescent="0.25">
      <c r="A272" s="365" t="s">
        <v>88</v>
      </c>
      <c r="B272" s="365" t="s">
        <v>37</v>
      </c>
      <c r="C272" s="328">
        <v>20</v>
      </c>
      <c r="D272" s="328">
        <f>Kennzahlen!H272</f>
        <v>321</v>
      </c>
      <c r="E272" s="223">
        <f t="shared" ref="E272:E300" si="486">I272</f>
        <v>6839031.9000000004</v>
      </c>
      <c r="F272" s="223">
        <f t="shared" si="483"/>
        <v>341951.59500000003</v>
      </c>
      <c r="G272" s="224">
        <f t="shared" ref="G272:G278" si="487">E272/D272</f>
        <v>21305.395327102804</v>
      </c>
      <c r="H272" s="223"/>
      <c r="I272" s="223">
        <f t="shared" si="484"/>
        <v>6839031.9000000004</v>
      </c>
      <c r="J272" s="365">
        <v>6888198.1500000004</v>
      </c>
      <c r="K272" s="365">
        <v>0</v>
      </c>
      <c r="L272" s="365">
        <v>0</v>
      </c>
      <c r="M272" s="365">
        <v>49166.25</v>
      </c>
      <c r="N272" s="365"/>
      <c r="O272" s="365"/>
      <c r="P272" s="365">
        <v>4076784.1</v>
      </c>
      <c r="Q272" s="27">
        <f t="shared" si="485"/>
        <v>4027617.85</v>
      </c>
      <c r="R272" s="223">
        <f t="shared" ref="R272:R300" si="488">Q272</f>
        <v>4027617.85</v>
      </c>
      <c r="S272" s="226">
        <f t="shared" si="466"/>
        <v>0.58891637133612429</v>
      </c>
      <c r="T272" s="223">
        <f t="shared" si="467"/>
        <v>201380.89250000002</v>
      </c>
      <c r="U272" s="224">
        <f t="shared" si="468"/>
        <v>12547.096105919003</v>
      </c>
      <c r="V272" s="365">
        <v>293879.15000000002</v>
      </c>
      <c r="W272" s="223">
        <f t="shared" ref="W272:W300" si="489">V272</f>
        <v>293879.15000000002</v>
      </c>
      <c r="X272" s="226">
        <f t="shared" si="469"/>
        <v>4.2970869897536228E-2</v>
      </c>
      <c r="Y272" s="223">
        <f t="shared" si="470"/>
        <v>14693.9575</v>
      </c>
      <c r="Z272" s="224">
        <f t="shared" si="471"/>
        <v>915.51137071651101</v>
      </c>
      <c r="AA272" s="365">
        <v>604844.44999999995</v>
      </c>
      <c r="AB272" s="365">
        <v>9069</v>
      </c>
      <c r="AC272" s="225">
        <f>Artengliederung!AE272</f>
        <v>604910</v>
      </c>
      <c r="AD272" s="223">
        <f t="shared" ref="AD272:AD300" si="490">AC272</f>
        <v>604910</v>
      </c>
      <c r="AE272" s="226">
        <f t="shared" ref="AE272:AE287" si="491">AD272/$E272</f>
        <v>8.8449653232352959E-2</v>
      </c>
      <c r="AF272" s="223">
        <f t="shared" si="472"/>
        <v>30245.5</v>
      </c>
      <c r="AG272" s="224">
        <f t="shared" si="473"/>
        <v>1884.4548286604361</v>
      </c>
      <c r="AH272" s="225">
        <f t="shared" ref="AH272:AH277" si="492">AA272-AB272</f>
        <v>595775.44999999995</v>
      </c>
      <c r="AI272" s="223">
        <f t="shared" ref="AI272:AI300" si="493">AH272</f>
        <v>595775.44999999995</v>
      </c>
      <c r="AJ272" s="226">
        <f t="shared" si="474"/>
        <v>8.7114003664758452E-2</v>
      </c>
      <c r="AK272" s="223">
        <f t="shared" si="475"/>
        <v>29788.772499999999</v>
      </c>
      <c r="AL272" s="224">
        <f t="shared" si="476"/>
        <v>1855.9982866043613</v>
      </c>
      <c r="AM272" s="365">
        <v>14264.65</v>
      </c>
      <c r="AN272" s="223">
        <f t="shared" ref="AN272:AN300" si="494">AM272</f>
        <v>14264.65</v>
      </c>
      <c r="AO272" s="226">
        <f t="shared" si="477"/>
        <v>2.0857703558891131E-3</v>
      </c>
      <c r="AP272" s="223">
        <f t="shared" si="478"/>
        <v>713.23249999999996</v>
      </c>
      <c r="AQ272" s="224">
        <f t="shared" ref="AQ272:AQ287" si="495">AN272/D272</f>
        <v>44.438161993769469</v>
      </c>
      <c r="AR272" s="223">
        <f>Artengliederung!X272</f>
        <v>287175.3</v>
      </c>
      <c r="AS272" s="226">
        <f t="shared" si="479"/>
        <v>4.1990636130824301E-2</v>
      </c>
      <c r="AT272" s="223">
        <f t="shared" si="480"/>
        <v>14358.764999999999</v>
      </c>
      <c r="AU272" s="223">
        <f t="shared" si="481"/>
        <v>894.62710280373824</v>
      </c>
      <c r="AV272" s="227">
        <f t="shared" si="482"/>
        <v>0.14847269538251465</v>
      </c>
    </row>
    <row r="273" spans="1:48" x14ac:dyDescent="0.25">
      <c r="A273" s="365" t="s">
        <v>89</v>
      </c>
      <c r="B273" s="365" t="s">
        <v>37</v>
      </c>
      <c r="C273" s="328">
        <v>17</v>
      </c>
      <c r="D273" s="328">
        <f>Kennzahlen!H273</f>
        <v>309</v>
      </c>
      <c r="E273" s="223">
        <f t="shared" si="486"/>
        <v>5041926</v>
      </c>
      <c r="F273" s="223">
        <f t="shared" si="483"/>
        <v>296583.8823529412</v>
      </c>
      <c r="G273" s="224">
        <f t="shared" si="487"/>
        <v>16316.912621359223</v>
      </c>
      <c r="H273" s="223"/>
      <c r="I273" s="223">
        <f t="shared" si="484"/>
        <v>5041926</v>
      </c>
      <c r="J273" s="365">
        <v>5245200.8499999996</v>
      </c>
      <c r="K273" s="365">
        <v>0</v>
      </c>
      <c r="L273" s="365">
        <v>0</v>
      </c>
      <c r="M273" s="365">
        <v>203274.85</v>
      </c>
      <c r="N273" s="365"/>
      <c r="O273" s="365"/>
      <c r="P273" s="365">
        <v>3866821.6</v>
      </c>
      <c r="Q273" s="27">
        <f t="shared" si="485"/>
        <v>3663546.75</v>
      </c>
      <c r="R273" s="223">
        <f t="shared" si="488"/>
        <v>3663546.75</v>
      </c>
      <c r="S273" s="226">
        <f t="shared" si="466"/>
        <v>0.7266165251136173</v>
      </c>
      <c r="T273" s="223">
        <f t="shared" si="467"/>
        <v>215502.75</v>
      </c>
      <c r="U273" s="224">
        <f t="shared" si="468"/>
        <v>11856.138349514564</v>
      </c>
      <c r="V273" s="365">
        <v>197100.9</v>
      </c>
      <c r="W273" s="223">
        <f t="shared" si="489"/>
        <v>197100.9</v>
      </c>
      <c r="X273" s="226">
        <f t="shared" si="469"/>
        <v>3.9092382553809792E-2</v>
      </c>
      <c r="Y273" s="223">
        <f t="shared" si="470"/>
        <v>11594.170588235294</v>
      </c>
      <c r="Z273" s="224">
        <f t="shared" si="471"/>
        <v>637.86699029126214</v>
      </c>
      <c r="AA273" s="365">
        <v>489856.6</v>
      </c>
      <c r="AB273" s="365">
        <v>124501.15</v>
      </c>
      <c r="AC273" s="225">
        <f>Artengliederung!AE273</f>
        <v>136339.65</v>
      </c>
      <c r="AD273" s="223">
        <f t="shared" si="490"/>
        <v>136339.65</v>
      </c>
      <c r="AE273" s="226">
        <f t="shared" si="491"/>
        <v>2.7041184261728551E-2</v>
      </c>
      <c r="AF273" s="223">
        <f t="shared" si="472"/>
        <v>8019.9794117647052</v>
      </c>
      <c r="AG273" s="224">
        <f t="shared" si="473"/>
        <v>441.22864077669902</v>
      </c>
      <c r="AH273" s="225">
        <f t="shared" si="492"/>
        <v>365355.44999999995</v>
      </c>
      <c r="AI273" s="223">
        <f t="shared" si="493"/>
        <v>365355.44999999995</v>
      </c>
      <c r="AJ273" s="226">
        <f t="shared" si="474"/>
        <v>7.2463469317082391E-2</v>
      </c>
      <c r="AK273" s="223">
        <f t="shared" si="475"/>
        <v>21491.497058823526</v>
      </c>
      <c r="AL273" s="224">
        <f t="shared" si="476"/>
        <v>1182.3800970873785</v>
      </c>
      <c r="AM273" s="365">
        <v>2341.6999999999998</v>
      </c>
      <c r="AN273" s="223">
        <f t="shared" si="494"/>
        <v>2341.6999999999998</v>
      </c>
      <c r="AO273" s="226">
        <f t="shared" si="477"/>
        <v>4.644455313306859E-4</v>
      </c>
      <c r="AP273" s="223">
        <f t="shared" si="478"/>
        <v>137.74705882352941</v>
      </c>
      <c r="AQ273" s="224">
        <f t="shared" si="495"/>
        <v>7.5783171521035593</v>
      </c>
      <c r="AR273" s="223">
        <f>Artengliederung!X273</f>
        <v>488343.75</v>
      </c>
      <c r="AS273" s="226">
        <f t="shared" si="479"/>
        <v>9.6856588137152352E-2</v>
      </c>
      <c r="AT273" s="223">
        <f t="shared" si="480"/>
        <v>28726.102941176472</v>
      </c>
      <c r="AU273" s="223">
        <f t="shared" si="481"/>
        <v>1580.4004854368932</v>
      </c>
      <c r="AV273" s="227">
        <f t="shared" si="482"/>
        <v>3.7465405085278944E-2</v>
      </c>
    </row>
    <row r="274" spans="1:48" x14ac:dyDescent="0.25">
      <c r="A274" s="365" t="s">
        <v>90</v>
      </c>
      <c r="B274" s="365" t="s">
        <v>37</v>
      </c>
      <c r="C274" s="328">
        <v>6</v>
      </c>
      <c r="D274" s="328">
        <f>Kennzahlen!H274</f>
        <v>106</v>
      </c>
      <c r="E274" s="223">
        <f t="shared" si="486"/>
        <v>1666886</v>
      </c>
      <c r="F274" s="223">
        <f t="shared" si="483"/>
        <v>277814.33333333331</v>
      </c>
      <c r="G274" s="224">
        <f t="shared" si="487"/>
        <v>15725.33962264151</v>
      </c>
      <c r="H274" s="223"/>
      <c r="I274" s="223">
        <f t="shared" si="484"/>
        <v>1666886</v>
      </c>
      <c r="J274" s="365">
        <v>1764840</v>
      </c>
      <c r="K274" s="365">
        <v>0</v>
      </c>
      <c r="L274" s="365">
        <v>0</v>
      </c>
      <c r="M274" s="365">
        <v>97954</v>
      </c>
      <c r="N274" s="365"/>
      <c r="O274" s="368"/>
      <c r="P274" s="365">
        <v>1626970.55</v>
      </c>
      <c r="Q274" s="27">
        <f t="shared" si="485"/>
        <v>1529016.55</v>
      </c>
      <c r="R274" s="223">
        <f t="shared" si="488"/>
        <v>1529016.55</v>
      </c>
      <c r="S274" s="226">
        <f t="shared" si="466"/>
        <v>0.91728921473934033</v>
      </c>
      <c r="T274" s="223">
        <f t="shared" si="467"/>
        <v>254836.09166666667</v>
      </c>
      <c r="U274" s="224">
        <f t="shared" si="468"/>
        <v>14424.684433962264</v>
      </c>
      <c r="V274" s="365">
        <v>77406.399999999994</v>
      </c>
      <c r="W274" s="223">
        <f t="shared" si="489"/>
        <v>77406.399999999994</v>
      </c>
      <c r="X274" s="226">
        <f t="shared" si="469"/>
        <v>4.6437728794890588E-2</v>
      </c>
      <c r="Y274" s="223">
        <f t="shared" si="470"/>
        <v>12901.066666666666</v>
      </c>
      <c r="Z274" s="224">
        <f t="shared" si="471"/>
        <v>730.24905660377351</v>
      </c>
      <c r="AA274" s="365">
        <v>0</v>
      </c>
      <c r="AB274" s="365">
        <v>0</v>
      </c>
      <c r="AC274" s="225">
        <f>Artengliederung!AE274</f>
        <v>20523.900000000001</v>
      </c>
      <c r="AD274" s="223">
        <f t="shared" si="490"/>
        <v>20523.900000000001</v>
      </c>
      <c r="AE274" s="226">
        <f t="shared" si="491"/>
        <v>1.2312719646094575E-2</v>
      </c>
      <c r="AF274" s="223">
        <f t="shared" si="472"/>
        <v>3420.65</v>
      </c>
      <c r="AG274" s="224">
        <f t="shared" si="473"/>
        <v>193.62169811320757</v>
      </c>
      <c r="AH274" s="225">
        <f t="shared" si="492"/>
        <v>0</v>
      </c>
      <c r="AI274" s="223">
        <f t="shared" si="493"/>
        <v>0</v>
      </c>
      <c r="AJ274" s="226">
        <f t="shared" si="474"/>
        <v>0</v>
      </c>
      <c r="AK274" s="223">
        <f t="shared" si="475"/>
        <v>0</v>
      </c>
      <c r="AL274" s="224">
        <f t="shared" si="476"/>
        <v>0</v>
      </c>
      <c r="AM274" s="365">
        <v>1163.3</v>
      </c>
      <c r="AN274" s="223">
        <f t="shared" si="494"/>
        <v>1163.3</v>
      </c>
      <c r="AO274" s="226">
        <f t="shared" si="477"/>
        <v>6.9788815791841795E-4</v>
      </c>
      <c r="AP274" s="223">
        <f t="shared" si="478"/>
        <v>193.88333333333333</v>
      </c>
      <c r="AQ274" s="224">
        <f t="shared" si="495"/>
        <v>10.974528301886792</v>
      </c>
      <c r="AR274" s="223">
        <f>Artengliederung!X274</f>
        <v>0</v>
      </c>
      <c r="AS274" s="226">
        <f t="shared" si="479"/>
        <v>0</v>
      </c>
      <c r="AT274" s="223">
        <f t="shared" si="480"/>
        <v>0</v>
      </c>
      <c r="AU274" s="223">
        <f t="shared" si="481"/>
        <v>0</v>
      </c>
      <c r="AV274" s="227">
        <f t="shared" si="482"/>
        <v>2.3262448661756089E-2</v>
      </c>
    </row>
    <row r="275" spans="1:48" x14ac:dyDescent="0.25">
      <c r="A275" s="365" t="s">
        <v>92</v>
      </c>
      <c r="B275" s="365" t="s">
        <v>37</v>
      </c>
      <c r="C275" s="328">
        <v>18</v>
      </c>
      <c r="D275" s="328">
        <f>Kennzahlen!H275</f>
        <v>286</v>
      </c>
      <c r="E275" s="223">
        <f t="shared" si="486"/>
        <v>4970682.8999999994</v>
      </c>
      <c r="F275" s="223">
        <f t="shared" si="483"/>
        <v>276149.05</v>
      </c>
      <c r="G275" s="224">
        <f t="shared" si="487"/>
        <v>17380.010139860136</v>
      </c>
      <c r="H275" s="223"/>
      <c r="I275" s="223">
        <f t="shared" si="484"/>
        <v>4970682.8999999994</v>
      </c>
      <c r="J275" s="365">
        <v>5108972.5999999996</v>
      </c>
      <c r="K275" s="365">
        <v>0</v>
      </c>
      <c r="L275" s="365">
        <v>0</v>
      </c>
      <c r="M275" s="365">
        <v>138289.70000000001</v>
      </c>
      <c r="N275" s="365"/>
      <c r="O275" s="368"/>
      <c r="P275" s="365">
        <v>3034166.2</v>
      </c>
      <c r="Q275" s="27">
        <f t="shared" si="485"/>
        <v>2895876.5</v>
      </c>
      <c r="R275" s="223">
        <f t="shared" si="488"/>
        <v>2895876.5</v>
      </c>
      <c r="S275" s="226">
        <f t="shared" ref="S275:S290" si="496">R275/$E275</f>
        <v>0.58259127734742455</v>
      </c>
      <c r="T275" s="223">
        <f t="shared" ref="T275:T290" si="497">R275/C275</f>
        <v>160882.02777777778</v>
      </c>
      <c r="U275" s="224">
        <f t="shared" ref="U275:U290" si="498">R275/D275</f>
        <v>10125.442307692309</v>
      </c>
      <c r="V275" s="365">
        <v>246825.15</v>
      </c>
      <c r="W275" s="223">
        <f t="shared" si="489"/>
        <v>246825.15</v>
      </c>
      <c r="X275" s="226">
        <f t="shared" ref="X275:X290" si="499">W275/E275</f>
        <v>4.9656185068655261E-2</v>
      </c>
      <c r="Y275" s="223">
        <f t="shared" ref="Y275:Y290" si="500">W275/C275</f>
        <v>13712.508333333333</v>
      </c>
      <c r="Z275" s="224">
        <f t="shared" ref="Z275:Z290" si="501">W275/D275</f>
        <v>863.02499999999998</v>
      </c>
      <c r="AA275" s="365">
        <v>1005439.8</v>
      </c>
      <c r="AB275" s="365">
        <v>338791.1</v>
      </c>
      <c r="AC275" s="225">
        <f>Artengliederung!AE275</f>
        <v>458112.65</v>
      </c>
      <c r="AD275" s="223">
        <f t="shared" si="490"/>
        <v>458112.65</v>
      </c>
      <c r="AE275" s="226">
        <f t="shared" si="491"/>
        <v>9.2162919907846072E-2</v>
      </c>
      <c r="AF275" s="223">
        <f t="shared" ref="AF275:AF290" si="502">AD275/C275</f>
        <v>25450.70277777778</v>
      </c>
      <c r="AG275" s="224">
        <f t="shared" ref="AG275:AG290" si="503">AD275/D275</f>
        <v>1601.7924825174825</v>
      </c>
      <c r="AH275" s="225">
        <f t="shared" si="492"/>
        <v>666648.70000000007</v>
      </c>
      <c r="AI275" s="223">
        <f t="shared" si="493"/>
        <v>666648.70000000007</v>
      </c>
      <c r="AJ275" s="226">
        <f t="shared" ref="AJ275:AJ290" si="504">AI275/$E275</f>
        <v>0.13411611913526009</v>
      </c>
      <c r="AK275" s="223">
        <f t="shared" ref="AK275:AK290" si="505">AI275/C275</f>
        <v>37036.038888888892</v>
      </c>
      <c r="AL275" s="224">
        <f t="shared" ref="AL275:AL290" si="506">AI275/D275</f>
        <v>2330.9395104895107</v>
      </c>
      <c r="AM275" s="365">
        <v>15700.8</v>
      </c>
      <c r="AN275" s="223">
        <f t="shared" si="494"/>
        <v>15700.8</v>
      </c>
      <c r="AO275" s="226">
        <f t="shared" ref="AO275:AO290" si="507">AN275/$E275</f>
        <v>3.1586806714224321E-3</v>
      </c>
      <c r="AP275" s="223">
        <f t="shared" ref="AP275:AP290" si="508">AN275/C275</f>
        <v>872.26666666666665</v>
      </c>
      <c r="AQ275" s="224">
        <f t="shared" si="495"/>
        <v>54.897902097902097</v>
      </c>
      <c r="AR275" s="223">
        <f>Artengliederung!X275</f>
        <v>228391.9</v>
      </c>
      <c r="AS275" s="226">
        <f t="shared" ref="AS275:AS290" si="509">AR275/E275</f>
        <v>4.5947791197865392E-2</v>
      </c>
      <c r="AT275" s="223">
        <f t="shared" ref="AT275:AT290" si="510">AR275/C275</f>
        <v>12688.438888888888</v>
      </c>
      <c r="AU275" s="223">
        <f t="shared" ref="AU275:AU290" si="511">AR275/D275</f>
        <v>798.57307692307688</v>
      </c>
      <c r="AV275" s="227">
        <f t="shared" ref="AV275:AV290" si="512">1-S275-X275-AJ275-AE275-AO275-AS275</f>
        <v>9.2367026671526201E-2</v>
      </c>
    </row>
    <row r="276" spans="1:48" x14ac:dyDescent="0.25">
      <c r="A276" s="365" t="s">
        <v>94</v>
      </c>
      <c r="B276" s="365" t="s">
        <v>37</v>
      </c>
      <c r="C276" s="328">
        <v>25</v>
      </c>
      <c r="D276" s="328">
        <f>Kennzahlen!H276</f>
        <v>547</v>
      </c>
      <c r="E276" s="223">
        <f t="shared" si="486"/>
        <v>7240300.5999999996</v>
      </c>
      <c r="F276" s="223">
        <f t="shared" ref="F276:F291" si="513">E276/C276</f>
        <v>289612.02399999998</v>
      </c>
      <c r="G276" s="224">
        <f t="shared" si="487"/>
        <v>13236.381352833638</v>
      </c>
      <c r="H276" s="223"/>
      <c r="I276" s="223">
        <f t="shared" si="484"/>
        <v>7240300.5999999996</v>
      </c>
      <c r="J276" s="365">
        <v>7342300.5999999996</v>
      </c>
      <c r="K276" s="365">
        <v>0</v>
      </c>
      <c r="L276" s="365">
        <v>0</v>
      </c>
      <c r="M276" s="365">
        <v>102000</v>
      </c>
      <c r="N276" s="365"/>
      <c r="O276" s="368"/>
      <c r="P276" s="365">
        <v>5328965.5999999996</v>
      </c>
      <c r="Q276" s="27">
        <f t="shared" si="485"/>
        <v>5226965.5999999996</v>
      </c>
      <c r="R276" s="223">
        <f t="shared" si="488"/>
        <v>5226965.5999999996</v>
      </c>
      <c r="S276" s="226">
        <f t="shared" si="496"/>
        <v>0.72192660067180081</v>
      </c>
      <c r="T276" s="223">
        <f t="shared" si="497"/>
        <v>209078.62399999998</v>
      </c>
      <c r="U276" s="224">
        <f t="shared" si="498"/>
        <v>9555.6957952468001</v>
      </c>
      <c r="V276" s="365">
        <v>345256.4</v>
      </c>
      <c r="W276" s="223">
        <f t="shared" si="489"/>
        <v>345256.4</v>
      </c>
      <c r="X276" s="226">
        <f t="shared" si="499"/>
        <v>4.7685368201425236E-2</v>
      </c>
      <c r="Y276" s="223">
        <f t="shared" si="500"/>
        <v>13810.256000000001</v>
      </c>
      <c r="Z276" s="224">
        <f t="shared" si="501"/>
        <v>631.18171846435109</v>
      </c>
      <c r="AA276" s="365">
        <v>521376.65</v>
      </c>
      <c r="AB276" s="365">
        <v>27731.95</v>
      </c>
      <c r="AC276" s="225">
        <f>Artengliederung!AE276</f>
        <v>510700</v>
      </c>
      <c r="AD276" s="223">
        <f t="shared" si="490"/>
        <v>510700</v>
      </c>
      <c r="AE276" s="226">
        <f t="shared" si="491"/>
        <v>7.0535745435762714E-2</v>
      </c>
      <c r="AF276" s="223">
        <f t="shared" si="502"/>
        <v>20428</v>
      </c>
      <c r="AG276" s="224">
        <f t="shared" si="503"/>
        <v>933.63802559414989</v>
      </c>
      <c r="AH276" s="225">
        <f t="shared" si="492"/>
        <v>493644.7</v>
      </c>
      <c r="AI276" s="223">
        <f t="shared" si="493"/>
        <v>493644.7</v>
      </c>
      <c r="AJ276" s="226">
        <f t="shared" si="504"/>
        <v>6.8180138819098207E-2</v>
      </c>
      <c r="AK276" s="223">
        <f t="shared" si="505"/>
        <v>19745.788</v>
      </c>
      <c r="AL276" s="224">
        <f t="shared" si="506"/>
        <v>902.45831809872027</v>
      </c>
      <c r="AM276" s="365">
        <v>33689.4</v>
      </c>
      <c r="AN276" s="223">
        <f t="shared" si="494"/>
        <v>33689.4</v>
      </c>
      <c r="AO276" s="226">
        <f t="shared" si="507"/>
        <v>4.6530388531106021E-3</v>
      </c>
      <c r="AP276" s="223">
        <f t="shared" si="508"/>
        <v>1347.576</v>
      </c>
      <c r="AQ276" s="224">
        <f t="shared" si="495"/>
        <v>61.589396709323587</v>
      </c>
      <c r="AR276" s="223">
        <f>Artengliederung!X276</f>
        <v>348802.5</v>
      </c>
      <c r="AS276" s="226">
        <f t="shared" si="509"/>
        <v>4.8175140684076023E-2</v>
      </c>
      <c r="AT276" s="223">
        <f t="shared" si="510"/>
        <v>13952.1</v>
      </c>
      <c r="AU276" s="223">
        <f t="shared" si="511"/>
        <v>637.66453382084092</v>
      </c>
      <c r="AV276" s="227">
        <f t="shared" si="512"/>
        <v>3.8843967334726393E-2</v>
      </c>
    </row>
    <row r="277" spans="1:48" x14ac:dyDescent="0.25">
      <c r="A277" s="365" t="s">
        <v>225</v>
      </c>
      <c r="B277" s="365" t="s">
        <v>37</v>
      </c>
      <c r="C277" s="328">
        <v>7</v>
      </c>
      <c r="D277" s="328">
        <f>Kennzahlen!H277</f>
        <v>113</v>
      </c>
      <c r="E277" s="223">
        <f t="shared" si="486"/>
        <v>1554576.35</v>
      </c>
      <c r="F277" s="223">
        <f t="shared" si="513"/>
        <v>222082.33571428573</v>
      </c>
      <c r="G277" s="224">
        <f t="shared" si="487"/>
        <v>13757.312831858408</v>
      </c>
      <c r="H277" s="223"/>
      <c r="I277" s="223">
        <f t="shared" si="484"/>
        <v>1554576.35</v>
      </c>
      <c r="J277" s="365">
        <v>1579120.85</v>
      </c>
      <c r="K277" s="365">
        <v>0</v>
      </c>
      <c r="L277" s="365">
        <v>2153.5500000000002</v>
      </c>
      <c r="M277" s="365">
        <v>22390.95</v>
      </c>
      <c r="N277" s="365"/>
      <c r="O277" s="368"/>
      <c r="P277" s="365">
        <v>1083705.6499999999</v>
      </c>
      <c r="Q277" s="27">
        <f t="shared" si="485"/>
        <v>1061314.7</v>
      </c>
      <c r="R277" s="223">
        <f t="shared" si="488"/>
        <v>1061314.7</v>
      </c>
      <c r="S277" s="226">
        <f t="shared" si="496"/>
        <v>0.68270349024671573</v>
      </c>
      <c r="T277" s="223">
        <f t="shared" si="497"/>
        <v>151616.38571428572</v>
      </c>
      <c r="U277" s="224">
        <f t="shared" si="498"/>
        <v>9392.1654867256639</v>
      </c>
      <c r="V277" s="365">
        <v>114240</v>
      </c>
      <c r="W277" s="223">
        <f t="shared" si="489"/>
        <v>114240</v>
      </c>
      <c r="X277" s="226">
        <f t="shared" si="499"/>
        <v>7.3486258812569732E-2</v>
      </c>
      <c r="Y277" s="223">
        <f t="shared" si="500"/>
        <v>16320</v>
      </c>
      <c r="Z277" s="224">
        <f t="shared" si="501"/>
        <v>1010.9734513274336</v>
      </c>
      <c r="AA277" s="365">
        <v>221966.9</v>
      </c>
      <c r="AB277" s="365">
        <v>1470</v>
      </c>
      <c r="AC277" s="225">
        <f>Artengliederung!AE277</f>
        <v>25000</v>
      </c>
      <c r="AD277" s="223">
        <f t="shared" si="490"/>
        <v>25000</v>
      </c>
      <c r="AE277" s="226">
        <f t="shared" si="491"/>
        <v>1.6081551735944007E-2</v>
      </c>
      <c r="AF277" s="223">
        <f t="shared" si="502"/>
        <v>3571.4285714285716</v>
      </c>
      <c r="AG277" s="224">
        <f t="shared" si="503"/>
        <v>221.23893805309734</v>
      </c>
      <c r="AH277" s="225">
        <f t="shared" si="492"/>
        <v>220496.9</v>
      </c>
      <c r="AI277" s="223">
        <f t="shared" si="493"/>
        <v>220496.9</v>
      </c>
      <c r="AJ277" s="226">
        <f t="shared" si="504"/>
        <v>0.14183729219861088</v>
      </c>
      <c r="AK277" s="223">
        <f t="shared" si="505"/>
        <v>31499.557142857142</v>
      </c>
      <c r="AL277" s="224">
        <f t="shared" si="506"/>
        <v>1951.3</v>
      </c>
      <c r="AM277" s="365">
        <v>3431.05</v>
      </c>
      <c r="AN277" s="223">
        <f t="shared" si="494"/>
        <v>3431.05</v>
      </c>
      <c r="AO277" s="226">
        <f t="shared" si="507"/>
        <v>2.2070643233444275E-3</v>
      </c>
      <c r="AP277" s="223">
        <f t="shared" si="508"/>
        <v>490.15000000000003</v>
      </c>
      <c r="AQ277" s="224">
        <f t="shared" si="495"/>
        <v>30.363274336283187</v>
      </c>
      <c r="AR277" s="223">
        <f>Artengliederung!X277</f>
        <v>0</v>
      </c>
      <c r="AS277" s="226">
        <f t="shared" si="509"/>
        <v>0</v>
      </c>
      <c r="AT277" s="223">
        <f t="shared" si="510"/>
        <v>0</v>
      </c>
      <c r="AU277" s="223">
        <f t="shared" si="511"/>
        <v>0</v>
      </c>
      <c r="AV277" s="227">
        <f t="shared" si="512"/>
        <v>8.368434268281523E-2</v>
      </c>
    </row>
    <row r="278" spans="1:48" x14ac:dyDescent="0.25">
      <c r="A278" s="365" t="s">
        <v>98</v>
      </c>
      <c r="B278" s="365" t="s">
        <v>37</v>
      </c>
      <c r="C278" s="328">
        <v>7</v>
      </c>
      <c r="D278" s="328">
        <f>Kennzahlen!H278</f>
        <v>163</v>
      </c>
      <c r="E278" s="223">
        <f t="shared" si="486"/>
        <v>2756821.5</v>
      </c>
      <c r="F278" s="223">
        <f t="shared" si="513"/>
        <v>393831.64285714284</v>
      </c>
      <c r="G278" s="224">
        <f t="shared" si="487"/>
        <v>16913.015337423312</v>
      </c>
      <c r="H278" s="223"/>
      <c r="I278" s="223">
        <f t="shared" si="484"/>
        <v>2756821.5</v>
      </c>
      <c r="J278" s="365">
        <v>2909760.65</v>
      </c>
      <c r="K278" s="365">
        <v>0</v>
      </c>
      <c r="L278" s="365">
        <v>0</v>
      </c>
      <c r="M278" s="365">
        <v>152939.15</v>
      </c>
      <c r="N278" s="365"/>
      <c r="O278" s="368"/>
      <c r="P278" s="365">
        <v>1758155.4</v>
      </c>
      <c r="Q278" s="27">
        <f t="shared" si="485"/>
        <v>1605216.25</v>
      </c>
      <c r="R278" s="223">
        <f t="shared" si="488"/>
        <v>1605216.25</v>
      </c>
      <c r="S278" s="226">
        <f t="shared" si="496"/>
        <v>0.58227065118289301</v>
      </c>
      <c r="T278" s="223">
        <f t="shared" si="497"/>
        <v>229316.60714285713</v>
      </c>
      <c r="U278" s="224">
        <f t="shared" si="498"/>
        <v>9847.9524539877293</v>
      </c>
      <c r="V278" s="365">
        <v>129886.7</v>
      </c>
      <c r="W278" s="223">
        <f t="shared" si="489"/>
        <v>129886.7</v>
      </c>
      <c r="X278" s="226">
        <f t="shared" si="499"/>
        <v>4.7114657223908042E-2</v>
      </c>
      <c r="Y278" s="223">
        <f t="shared" si="500"/>
        <v>18555.242857142857</v>
      </c>
      <c r="Z278" s="224">
        <f t="shared" si="501"/>
        <v>796.85092024539881</v>
      </c>
      <c r="AA278" s="365">
        <v>574022.44999999995</v>
      </c>
      <c r="AB278" s="365">
        <v>3891.45</v>
      </c>
      <c r="AC278" s="225">
        <f>Artengliederung!AE278</f>
        <v>196907.15</v>
      </c>
      <c r="AD278" s="223">
        <f t="shared" si="490"/>
        <v>196907.15</v>
      </c>
      <c r="AE278" s="226">
        <f t="shared" si="491"/>
        <v>7.1425425984235832E-2</v>
      </c>
      <c r="AF278" s="223">
        <f t="shared" si="502"/>
        <v>28129.592857142856</v>
      </c>
      <c r="AG278" s="224">
        <f t="shared" si="503"/>
        <v>1208.0193251533742</v>
      </c>
      <c r="AH278" s="225">
        <f t="shared" ref="AH278:AH294" si="514">AA278-AB278</f>
        <v>570131</v>
      </c>
      <c r="AI278" s="223">
        <f t="shared" si="493"/>
        <v>570131</v>
      </c>
      <c r="AJ278" s="226">
        <f t="shared" si="504"/>
        <v>0.2068073685583198</v>
      </c>
      <c r="AK278" s="223">
        <f t="shared" si="505"/>
        <v>81447.28571428571</v>
      </c>
      <c r="AL278" s="224">
        <f t="shared" si="506"/>
        <v>3497.7361963190183</v>
      </c>
      <c r="AM278" s="365">
        <v>2922.3</v>
      </c>
      <c r="AN278" s="223">
        <f t="shared" si="494"/>
        <v>2922.3</v>
      </c>
      <c r="AO278" s="226">
        <f t="shared" si="507"/>
        <v>1.060025104998637E-3</v>
      </c>
      <c r="AP278" s="223">
        <f t="shared" si="508"/>
        <v>417.47142857142859</v>
      </c>
      <c r="AQ278" s="224">
        <f t="shared" si="495"/>
        <v>17.928220858895706</v>
      </c>
      <c r="AR278" s="223">
        <f>Artengliederung!X278</f>
        <v>163697.9</v>
      </c>
      <c r="AS278" s="226">
        <f t="shared" si="509"/>
        <v>5.9379216245955713E-2</v>
      </c>
      <c r="AT278" s="223">
        <f t="shared" si="510"/>
        <v>23385.414285714283</v>
      </c>
      <c r="AU278" s="223">
        <f t="shared" si="511"/>
        <v>1004.2815950920245</v>
      </c>
      <c r="AV278" s="227">
        <f t="shared" si="512"/>
        <v>3.1942655699688946E-2</v>
      </c>
    </row>
    <row r="279" spans="1:48" x14ac:dyDescent="0.25">
      <c r="A279" s="365" t="s">
        <v>102</v>
      </c>
      <c r="B279" s="365" t="s">
        <v>37</v>
      </c>
      <c r="C279" s="328">
        <v>20</v>
      </c>
      <c r="D279" s="328">
        <f>Kennzahlen!H279</f>
        <v>441</v>
      </c>
      <c r="E279" s="223">
        <f t="shared" si="486"/>
        <v>6295438.3999999994</v>
      </c>
      <c r="F279" s="223">
        <f t="shared" si="513"/>
        <v>314771.92</v>
      </c>
      <c r="G279" s="224">
        <f t="shared" ref="G279:G294" si="515">E279/D279</f>
        <v>14275.370521541949</v>
      </c>
      <c r="H279" s="223"/>
      <c r="I279" s="223">
        <f t="shared" ref="I279:I294" si="516">J279-K279-L279-M279</f>
        <v>6295438.3999999994</v>
      </c>
      <c r="J279" s="365">
        <v>6479965.8499999996</v>
      </c>
      <c r="K279" s="365">
        <v>0</v>
      </c>
      <c r="L279" s="365">
        <v>0</v>
      </c>
      <c r="M279" s="365">
        <v>184527.45</v>
      </c>
      <c r="N279" s="365"/>
      <c r="O279" s="368"/>
      <c r="P279" s="365">
        <v>4574382.9000000004</v>
      </c>
      <c r="Q279" s="27">
        <f t="shared" ref="Q279:Q294" si="517">P279-M279</f>
        <v>4389855.45</v>
      </c>
      <c r="R279" s="223">
        <f t="shared" si="488"/>
        <v>4389855.45</v>
      </c>
      <c r="S279" s="226">
        <f t="shared" si="496"/>
        <v>0.69730734717378862</v>
      </c>
      <c r="T279" s="223">
        <f t="shared" si="497"/>
        <v>219492.77250000002</v>
      </c>
      <c r="U279" s="224">
        <f t="shared" si="498"/>
        <v>9954.3207482993203</v>
      </c>
      <c r="V279" s="365">
        <v>220587.6</v>
      </c>
      <c r="W279" s="223">
        <f t="shared" si="489"/>
        <v>220587.6</v>
      </c>
      <c r="X279" s="226">
        <f t="shared" si="499"/>
        <v>3.5039275422026214E-2</v>
      </c>
      <c r="Y279" s="223">
        <f t="shared" si="500"/>
        <v>11029.380000000001</v>
      </c>
      <c r="Z279" s="224">
        <f t="shared" si="501"/>
        <v>500.19863945578231</v>
      </c>
      <c r="AA279" s="365">
        <v>602882.44999999995</v>
      </c>
      <c r="AB279" s="365">
        <v>46248.75</v>
      </c>
      <c r="AC279" s="225">
        <f>Artengliederung!AE279</f>
        <v>264722</v>
      </c>
      <c r="AD279" s="223">
        <f t="shared" si="490"/>
        <v>264722</v>
      </c>
      <c r="AE279" s="226">
        <f t="shared" si="491"/>
        <v>4.204981181294698E-2</v>
      </c>
      <c r="AF279" s="223">
        <f t="shared" si="502"/>
        <v>13236.1</v>
      </c>
      <c r="AG279" s="224">
        <f t="shared" si="503"/>
        <v>600.27664399092976</v>
      </c>
      <c r="AH279" s="225">
        <f t="shared" si="514"/>
        <v>556633.69999999995</v>
      </c>
      <c r="AI279" s="223">
        <f t="shared" si="493"/>
        <v>556633.69999999995</v>
      </c>
      <c r="AJ279" s="226">
        <f t="shared" si="504"/>
        <v>8.8418576218615694E-2</v>
      </c>
      <c r="AK279" s="223">
        <f t="shared" si="505"/>
        <v>27831.684999999998</v>
      </c>
      <c r="AL279" s="224">
        <f t="shared" si="506"/>
        <v>1262.2079365079364</v>
      </c>
      <c r="AM279" s="365">
        <v>12029.7</v>
      </c>
      <c r="AN279" s="223">
        <f t="shared" si="494"/>
        <v>12029.7</v>
      </c>
      <c r="AO279" s="226">
        <f t="shared" si="507"/>
        <v>1.9108597742771975E-3</v>
      </c>
      <c r="AP279" s="223">
        <f t="shared" si="508"/>
        <v>601.48500000000001</v>
      </c>
      <c r="AQ279" s="224">
        <f t="shared" si="495"/>
        <v>27.27823129251701</v>
      </c>
      <c r="AR279" s="223">
        <f>Artengliederung!X279</f>
        <v>0</v>
      </c>
      <c r="AS279" s="226">
        <f t="shared" si="509"/>
        <v>0</v>
      </c>
      <c r="AT279" s="223">
        <f t="shared" si="510"/>
        <v>0</v>
      </c>
      <c r="AU279" s="223">
        <f t="shared" si="511"/>
        <v>0</v>
      </c>
      <c r="AV279" s="227">
        <f t="shared" si="512"/>
        <v>0.13527412959834528</v>
      </c>
    </row>
    <row r="280" spans="1:48" x14ac:dyDescent="0.25">
      <c r="A280" s="365" t="s">
        <v>108</v>
      </c>
      <c r="B280" s="365" t="s">
        <v>37</v>
      </c>
      <c r="C280" s="328">
        <v>12</v>
      </c>
      <c r="D280" s="328">
        <f>Kennzahlen!H280</f>
        <v>174</v>
      </c>
      <c r="E280" s="223">
        <f t="shared" si="486"/>
        <v>2984110.8000000003</v>
      </c>
      <c r="F280" s="223">
        <f t="shared" si="513"/>
        <v>248675.90000000002</v>
      </c>
      <c r="G280" s="224">
        <f t="shared" si="515"/>
        <v>17150.062068965519</v>
      </c>
      <c r="H280" s="223"/>
      <c r="I280" s="223">
        <f t="shared" si="516"/>
        <v>2984110.8000000003</v>
      </c>
      <c r="J280" s="365">
        <v>3038760.1</v>
      </c>
      <c r="K280" s="365">
        <v>0</v>
      </c>
      <c r="L280" s="365">
        <v>0</v>
      </c>
      <c r="M280" s="365">
        <v>54649.3</v>
      </c>
      <c r="N280" s="365"/>
      <c r="O280" s="368"/>
      <c r="P280" s="365">
        <v>2070638.4</v>
      </c>
      <c r="Q280" s="27">
        <f t="shared" si="517"/>
        <v>2015989.0999999999</v>
      </c>
      <c r="R280" s="223">
        <f t="shared" si="488"/>
        <v>2015989.0999999999</v>
      </c>
      <c r="S280" s="226">
        <f t="shared" si="496"/>
        <v>0.6755744793390378</v>
      </c>
      <c r="T280" s="223">
        <f t="shared" si="497"/>
        <v>167999.09166666665</v>
      </c>
      <c r="U280" s="224">
        <f t="shared" si="498"/>
        <v>11586.144252873562</v>
      </c>
      <c r="V280" s="365">
        <v>106856.8</v>
      </c>
      <c r="W280" s="223">
        <f t="shared" si="489"/>
        <v>106856.8</v>
      </c>
      <c r="X280" s="226">
        <f t="shared" si="499"/>
        <v>3.5808589949139956E-2</v>
      </c>
      <c r="Y280" s="223">
        <f t="shared" si="500"/>
        <v>8904.7333333333336</v>
      </c>
      <c r="Z280" s="224">
        <f t="shared" si="501"/>
        <v>614.11954022988505</v>
      </c>
      <c r="AA280" s="365">
        <v>244005.9</v>
      </c>
      <c r="AB280" s="365">
        <v>2295.0500000000002</v>
      </c>
      <c r="AC280" s="225">
        <f>Artengliederung!AE280</f>
        <v>229360.7</v>
      </c>
      <c r="AD280" s="223">
        <f t="shared" si="490"/>
        <v>229360.7</v>
      </c>
      <c r="AE280" s="226">
        <f t="shared" si="491"/>
        <v>7.6860651420852064E-2</v>
      </c>
      <c r="AF280" s="223">
        <f t="shared" si="502"/>
        <v>19113.391666666666</v>
      </c>
      <c r="AG280" s="224">
        <f t="shared" si="503"/>
        <v>1318.1649425287358</v>
      </c>
      <c r="AH280" s="225">
        <f t="shared" si="514"/>
        <v>241710.85</v>
      </c>
      <c r="AI280" s="223">
        <f t="shared" si="493"/>
        <v>241710.85</v>
      </c>
      <c r="AJ280" s="226">
        <f t="shared" si="504"/>
        <v>8.0999287962095767E-2</v>
      </c>
      <c r="AK280" s="223">
        <f t="shared" si="505"/>
        <v>20142.570833333335</v>
      </c>
      <c r="AL280" s="224">
        <f t="shared" si="506"/>
        <v>1389.142816091954</v>
      </c>
      <c r="AM280" s="365">
        <v>8729.2999999999993</v>
      </c>
      <c r="AN280" s="223">
        <f t="shared" si="494"/>
        <v>8729.2999999999993</v>
      </c>
      <c r="AO280" s="226">
        <f t="shared" si="507"/>
        <v>2.9252600138037765E-3</v>
      </c>
      <c r="AP280" s="223">
        <f t="shared" si="508"/>
        <v>727.44166666666661</v>
      </c>
      <c r="AQ280" s="224">
        <f t="shared" si="495"/>
        <v>50.168390804597699</v>
      </c>
      <c r="AR280" s="223">
        <f>Artengliederung!X280</f>
        <v>192409.75</v>
      </c>
      <c r="AS280" s="226">
        <f t="shared" si="509"/>
        <v>6.4478085063061324E-2</v>
      </c>
      <c r="AT280" s="223">
        <f t="shared" si="510"/>
        <v>16034.145833333334</v>
      </c>
      <c r="AU280" s="223">
        <f t="shared" si="511"/>
        <v>1105.8031609195402</v>
      </c>
      <c r="AV280" s="227">
        <f t="shared" si="512"/>
        <v>6.3353646252009316E-2</v>
      </c>
    </row>
    <row r="281" spans="1:48" x14ac:dyDescent="0.25">
      <c r="A281" s="365" t="s">
        <v>112</v>
      </c>
      <c r="B281" s="365" t="s">
        <v>37</v>
      </c>
      <c r="C281" s="328">
        <v>17.5</v>
      </c>
      <c r="D281" s="328">
        <f>Kennzahlen!H281</f>
        <v>263</v>
      </c>
      <c r="E281" s="223">
        <f t="shared" si="486"/>
        <v>4589886.0299999993</v>
      </c>
      <c r="F281" s="223">
        <f t="shared" si="513"/>
        <v>262279.20171428565</v>
      </c>
      <c r="G281" s="224">
        <f t="shared" si="515"/>
        <v>17452.038136882125</v>
      </c>
      <c r="H281" s="223"/>
      <c r="I281" s="223">
        <f t="shared" si="516"/>
        <v>4589886.0299999993</v>
      </c>
      <c r="J281" s="365">
        <v>4616152.93</v>
      </c>
      <c r="K281" s="365">
        <v>0</v>
      </c>
      <c r="L281" s="365">
        <v>0</v>
      </c>
      <c r="M281" s="365">
        <v>26266.9</v>
      </c>
      <c r="N281" s="365"/>
      <c r="O281" s="368"/>
      <c r="P281" s="365">
        <v>3209567.95</v>
      </c>
      <c r="Q281" s="27">
        <f t="shared" si="517"/>
        <v>3183301.0500000003</v>
      </c>
      <c r="R281" s="223">
        <f t="shared" si="488"/>
        <v>3183301.0500000003</v>
      </c>
      <c r="S281" s="226">
        <f t="shared" si="496"/>
        <v>0.69354686133677279</v>
      </c>
      <c r="T281" s="223">
        <f t="shared" si="497"/>
        <v>181902.91714285716</v>
      </c>
      <c r="U281" s="224">
        <f t="shared" si="498"/>
        <v>12103.806273764259</v>
      </c>
      <c r="V281" s="365">
        <v>197983.05</v>
      </c>
      <c r="W281" s="223">
        <f t="shared" si="489"/>
        <v>197983.05</v>
      </c>
      <c r="X281" s="226">
        <f t="shared" si="499"/>
        <v>4.3134633127263081E-2</v>
      </c>
      <c r="Y281" s="223">
        <f t="shared" si="500"/>
        <v>11313.317142857142</v>
      </c>
      <c r="Z281" s="224">
        <f t="shared" si="501"/>
        <v>752.78726235741442</v>
      </c>
      <c r="AA281" s="365">
        <v>445319.82</v>
      </c>
      <c r="AB281" s="365">
        <v>1100</v>
      </c>
      <c r="AC281" s="225">
        <f>Artengliederung!AE281</f>
        <v>319997</v>
      </c>
      <c r="AD281" s="223">
        <f t="shared" si="490"/>
        <v>319997</v>
      </c>
      <c r="AE281" s="226">
        <f t="shared" si="491"/>
        <v>6.9717853103206578E-2</v>
      </c>
      <c r="AF281" s="223">
        <f t="shared" si="502"/>
        <v>18285.542857142857</v>
      </c>
      <c r="AG281" s="224">
        <f t="shared" si="503"/>
        <v>1216.7186311787073</v>
      </c>
      <c r="AH281" s="225">
        <f t="shared" si="514"/>
        <v>444219.82</v>
      </c>
      <c r="AI281" s="223">
        <f t="shared" si="493"/>
        <v>444219.82</v>
      </c>
      <c r="AJ281" s="226">
        <f t="shared" si="504"/>
        <v>9.6782320322668244E-2</v>
      </c>
      <c r="AK281" s="223">
        <f t="shared" si="505"/>
        <v>25383.989714285715</v>
      </c>
      <c r="AL281" s="224">
        <f t="shared" si="506"/>
        <v>1689.0487452471484</v>
      </c>
      <c r="AM281" s="365">
        <v>20962.2</v>
      </c>
      <c r="AN281" s="223">
        <f t="shared" si="494"/>
        <v>20962.2</v>
      </c>
      <c r="AO281" s="226">
        <f t="shared" si="507"/>
        <v>4.5670415045142212E-3</v>
      </c>
      <c r="AP281" s="223">
        <f t="shared" si="508"/>
        <v>1197.8400000000001</v>
      </c>
      <c r="AQ281" s="224">
        <f t="shared" si="495"/>
        <v>79.704182509505699</v>
      </c>
      <c r="AR281" s="223">
        <f>Artengliederung!X281</f>
        <v>262500</v>
      </c>
      <c r="AS281" s="226">
        <f t="shared" si="509"/>
        <v>5.7190962538997955E-2</v>
      </c>
      <c r="AT281" s="223">
        <f t="shared" si="510"/>
        <v>15000</v>
      </c>
      <c r="AU281" s="223">
        <f t="shared" si="511"/>
        <v>998.09885931558938</v>
      </c>
      <c r="AV281" s="227">
        <f t="shared" si="512"/>
        <v>3.5060328066577134E-2</v>
      </c>
    </row>
    <row r="282" spans="1:48" x14ac:dyDescent="0.25">
      <c r="A282" s="365" t="s">
        <v>226</v>
      </c>
      <c r="B282" s="365" t="s">
        <v>37</v>
      </c>
      <c r="C282" s="328">
        <v>5</v>
      </c>
      <c r="D282" s="328">
        <f>Kennzahlen!H282</f>
        <v>107</v>
      </c>
      <c r="E282" s="223">
        <f t="shared" si="486"/>
        <v>1736645.35</v>
      </c>
      <c r="F282" s="223">
        <f t="shared" si="513"/>
        <v>347329.07</v>
      </c>
      <c r="G282" s="224">
        <f t="shared" si="515"/>
        <v>16230.330373831777</v>
      </c>
      <c r="H282" s="223"/>
      <c r="I282" s="223">
        <f t="shared" si="516"/>
        <v>1736645.35</v>
      </c>
      <c r="J282" s="365">
        <v>1804684</v>
      </c>
      <c r="K282" s="365">
        <v>0</v>
      </c>
      <c r="L282" s="365">
        <v>0</v>
      </c>
      <c r="M282" s="365">
        <v>68038.649999999994</v>
      </c>
      <c r="N282" s="365"/>
      <c r="O282" s="368"/>
      <c r="P282" s="365">
        <v>1202715.1499999999</v>
      </c>
      <c r="Q282" s="27">
        <f t="shared" si="517"/>
        <v>1134676.5</v>
      </c>
      <c r="R282" s="223">
        <f t="shared" si="488"/>
        <v>1134676.5</v>
      </c>
      <c r="S282" s="226">
        <f t="shared" si="496"/>
        <v>0.65337260713593592</v>
      </c>
      <c r="T282" s="223">
        <f t="shared" si="497"/>
        <v>226935.3</v>
      </c>
      <c r="U282" s="224">
        <f t="shared" si="498"/>
        <v>10604.453271028038</v>
      </c>
      <c r="V282" s="365">
        <v>59375.55</v>
      </c>
      <c r="W282" s="223">
        <f t="shared" si="489"/>
        <v>59375.55</v>
      </c>
      <c r="X282" s="226">
        <f t="shared" si="499"/>
        <v>3.4189795861313883E-2</v>
      </c>
      <c r="Y282" s="223">
        <f t="shared" si="500"/>
        <v>11875.11</v>
      </c>
      <c r="Z282" s="224">
        <f t="shared" si="501"/>
        <v>554.91168224299065</v>
      </c>
      <c r="AA282" s="365">
        <v>215659.45</v>
      </c>
      <c r="AB282" s="365">
        <v>45729.8</v>
      </c>
      <c r="AC282" s="225">
        <f>Artengliederung!AE282</f>
        <v>213779</v>
      </c>
      <c r="AD282" s="223">
        <f t="shared" si="490"/>
        <v>213779</v>
      </c>
      <c r="AE282" s="226">
        <f t="shared" si="491"/>
        <v>0.12309882383297199</v>
      </c>
      <c r="AF282" s="223">
        <f t="shared" si="502"/>
        <v>42755.8</v>
      </c>
      <c r="AG282" s="224">
        <f t="shared" si="503"/>
        <v>1997.9345794392523</v>
      </c>
      <c r="AH282" s="225">
        <f t="shared" si="514"/>
        <v>169929.65000000002</v>
      </c>
      <c r="AI282" s="223">
        <f t="shared" si="493"/>
        <v>169929.65000000002</v>
      </c>
      <c r="AJ282" s="226">
        <f t="shared" si="504"/>
        <v>9.7849368035909004E-2</v>
      </c>
      <c r="AK282" s="223">
        <f t="shared" si="505"/>
        <v>33985.930000000008</v>
      </c>
      <c r="AL282" s="224">
        <f t="shared" si="506"/>
        <v>1588.1275700934582</v>
      </c>
      <c r="AM282" s="365">
        <v>3843</v>
      </c>
      <c r="AN282" s="223">
        <f t="shared" si="494"/>
        <v>3843</v>
      </c>
      <c r="AO282" s="226">
        <f t="shared" si="507"/>
        <v>2.2128870468573216E-3</v>
      </c>
      <c r="AP282" s="223">
        <f t="shared" si="508"/>
        <v>768.6</v>
      </c>
      <c r="AQ282" s="224">
        <f t="shared" si="495"/>
        <v>35.915887850467293</v>
      </c>
      <c r="AR282" s="223">
        <f>Artengliederung!X282</f>
        <v>92540.3</v>
      </c>
      <c r="AS282" s="226">
        <f t="shared" si="509"/>
        <v>5.3286815295938227E-2</v>
      </c>
      <c r="AT282" s="223">
        <f t="shared" si="510"/>
        <v>18508.060000000001</v>
      </c>
      <c r="AU282" s="223">
        <f t="shared" si="511"/>
        <v>864.86261682242991</v>
      </c>
      <c r="AV282" s="227">
        <f t="shared" si="512"/>
        <v>3.598970279107367E-2</v>
      </c>
    </row>
    <row r="283" spans="1:48" x14ac:dyDescent="0.25">
      <c r="A283" s="365" t="s">
        <v>122</v>
      </c>
      <c r="B283" s="365" t="s">
        <v>37</v>
      </c>
      <c r="C283" s="328">
        <v>6</v>
      </c>
      <c r="D283" s="328">
        <f>Kennzahlen!H283</f>
        <v>122</v>
      </c>
      <c r="E283" s="223">
        <f t="shared" si="486"/>
        <v>2317279.94</v>
      </c>
      <c r="F283" s="223">
        <f t="shared" si="513"/>
        <v>386213.3233333333</v>
      </c>
      <c r="G283" s="224">
        <f t="shared" si="515"/>
        <v>18994.097868852459</v>
      </c>
      <c r="H283" s="223"/>
      <c r="I283" s="223">
        <f t="shared" si="516"/>
        <v>2317279.94</v>
      </c>
      <c r="J283" s="365">
        <v>2478487.19</v>
      </c>
      <c r="K283" s="365">
        <v>0</v>
      </c>
      <c r="L283" s="365">
        <v>250.9</v>
      </c>
      <c r="M283" s="365">
        <v>160956.35</v>
      </c>
      <c r="N283" s="365"/>
      <c r="O283" s="368"/>
      <c r="P283" s="365">
        <v>1370404.04</v>
      </c>
      <c r="Q283" s="27">
        <f t="shared" si="517"/>
        <v>1209447.69</v>
      </c>
      <c r="R283" s="223">
        <f t="shared" si="488"/>
        <v>1209447.69</v>
      </c>
      <c r="S283" s="226">
        <f t="shared" si="496"/>
        <v>0.52192558573652525</v>
      </c>
      <c r="T283" s="223">
        <f t="shared" si="497"/>
        <v>201574.61499999999</v>
      </c>
      <c r="U283" s="224">
        <f t="shared" si="498"/>
        <v>9913.5056557377047</v>
      </c>
      <c r="V283" s="365">
        <v>113670.85</v>
      </c>
      <c r="W283" s="223">
        <f t="shared" si="489"/>
        <v>113670.85</v>
      </c>
      <c r="X283" s="226">
        <f t="shared" si="499"/>
        <v>4.9053568383283036E-2</v>
      </c>
      <c r="Y283" s="223">
        <f t="shared" si="500"/>
        <v>18945.141666666666</v>
      </c>
      <c r="Z283" s="224">
        <f t="shared" si="501"/>
        <v>931.7282786885246</v>
      </c>
      <c r="AA283" s="365">
        <v>327016.15000000002</v>
      </c>
      <c r="AB283" s="365">
        <v>50945.2</v>
      </c>
      <c r="AC283" s="225">
        <f>Artengliederung!AE283</f>
        <v>477200</v>
      </c>
      <c r="AD283" s="223">
        <f t="shared" si="490"/>
        <v>477200</v>
      </c>
      <c r="AE283" s="226">
        <f t="shared" si="491"/>
        <v>0.20593109695671902</v>
      </c>
      <c r="AF283" s="223">
        <f t="shared" si="502"/>
        <v>79533.333333333328</v>
      </c>
      <c r="AG283" s="224">
        <f t="shared" si="503"/>
        <v>3911.4754098360654</v>
      </c>
      <c r="AH283" s="225">
        <f t="shared" si="514"/>
        <v>276070.95</v>
      </c>
      <c r="AI283" s="223">
        <f t="shared" si="493"/>
        <v>276070.95</v>
      </c>
      <c r="AJ283" s="226">
        <f t="shared" si="504"/>
        <v>0.11913577864916917</v>
      </c>
      <c r="AK283" s="223">
        <f t="shared" si="505"/>
        <v>46011.825000000004</v>
      </c>
      <c r="AL283" s="224">
        <f t="shared" si="506"/>
        <v>2262.8766393442625</v>
      </c>
      <c r="AM283" s="365">
        <v>5187.6499999999996</v>
      </c>
      <c r="AN283" s="223">
        <f t="shared" si="494"/>
        <v>5187.6499999999996</v>
      </c>
      <c r="AO283" s="226">
        <f t="shared" si="507"/>
        <v>2.2386807525723454E-3</v>
      </c>
      <c r="AP283" s="223">
        <f t="shared" si="508"/>
        <v>864.60833333333323</v>
      </c>
      <c r="AQ283" s="224">
        <f t="shared" si="495"/>
        <v>42.52172131147541</v>
      </c>
      <c r="AR283" s="223">
        <f>Artengliederung!X283</f>
        <v>199960.35</v>
      </c>
      <c r="AS283" s="226">
        <f t="shared" si="509"/>
        <v>8.6290976997798557E-2</v>
      </c>
      <c r="AT283" s="223">
        <f t="shared" si="510"/>
        <v>33326.724999999999</v>
      </c>
      <c r="AU283" s="223">
        <f t="shared" si="511"/>
        <v>1639.0192622950819</v>
      </c>
      <c r="AV283" s="227">
        <f t="shared" si="512"/>
        <v>1.5424312523932629E-2</v>
      </c>
    </row>
    <row r="284" spans="1:48" x14ac:dyDescent="0.25">
      <c r="A284" s="365" t="s">
        <v>123</v>
      </c>
      <c r="B284" s="365" t="s">
        <v>37</v>
      </c>
      <c r="C284" s="328">
        <v>7</v>
      </c>
      <c r="D284" s="328">
        <f>Kennzahlen!H284</f>
        <v>139</v>
      </c>
      <c r="E284" s="223">
        <f t="shared" si="486"/>
        <v>2039010.55</v>
      </c>
      <c r="F284" s="223">
        <f t="shared" si="513"/>
        <v>291287.22142857144</v>
      </c>
      <c r="G284" s="224">
        <f t="shared" si="515"/>
        <v>14669.140647482014</v>
      </c>
      <c r="H284" s="223"/>
      <c r="I284" s="223">
        <f t="shared" si="516"/>
        <v>2039010.55</v>
      </c>
      <c r="J284" s="365">
        <v>2121547</v>
      </c>
      <c r="K284" s="365">
        <v>0</v>
      </c>
      <c r="L284" s="365">
        <v>0</v>
      </c>
      <c r="M284" s="365">
        <v>82536.45</v>
      </c>
      <c r="N284" s="365"/>
      <c r="O284" s="368"/>
      <c r="P284" s="365">
        <v>1370487.5</v>
      </c>
      <c r="Q284" s="27">
        <f t="shared" si="517"/>
        <v>1287951.05</v>
      </c>
      <c r="R284" s="223">
        <f t="shared" si="488"/>
        <v>1287951.05</v>
      </c>
      <c r="S284" s="226">
        <f t="shared" si="496"/>
        <v>0.63165492204049656</v>
      </c>
      <c r="T284" s="223">
        <f t="shared" si="497"/>
        <v>183993.00714285715</v>
      </c>
      <c r="U284" s="224">
        <f t="shared" si="498"/>
        <v>9265.8348920863318</v>
      </c>
      <c r="V284" s="365">
        <v>70457.649999999994</v>
      </c>
      <c r="W284" s="223">
        <f t="shared" si="489"/>
        <v>70457.649999999994</v>
      </c>
      <c r="X284" s="226">
        <f t="shared" si="499"/>
        <v>3.4554823661898167E-2</v>
      </c>
      <c r="Y284" s="223">
        <f t="shared" si="500"/>
        <v>10065.378571428571</v>
      </c>
      <c r="Z284" s="224">
        <f t="shared" si="501"/>
        <v>506.88956834532371</v>
      </c>
      <c r="AA284" s="365">
        <v>188452.75</v>
      </c>
      <c r="AB284" s="365">
        <v>1685.7</v>
      </c>
      <c r="AC284" s="225">
        <f>Artengliederung!AE284</f>
        <v>232047</v>
      </c>
      <c r="AD284" s="223">
        <f t="shared" si="490"/>
        <v>232047</v>
      </c>
      <c r="AE284" s="226">
        <f t="shared" si="491"/>
        <v>0.11380372700867095</v>
      </c>
      <c r="AF284" s="223">
        <f t="shared" si="502"/>
        <v>33149.571428571428</v>
      </c>
      <c r="AG284" s="224">
        <f t="shared" si="503"/>
        <v>1669.4028776978416</v>
      </c>
      <c r="AH284" s="225">
        <f t="shared" si="514"/>
        <v>186767.05</v>
      </c>
      <c r="AI284" s="223">
        <f t="shared" si="493"/>
        <v>186767.05</v>
      </c>
      <c r="AJ284" s="226">
        <f t="shared" si="504"/>
        <v>9.1596902232801092E-2</v>
      </c>
      <c r="AK284" s="223">
        <f t="shared" si="505"/>
        <v>26681.007142857143</v>
      </c>
      <c r="AL284" s="224">
        <f t="shared" si="506"/>
        <v>1343.6478417266187</v>
      </c>
      <c r="AM284" s="365">
        <v>3991.4</v>
      </c>
      <c r="AN284" s="223">
        <f t="shared" si="494"/>
        <v>3991.4</v>
      </c>
      <c r="AO284" s="226">
        <f t="shared" si="507"/>
        <v>1.957518071694136E-3</v>
      </c>
      <c r="AP284" s="223">
        <f t="shared" si="508"/>
        <v>570.20000000000005</v>
      </c>
      <c r="AQ284" s="224">
        <f t="shared" si="495"/>
        <v>28.715107913669065</v>
      </c>
      <c r="AR284" s="223">
        <f>Artengliederung!X284</f>
        <v>227180.55</v>
      </c>
      <c r="AS284" s="226">
        <f t="shared" si="509"/>
        <v>0.11141705470822599</v>
      </c>
      <c r="AT284" s="223">
        <f t="shared" si="510"/>
        <v>32454.364285714284</v>
      </c>
      <c r="AU284" s="223">
        <f t="shared" si="511"/>
        <v>1634.3924460431654</v>
      </c>
      <c r="AV284" s="227">
        <f t="shared" si="512"/>
        <v>1.5015052276213109E-2</v>
      </c>
    </row>
    <row r="285" spans="1:48" x14ac:dyDescent="0.25">
      <c r="A285" s="365" t="s">
        <v>127</v>
      </c>
      <c r="B285" s="365" t="s">
        <v>37</v>
      </c>
      <c r="C285" s="328">
        <v>8</v>
      </c>
      <c r="D285" s="328">
        <f>Kennzahlen!H285</f>
        <v>138</v>
      </c>
      <c r="E285" s="223">
        <f t="shared" si="486"/>
        <v>2368083.4</v>
      </c>
      <c r="F285" s="223">
        <f t="shared" si="513"/>
        <v>296010.42499999999</v>
      </c>
      <c r="G285" s="224">
        <f t="shared" si="515"/>
        <v>17160.024637681159</v>
      </c>
      <c r="H285" s="223"/>
      <c r="I285" s="223">
        <f t="shared" si="516"/>
        <v>2368083.4</v>
      </c>
      <c r="J285" s="365">
        <v>2436223.5499999998</v>
      </c>
      <c r="K285" s="365">
        <v>0</v>
      </c>
      <c r="L285" s="365">
        <v>0</v>
      </c>
      <c r="M285" s="365">
        <v>68140.149999999994</v>
      </c>
      <c r="N285" s="365"/>
      <c r="O285" s="368"/>
      <c r="P285" s="365">
        <v>1798545.8</v>
      </c>
      <c r="Q285" s="27">
        <f t="shared" si="517"/>
        <v>1730405.6500000001</v>
      </c>
      <c r="R285" s="223">
        <f t="shared" si="488"/>
        <v>1730405.6500000001</v>
      </c>
      <c r="S285" s="226">
        <f t="shared" si="496"/>
        <v>0.73071989356455946</v>
      </c>
      <c r="T285" s="223">
        <f t="shared" si="497"/>
        <v>216300.70625000002</v>
      </c>
      <c r="U285" s="224">
        <f t="shared" si="498"/>
        <v>12539.171376811595</v>
      </c>
      <c r="V285" s="365">
        <v>129742.25</v>
      </c>
      <c r="W285" s="223">
        <f t="shared" si="489"/>
        <v>129742.25</v>
      </c>
      <c r="X285" s="226">
        <f t="shared" si="499"/>
        <v>5.4787871913632775E-2</v>
      </c>
      <c r="Y285" s="223">
        <f t="shared" si="500"/>
        <v>16217.78125</v>
      </c>
      <c r="Z285" s="224">
        <f t="shared" si="501"/>
        <v>940.161231884058</v>
      </c>
      <c r="AA285" s="365">
        <v>208487.4</v>
      </c>
      <c r="AB285" s="365">
        <v>22943.599999999999</v>
      </c>
      <c r="AC285" s="225">
        <f>Artengliederung!AE285</f>
        <v>158969.04999999999</v>
      </c>
      <c r="AD285" s="223">
        <f t="shared" si="490"/>
        <v>158969.04999999999</v>
      </c>
      <c r="AE285" s="226">
        <f t="shared" si="491"/>
        <v>6.7129835883313907E-2</v>
      </c>
      <c r="AF285" s="223">
        <f t="shared" si="502"/>
        <v>19871.131249999999</v>
      </c>
      <c r="AG285" s="224">
        <f t="shared" si="503"/>
        <v>1151.9496376811594</v>
      </c>
      <c r="AH285" s="225">
        <f t="shared" si="514"/>
        <v>185543.8</v>
      </c>
      <c r="AI285" s="223">
        <f t="shared" si="493"/>
        <v>185543.8</v>
      </c>
      <c r="AJ285" s="226">
        <f t="shared" si="504"/>
        <v>7.8351885748618483E-2</v>
      </c>
      <c r="AK285" s="223">
        <f t="shared" si="505"/>
        <v>23192.974999999999</v>
      </c>
      <c r="AL285" s="224">
        <f t="shared" si="506"/>
        <v>1344.5202898550724</v>
      </c>
      <c r="AM285" s="365">
        <v>3498.35</v>
      </c>
      <c r="AN285" s="223">
        <f t="shared" si="494"/>
        <v>3498.35</v>
      </c>
      <c r="AO285" s="226">
        <f t="shared" si="507"/>
        <v>1.4772917203845102E-3</v>
      </c>
      <c r="AP285" s="223">
        <f t="shared" si="508"/>
        <v>437.29374999999999</v>
      </c>
      <c r="AQ285" s="224">
        <f t="shared" si="495"/>
        <v>25.350362318840578</v>
      </c>
      <c r="AR285" s="223">
        <f>Artengliederung!X285</f>
        <v>97453.75</v>
      </c>
      <c r="AS285" s="226">
        <f t="shared" si="509"/>
        <v>4.11530058443043E-2</v>
      </c>
      <c r="AT285" s="223">
        <f t="shared" si="510"/>
        <v>12181.71875</v>
      </c>
      <c r="AU285" s="223">
        <f t="shared" si="511"/>
        <v>706.1865942028985</v>
      </c>
      <c r="AV285" s="227">
        <f t="shared" si="512"/>
        <v>2.6380215325186571E-2</v>
      </c>
    </row>
    <row r="286" spans="1:48" x14ac:dyDescent="0.25">
      <c r="A286" s="365" t="s">
        <v>128</v>
      </c>
      <c r="B286" s="365" t="s">
        <v>37</v>
      </c>
      <c r="C286" s="328">
        <v>55</v>
      </c>
      <c r="D286" s="328">
        <f>Kennzahlen!H286</f>
        <v>1180</v>
      </c>
      <c r="E286" s="223">
        <f t="shared" si="486"/>
        <v>17034687.550000001</v>
      </c>
      <c r="F286" s="223">
        <f t="shared" si="513"/>
        <v>309721.59181818186</v>
      </c>
      <c r="G286" s="224">
        <f t="shared" si="515"/>
        <v>14436.175889830509</v>
      </c>
      <c r="H286" s="223"/>
      <c r="I286" s="223">
        <f t="shared" si="516"/>
        <v>17034687.550000001</v>
      </c>
      <c r="J286" s="365">
        <v>17180095.75</v>
      </c>
      <c r="K286" s="365">
        <v>0</v>
      </c>
      <c r="L286" s="365">
        <v>8994.5499999999993</v>
      </c>
      <c r="M286" s="365">
        <v>136413.65</v>
      </c>
      <c r="N286" s="365"/>
      <c r="O286" s="368"/>
      <c r="P286" s="365">
        <v>12174428.4</v>
      </c>
      <c r="Q286" s="27">
        <f t="shared" si="517"/>
        <v>12038014.75</v>
      </c>
      <c r="R286" s="223">
        <f t="shared" si="488"/>
        <v>12038014.75</v>
      </c>
      <c r="S286" s="226">
        <f t="shared" si="496"/>
        <v>0.70667658063384908</v>
      </c>
      <c r="T286" s="223">
        <f t="shared" si="497"/>
        <v>218872.99545454545</v>
      </c>
      <c r="U286" s="224">
        <f t="shared" si="498"/>
        <v>10201.707415254237</v>
      </c>
      <c r="V286" s="365">
        <v>743391.5</v>
      </c>
      <c r="W286" s="223">
        <f t="shared" si="489"/>
        <v>743391.5</v>
      </c>
      <c r="X286" s="226">
        <f t="shared" si="499"/>
        <v>4.363986705467926E-2</v>
      </c>
      <c r="Y286" s="223">
        <f t="shared" si="500"/>
        <v>13516.209090909091</v>
      </c>
      <c r="Z286" s="224">
        <f t="shared" si="501"/>
        <v>629.99279661016953</v>
      </c>
      <c r="AA286" s="365">
        <v>954719.75</v>
      </c>
      <c r="AB286" s="365">
        <v>29631.9</v>
      </c>
      <c r="AC286" s="225">
        <f>Artengliederung!AE286</f>
        <v>1805551</v>
      </c>
      <c r="AD286" s="223">
        <f t="shared" si="490"/>
        <v>1805551</v>
      </c>
      <c r="AE286" s="226">
        <f t="shared" si="491"/>
        <v>0.10599261035462901</v>
      </c>
      <c r="AF286" s="223">
        <f t="shared" si="502"/>
        <v>32828.199999999997</v>
      </c>
      <c r="AG286" s="224">
        <f t="shared" si="503"/>
        <v>1530.1279661016949</v>
      </c>
      <c r="AH286" s="225">
        <f t="shared" si="514"/>
        <v>925087.85</v>
      </c>
      <c r="AI286" s="223">
        <f t="shared" si="493"/>
        <v>925087.85</v>
      </c>
      <c r="AJ286" s="226">
        <f t="shared" si="504"/>
        <v>5.4306123742199189E-2</v>
      </c>
      <c r="AK286" s="223">
        <f t="shared" si="505"/>
        <v>16819.779090909091</v>
      </c>
      <c r="AL286" s="224">
        <f t="shared" si="506"/>
        <v>783.97275423728809</v>
      </c>
      <c r="AM286" s="365">
        <v>56255.9</v>
      </c>
      <c r="AN286" s="223">
        <f t="shared" si="494"/>
        <v>56255.9</v>
      </c>
      <c r="AO286" s="226">
        <f t="shared" si="507"/>
        <v>3.302432159960574E-3</v>
      </c>
      <c r="AP286" s="223">
        <f t="shared" si="508"/>
        <v>1022.8345454545455</v>
      </c>
      <c r="AQ286" s="224">
        <f t="shared" si="495"/>
        <v>47.674491525423733</v>
      </c>
      <c r="AR286" s="223">
        <f>Artengliederung!X286</f>
        <v>1142338.8500000001</v>
      </c>
      <c r="AS286" s="226">
        <f t="shared" si="509"/>
        <v>6.705957163270658E-2</v>
      </c>
      <c r="AT286" s="223">
        <f t="shared" si="510"/>
        <v>20769.797272727275</v>
      </c>
      <c r="AU286" s="223">
        <f t="shared" si="511"/>
        <v>968.0837711864408</v>
      </c>
      <c r="AV286" s="227">
        <f t="shared" si="512"/>
        <v>1.9022814421976314E-2</v>
      </c>
    </row>
    <row r="287" spans="1:48" x14ac:dyDescent="0.25">
      <c r="A287" s="365" t="s">
        <v>227</v>
      </c>
      <c r="B287" s="365" t="s">
        <v>37</v>
      </c>
      <c r="C287" s="328">
        <v>9</v>
      </c>
      <c r="D287" s="328">
        <f>Kennzahlen!H287</f>
        <v>188</v>
      </c>
      <c r="E287" s="223">
        <f t="shared" si="486"/>
        <v>3021316.8</v>
      </c>
      <c r="F287" s="223">
        <f t="shared" si="513"/>
        <v>335701.86666666664</v>
      </c>
      <c r="G287" s="224">
        <f t="shared" si="515"/>
        <v>16070.83404255319</v>
      </c>
      <c r="H287" s="223"/>
      <c r="I287" s="223">
        <f t="shared" si="516"/>
        <v>3021316.8</v>
      </c>
      <c r="J287" s="365">
        <v>3161906.55</v>
      </c>
      <c r="K287" s="365">
        <v>0</v>
      </c>
      <c r="L287" s="365">
        <v>0</v>
      </c>
      <c r="M287" s="365">
        <v>140589.75</v>
      </c>
      <c r="N287" s="365"/>
      <c r="O287" s="368"/>
      <c r="P287" s="365">
        <v>2144946.2000000002</v>
      </c>
      <c r="Q287" s="27">
        <f t="shared" si="517"/>
        <v>2004356.4500000002</v>
      </c>
      <c r="R287" s="223">
        <f t="shared" si="488"/>
        <v>2004356.4500000002</v>
      </c>
      <c r="S287" s="226">
        <f t="shared" si="496"/>
        <v>0.66340492662007522</v>
      </c>
      <c r="T287" s="223">
        <f t="shared" si="497"/>
        <v>222706.27222222224</v>
      </c>
      <c r="U287" s="224">
        <f t="shared" si="498"/>
        <v>10661.470478723406</v>
      </c>
      <c r="V287" s="365">
        <v>110329.3</v>
      </c>
      <c r="W287" s="223">
        <f t="shared" si="489"/>
        <v>110329.3</v>
      </c>
      <c r="X287" s="226">
        <f t="shared" si="499"/>
        <v>3.6516958433488345E-2</v>
      </c>
      <c r="Y287" s="223">
        <f t="shared" si="500"/>
        <v>12258.811111111112</v>
      </c>
      <c r="Z287" s="224">
        <f t="shared" si="501"/>
        <v>586.85797872340424</v>
      </c>
      <c r="AA287" s="365">
        <v>231719.45</v>
      </c>
      <c r="AB287" s="365">
        <v>14400</v>
      </c>
      <c r="AC287" s="225">
        <f>Artengliederung!AE287</f>
        <v>400000</v>
      </c>
      <c r="AD287" s="223">
        <f t="shared" si="490"/>
        <v>400000</v>
      </c>
      <c r="AE287" s="226">
        <f t="shared" si="491"/>
        <v>0.13239260444320172</v>
      </c>
      <c r="AF287" s="223">
        <f t="shared" si="502"/>
        <v>44444.444444444445</v>
      </c>
      <c r="AG287" s="224">
        <f t="shared" si="503"/>
        <v>2127.6595744680849</v>
      </c>
      <c r="AH287" s="225">
        <f t="shared" si="514"/>
        <v>217319.45</v>
      </c>
      <c r="AI287" s="223">
        <f t="shared" si="493"/>
        <v>217319.45</v>
      </c>
      <c r="AJ287" s="226">
        <f t="shared" si="504"/>
        <v>7.1928719954160392E-2</v>
      </c>
      <c r="AK287" s="223">
        <f t="shared" si="505"/>
        <v>24146.605555555558</v>
      </c>
      <c r="AL287" s="224">
        <f t="shared" si="506"/>
        <v>1155.9545212765959</v>
      </c>
      <c r="AM287" s="365">
        <v>2808</v>
      </c>
      <c r="AN287" s="223">
        <f t="shared" si="494"/>
        <v>2808</v>
      </c>
      <c r="AO287" s="226">
        <f t="shared" si="507"/>
        <v>9.2939608319127611E-4</v>
      </c>
      <c r="AP287" s="223">
        <f t="shared" si="508"/>
        <v>312</v>
      </c>
      <c r="AQ287" s="224">
        <f t="shared" si="495"/>
        <v>14.936170212765957</v>
      </c>
      <c r="AR287" s="223">
        <f>Artengliederung!X287</f>
        <v>207518.9</v>
      </c>
      <c r="AS287" s="226">
        <f t="shared" si="509"/>
        <v>6.8684919105470837E-2</v>
      </c>
      <c r="AT287" s="223">
        <f t="shared" si="510"/>
        <v>23057.655555555553</v>
      </c>
      <c r="AU287" s="223">
        <f t="shared" si="511"/>
        <v>1103.8239361702128</v>
      </c>
      <c r="AV287" s="227">
        <f t="shared" si="512"/>
        <v>2.6142475360412212E-2</v>
      </c>
    </row>
    <row r="288" spans="1:48" x14ac:dyDescent="0.25">
      <c r="A288" s="365" t="s">
        <v>148</v>
      </c>
      <c r="B288" s="365" t="s">
        <v>37</v>
      </c>
      <c r="C288" s="328">
        <v>9</v>
      </c>
      <c r="D288" s="328">
        <f>Kennzahlen!H288</f>
        <v>183</v>
      </c>
      <c r="E288" s="223">
        <f t="shared" si="486"/>
        <v>2319023.0499999998</v>
      </c>
      <c r="F288" s="223">
        <f t="shared" si="513"/>
        <v>257669.22777777776</v>
      </c>
      <c r="G288" s="224">
        <f t="shared" si="515"/>
        <v>12672.257103825135</v>
      </c>
      <c r="H288" s="223"/>
      <c r="I288" s="223">
        <f t="shared" si="516"/>
        <v>2319023.0499999998</v>
      </c>
      <c r="J288" s="365">
        <v>2389795</v>
      </c>
      <c r="K288" s="365">
        <v>0</v>
      </c>
      <c r="L288" s="365">
        <v>0</v>
      </c>
      <c r="M288" s="365">
        <v>70771.95</v>
      </c>
      <c r="N288" s="365"/>
      <c r="O288" s="368"/>
      <c r="P288" s="365">
        <v>1733136.8</v>
      </c>
      <c r="Q288" s="27">
        <f t="shared" si="517"/>
        <v>1662364.85</v>
      </c>
      <c r="R288" s="223">
        <f t="shared" si="488"/>
        <v>1662364.85</v>
      </c>
      <c r="S288" s="226">
        <f t="shared" si="496"/>
        <v>0.71683843332217001</v>
      </c>
      <c r="T288" s="223">
        <f t="shared" si="497"/>
        <v>184707.20555555556</v>
      </c>
      <c r="U288" s="224">
        <f t="shared" si="498"/>
        <v>9083.9609289617492</v>
      </c>
      <c r="V288" s="365">
        <v>99709.7</v>
      </c>
      <c r="W288" s="223">
        <f t="shared" si="489"/>
        <v>99709.7</v>
      </c>
      <c r="X288" s="226">
        <f t="shared" si="499"/>
        <v>4.2996424722902174E-2</v>
      </c>
      <c r="Y288" s="223">
        <f t="shared" si="500"/>
        <v>11078.855555555556</v>
      </c>
      <c r="Z288" s="224">
        <f t="shared" si="501"/>
        <v>544.86174863387976</v>
      </c>
      <c r="AA288" s="365">
        <v>178350.85</v>
      </c>
      <c r="AB288" s="365">
        <v>330</v>
      </c>
      <c r="AC288" s="225">
        <f>Artengliederung!AE288</f>
        <v>249891.95</v>
      </c>
      <c r="AD288" s="223">
        <f t="shared" si="490"/>
        <v>249891.95</v>
      </c>
      <c r="AE288" s="226">
        <f t="shared" ref="AE288:AE303" si="518">AD288/$E288</f>
        <v>0.10775742397213345</v>
      </c>
      <c r="AF288" s="223">
        <f t="shared" si="502"/>
        <v>27765.772222222222</v>
      </c>
      <c r="AG288" s="224">
        <f t="shared" si="503"/>
        <v>1365.5297814207652</v>
      </c>
      <c r="AH288" s="225">
        <f t="shared" si="514"/>
        <v>178020.85</v>
      </c>
      <c r="AI288" s="223">
        <f t="shared" si="493"/>
        <v>178020.85</v>
      </c>
      <c r="AJ288" s="226">
        <f t="shared" si="504"/>
        <v>7.676545086518223E-2</v>
      </c>
      <c r="AK288" s="223">
        <f t="shared" si="505"/>
        <v>19780.094444444447</v>
      </c>
      <c r="AL288" s="224">
        <f t="shared" si="506"/>
        <v>972.7915300546448</v>
      </c>
      <c r="AM288" s="365">
        <v>2239.0500000000002</v>
      </c>
      <c r="AN288" s="223">
        <f t="shared" si="494"/>
        <v>2239.0500000000002</v>
      </c>
      <c r="AO288" s="226">
        <f t="shared" si="507"/>
        <v>9.6551433587518693E-4</v>
      </c>
      <c r="AP288" s="223">
        <f t="shared" si="508"/>
        <v>248.78333333333336</v>
      </c>
      <c r="AQ288" s="224">
        <f t="shared" ref="AQ288:AQ303" si="519">AN288/D288</f>
        <v>12.235245901639345</v>
      </c>
      <c r="AR288" s="223">
        <f>Artengliederung!X288</f>
        <v>119056.25</v>
      </c>
      <c r="AS288" s="226">
        <f t="shared" si="509"/>
        <v>5.1338967933069926E-2</v>
      </c>
      <c r="AT288" s="223">
        <f t="shared" si="510"/>
        <v>13228.472222222223</v>
      </c>
      <c r="AU288" s="223">
        <f t="shared" si="511"/>
        <v>650.58060109289613</v>
      </c>
      <c r="AV288" s="227">
        <f t="shared" si="512"/>
        <v>3.3377848486670497E-3</v>
      </c>
    </row>
    <row r="289" spans="1:49" x14ac:dyDescent="0.25">
      <c r="A289" s="365" t="s">
        <v>153</v>
      </c>
      <c r="B289" s="365" t="s">
        <v>37</v>
      </c>
      <c r="C289" s="328">
        <v>44</v>
      </c>
      <c r="D289" s="328">
        <f>Kennzahlen!H289</f>
        <v>697</v>
      </c>
      <c r="E289" s="223">
        <f t="shared" si="486"/>
        <v>19247401.59</v>
      </c>
      <c r="F289" s="223">
        <f t="shared" si="513"/>
        <v>437440.94522727275</v>
      </c>
      <c r="G289" s="224">
        <f t="shared" si="515"/>
        <v>27614.636427546629</v>
      </c>
      <c r="H289" s="223"/>
      <c r="I289" s="223">
        <f t="shared" si="516"/>
        <v>19247401.59</v>
      </c>
      <c r="J289" s="365">
        <v>19247691.239999998</v>
      </c>
      <c r="K289" s="365">
        <v>0</v>
      </c>
      <c r="L289" s="365">
        <v>0</v>
      </c>
      <c r="M289" s="365">
        <v>289.64999999999998</v>
      </c>
      <c r="N289" s="365"/>
      <c r="O289" s="368"/>
      <c r="P289" s="365">
        <v>8257762.3899999997</v>
      </c>
      <c r="Q289" s="27">
        <f t="shared" si="517"/>
        <v>8257472.7399999993</v>
      </c>
      <c r="R289" s="223">
        <f t="shared" si="488"/>
        <v>8257472.7399999993</v>
      </c>
      <c r="S289" s="226">
        <f t="shared" si="496"/>
        <v>0.42901753264659759</v>
      </c>
      <c r="T289" s="223">
        <f t="shared" si="497"/>
        <v>187669.83499999999</v>
      </c>
      <c r="U289" s="224">
        <f t="shared" si="498"/>
        <v>11847.163185078909</v>
      </c>
      <c r="V289" s="365">
        <v>621656.25</v>
      </c>
      <c r="W289" s="223">
        <f t="shared" si="489"/>
        <v>621656.25</v>
      </c>
      <c r="X289" s="226">
        <f t="shared" si="499"/>
        <v>3.2298190854134927E-2</v>
      </c>
      <c r="Y289" s="223">
        <f t="shared" si="500"/>
        <v>14128.551136363636</v>
      </c>
      <c r="Z289" s="224">
        <f t="shared" si="501"/>
        <v>891.90279770444761</v>
      </c>
      <c r="AA289" s="365">
        <v>1287543</v>
      </c>
      <c r="AB289" s="365">
        <v>95986.6</v>
      </c>
      <c r="AC289" s="225">
        <f>Artengliederung!AE289</f>
        <v>6038066.6500000004</v>
      </c>
      <c r="AD289" s="223">
        <f t="shared" si="490"/>
        <v>6038066.6500000004</v>
      </c>
      <c r="AE289" s="226">
        <f t="shared" si="518"/>
        <v>0.31370814505876377</v>
      </c>
      <c r="AF289" s="223">
        <f t="shared" si="502"/>
        <v>137228.78750000001</v>
      </c>
      <c r="AG289" s="224">
        <f t="shared" si="503"/>
        <v>8662.9363701578204</v>
      </c>
      <c r="AH289" s="225">
        <f t="shared" si="514"/>
        <v>1191556.3999999999</v>
      </c>
      <c r="AI289" s="223">
        <f t="shared" si="493"/>
        <v>1191556.3999999999</v>
      </c>
      <c r="AJ289" s="226">
        <f t="shared" si="504"/>
        <v>6.1907390170477548E-2</v>
      </c>
      <c r="AK289" s="223">
        <f t="shared" si="505"/>
        <v>27080.827272727271</v>
      </c>
      <c r="AL289" s="224">
        <f t="shared" si="506"/>
        <v>1709.5500717360114</v>
      </c>
      <c r="AM289" s="365">
        <v>56594.75</v>
      </c>
      <c r="AN289" s="223">
        <f t="shared" si="494"/>
        <v>56594.75</v>
      </c>
      <c r="AO289" s="226">
        <f t="shared" si="507"/>
        <v>2.9403839128811986E-3</v>
      </c>
      <c r="AP289" s="223">
        <f t="shared" si="508"/>
        <v>1286.2443181818182</v>
      </c>
      <c r="AQ289" s="224">
        <f t="shared" si="519"/>
        <v>81.197632711621239</v>
      </c>
      <c r="AR289" s="223">
        <f>Artengliederung!X289</f>
        <v>495493.75</v>
      </c>
      <c r="AS289" s="226">
        <f t="shared" si="509"/>
        <v>2.5743409970592296E-2</v>
      </c>
      <c r="AT289" s="223">
        <f t="shared" si="510"/>
        <v>11261.22159090909</v>
      </c>
      <c r="AU289" s="223">
        <f t="shared" si="511"/>
        <v>710.89490674318506</v>
      </c>
      <c r="AV289" s="227">
        <f t="shared" si="512"/>
        <v>0.13438494738655274</v>
      </c>
    </row>
    <row r="290" spans="1:49" x14ac:dyDescent="0.25">
      <c r="A290" s="365" t="s">
        <v>165</v>
      </c>
      <c r="B290" s="365" t="s">
        <v>37</v>
      </c>
      <c r="C290" s="328">
        <v>12</v>
      </c>
      <c r="D290" s="328">
        <f>Kennzahlen!H290</f>
        <v>243</v>
      </c>
      <c r="E290" s="223">
        <f t="shared" si="486"/>
        <v>3737011.25</v>
      </c>
      <c r="F290" s="223">
        <f t="shared" si="513"/>
        <v>311417.60416666669</v>
      </c>
      <c r="G290" s="224">
        <f t="shared" si="515"/>
        <v>15378.647119341564</v>
      </c>
      <c r="H290" s="223"/>
      <c r="I290" s="223">
        <f t="shared" si="516"/>
        <v>3737011.25</v>
      </c>
      <c r="J290" s="365">
        <v>3807776.85</v>
      </c>
      <c r="K290" s="365">
        <v>0</v>
      </c>
      <c r="L290" s="365">
        <v>0</v>
      </c>
      <c r="M290" s="365">
        <v>70765.600000000006</v>
      </c>
      <c r="N290" s="365"/>
      <c r="O290" s="368"/>
      <c r="P290" s="365">
        <v>2241608.15</v>
      </c>
      <c r="Q290" s="27">
        <f t="shared" si="517"/>
        <v>2170842.5499999998</v>
      </c>
      <c r="R290" s="223">
        <f t="shared" si="488"/>
        <v>2170842.5499999998</v>
      </c>
      <c r="S290" s="226">
        <f t="shared" si="496"/>
        <v>0.58090340241817573</v>
      </c>
      <c r="T290" s="223">
        <f t="shared" si="497"/>
        <v>180903.54583333331</v>
      </c>
      <c r="U290" s="224">
        <f t="shared" si="498"/>
        <v>8933.5084362139914</v>
      </c>
      <c r="V290" s="365">
        <v>144847.04999999999</v>
      </c>
      <c r="W290" s="223">
        <f t="shared" si="489"/>
        <v>144847.04999999999</v>
      </c>
      <c r="X290" s="226">
        <f t="shared" si="499"/>
        <v>3.8760132177819907E-2</v>
      </c>
      <c r="Y290" s="223">
        <f t="shared" si="500"/>
        <v>12070.5875</v>
      </c>
      <c r="Z290" s="224">
        <f t="shared" si="501"/>
        <v>596.07839506172832</v>
      </c>
      <c r="AA290" s="365">
        <v>396326.9</v>
      </c>
      <c r="AB290" s="365">
        <v>42057.05</v>
      </c>
      <c r="AC290" s="225">
        <f>Artengliederung!AE290</f>
        <v>577750.80000000005</v>
      </c>
      <c r="AD290" s="223">
        <f t="shared" si="490"/>
        <v>577750.80000000005</v>
      </c>
      <c r="AE290" s="226">
        <f t="shared" si="518"/>
        <v>0.154602371079295</v>
      </c>
      <c r="AF290" s="223">
        <f t="shared" si="502"/>
        <v>48145.9</v>
      </c>
      <c r="AG290" s="224">
        <f t="shared" si="503"/>
        <v>2377.5753086419754</v>
      </c>
      <c r="AH290" s="225">
        <f t="shared" si="514"/>
        <v>354269.85000000003</v>
      </c>
      <c r="AI290" s="223">
        <f t="shared" si="493"/>
        <v>354269.85000000003</v>
      </c>
      <c r="AJ290" s="226">
        <f t="shared" si="504"/>
        <v>9.4800316696932618E-2</v>
      </c>
      <c r="AK290" s="223">
        <f t="shared" si="505"/>
        <v>29522.487500000003</v>
      </c>
      <c r="AL290" s="224">
        <f t="shared" si="506"/>
        <v>1457.9006172839509</v>
      </c>
      <c r="AM290" s="365">
        <v>2548</v>
      </c>
      <c r="AN290" s="223">
        <f t="shared" si="494"/>
        <v>2548</v>
      </c>
      <c r="AO290" s="226">
        <f t="shared" si="507"/>
        <v>6.8182829259612213E-4</v>
      </c>
      <c r="AP290" s="223">
        <f t="shared" si="508"/>
        <v>212.33333333333334</v>
      </c>
      <c r="AQ290" s="224">
        <f t="shared" si="519"/>
        <v>10.48559670781893</v>
      </c>
      <c r="AR290" s="223">
        <f>Artengliederung!X290</f>
        <v>420045.85</v>
      </c>
      <c r="AS290" s="226">
        <f t="shared" si="509"/>
        <v>0.1124015481623182</v>
      </c>
      <c r="AT290" s="223">
        <f t="shared" si="510"/>
        <v>35003.820833333331</v>
      </c>
      <c r="AU290" s="223">
        <f t="shared" si="511"/>
        <v>1728.5837448559669</v>
      </c>
      <c r="AV290" s="227">
        <f t="shared" si="512"/>
        <v>1.7850401172862407E-2</v>
      </c>
    </row>
    <row r="291" spans="1:49" x14ac:dyDescent="0.25">
      <c r="A291" s="365" t="s">
        <v>166</v>
      </c>
      <c r="B291" s="365" t="s">
        <v>37</v>
      </c>
      <c r="C291" s="328">
        <v>10</v>
      </c>
      <c r="D291" s="328">
        <f>Kennzahlen!H291</f>
        <v>198</v>
      </c>
      <c r="E291" s="223">
        <f t="shared" si="486"/>
        <v>4052213.05</v>
      </c>
      <c r="F291" s="223">
        <f t="shared" si="513"/>
        <v>405221.30499999999</v>
      </c>
      <c r="G291" s="224">
        <f t="shared" si="515"/>
        <v>20465.722474747472</v>
      </c>
      <c r="H291" s="223"/>
      <c r="I291" s="223">
        <f t="shared" si="516"/>
        <v>4052213.05</v>
      </c>
      <c r="J291" s="365">
        <v>4105796.05</v>
      </c>
      <c r="K291" s="365">
        <v>0</v>
      </c>
      <c r="L291" s="365">
        <v>0</v>
      </c>
      <c r="M291" s="365">
        <v>53583</v>
      </c>
      <c r="N291" s="365"/>
      <c r="O291" s="368"/>
      <c r="P291" s="365">
        <v>2416595.6</v>
      </c>
      <c r="Q291" s="27">
        <f t="shared" si="517"/>
        <v>2363012.6</v>
      </c>
      <c r="R291" s="223">
        <f t="shared" si="488"/>
        <v>2363012.6</v>
      </c>
      <c r="S291" s="226">
        <f t="shared" ref="S291:S304" si="520">R291/$E291</f>
        <v>0.58314125413519413</v>
      </c>
      <c r="T291" s="223">
        <f t="shared" ref="T291:T300" si="521">R291/C291</f>
        <v>236301.26</v>
      </c>
      <c r="U291" s="224">
        <f t="shared" ref="U291:U304" si="522">R291/D291</f>
        <v>11934.407070707071</v>
      </c>
      <c r="V291" s="365">
        <v>158279.79999999999</v>
      </c>
      <c r="W291" s="223">
        <f t="shared" si="489"/>
        <v>158279.79999999999</v>
      </c>
      <c r="X291" s="226">
        <f t="shared" ref="X291:X306" si="523">W291/E291</f>
        <v>3.9060088412676129E-2</v>
      </c>
      <c r="Y291" s="223">
        <f t="shared" ref="Y291:Y306" si="524">W291/C291</f>
        <v>15827.98</v>
      </c>
      <c r="Z291" s="224">
        <f t="shared" ref="Z291:Z306" si="525">W291/D291</f>
        <v>799.39292929292924</v>
      </c>
      <c r="AA291" s="365">
        <v>607530.30000000005</v>
      </c>
      <c r="AB291" s="365">
        <v>198116.15</v>
      </c>
      <c r="AC291" s="225">
        <f>Artengliederung!AE291</f>
        <v>263142</v>
      </c>
      <c r="AD291" s="223">
        <f t="shared" si="490"/>
        <v>263142</v>
      </c>
      <c r="AE291" s="226">
        <f t="shared" si="518"/>
        <v>6.4937849208101237E-2</v>
      </c>
      <c r="AF291" s="223">
        <f t="shared" ref="AF291:AF306" si="526">AD291/C291</f>
        <v>26314.2</v>
      </c>
      <c r="AG291" s="224">
        <f t="shared" ref="AG291:AG306" si="527">AD291/D291</f>
        <v>1329</v>
      </c>
      <c r="AH291" s="225">
        <f t="shared" si="514"/>
        <v>409414.15</v>
      </c>
      <c r="AI291" s="223">
        <f t="shared" si="493"/>
        <v>409414.15</v>
      </c>
      <c r="AJ291" s="226">
        <f t="shared" ref="AJ291:AJ306" si="528">AI291/$E291</f>
        <v>0.10103470497435964</v>
      </c>
      <c r="AK291" s="223">
        <f t="shared" ref="AK291:AK306" si="529">AI291/C291</f>
        <v>40941.415000000001</v>
      </c>
      <c r="AL291" s="224">
        <f t="shared" ref="AL291:AL306" si="530">AI291/D291</f>
        <v>2067.7482323232325</v>
      </c>
      <c r="AM291" s="365">
        <v>15082.35</v>
      </c>
      <c r="AN291" s="223">
        <f t="shared" si="494"/>
        <v>15082.35</v>
      </c>
      <c r="AO291" s="226">
        <f t="shared" ref="AO291:AO306" si="531">AN291/$E291</f>
        <v>3.7220032150086482E-3</v>
      </c>
      <c r="AP291" s="223">
        <f t="shared" ref="AP291:AP306" si="532">AN291/C291</f>
        <v>1508.2350000000001</v>
      </c>
      <c r="AQ291" s="224">
        <f t="shared" si="519"/>
        <v>76.173484848484847</v>
      </c>
      <c r="AR291" s="223">
        <f>Artengliederung!X291</f>
        <v>155757.20000000001</v>
      </c>
      <c r="AS291" s="226">
        <f t="shared" ref="AS291:AS306" si="533">AR291/E291</f>
        <v>3.8437564382257747E-2</v>
      </c>
      <c r="AT291" s="223">
        <f t="shared" ref="AT291:AT306" si="534">AR291/C291</f>
        <v>15575.720000000001</v>
      </c>
      <c r="AU291" s="223">
        <f t="shared" ref="AU291:AU306" si="535">AR291/D291</f>
        <v>786.65252525252527</v>
      </c>
      <c r="AV291" s="227">
        <f t="shared" ref="AV291:AV306" si="536">1-S291-X291-AJ291-AE291-AO291-AS291</f>
        <v>0.16966653567240247</v>
      </c>
    </row>
    <row r="292" spans="1:49" x14ac:dyDescent="0.25">
      <c r="A292" s="365" t="s">
        <v>173</v>
      </c>
      <c r="B292" s="365" t="s">
        <v>37</v>
      </c>
      <c r="C292" s="328">
        <v>12</v>
      </c>
      <c r="D292" s="328">
        <f>Kennzahlen!H292</f>
        <v>183</v>
      </c>
      <c r="E292" s="223">
        <f t="shared" si="486"/>
        <v>3037036.5</v>
      </c>
      <c r="F292" s="223">
        <f t="shared" ref="F292:F306" si="537">E292/C292</f>
        <v>253086.375</v>
      </c>
      <c r="G292" s="224">
        <f t="shared" si="515"/>
        <v>16595.827868852459</v>
      </c>
      <c r="H292" s="223"/>
      <c r="I292" s="223">
        <f t="shared" si="516"/>
        <v>3037036.5</v>
      </c>
      <c r="J292" s="365">
        <v>3207776.05</v>
      </c>
      <c r="K292" s="365">
        <v>0</v>
      </c>
      <c r="L292" s="365">
        <v>0</v>
      </c>
      <c r="M292" s="365">
        <v>170739.55</v>
      </c>
      <c r="N292" s="365"/>
      <c r="O292" s="368"/>
      <c r="P292" s="365">
        <v>2153185.15</v>
      </c>
      <c r="Q292" s="27">
        <f t="shared" si="517"/>
        <v>1982445.5999999999</v>
      </c>
      <c r="R292" s="223">
        <f t="shared" si="488"/>
        <v>1982445.5999999999</v>
      </c>
      <c r="S292" s="226">
        <f t="shared" si="520"/>
        <v>0.65275659347525128</v>
      </c>
      <c r="T292" s="223">
        <f t="shared" si="521"/>
        <v>165203.79999999999</v>
      </c>
      <c r="U292" s="224">
        <f t="shared" si="522"/>
        <v>10833.03606557377</v>
      </c>
      <c r="V292" s="365">
        <v>125507.85</v>
      </c>
      <c r="W292" s="223">
        <f t="shared" si="489"/>
        <v>125507.85</v>
      </c>
      <c r="X292" s="226">
        <f t="shared" si="523"/>
        <v>4.1325762795409275E-2</v>
      </c>
      <c r="Y292" s="223">
        <f t="shared" si="524"/>
        <v>10458.987500000001</v>
      </c>
      <c r="Z292" s="224">
        <f t="shared" si="525"/>
        <v>685.83524590163938</v>
      </c>
      <c r="AA292" s="365">
        <v>359417.5</v>
      </c>
      <c r="AB292" s="365">
        <v>41975</v>
      </c>
      <c r="AC292" s="225">
        <f>Artengliederung!AE292</f>
        <v>343090.65</v>
      </c>
      <c r="AD292" s="223">
        <f t="shared" si="490"/>
        <v>343090.65</v>
      </c>
      <c r="AE292" s="226">
        <f t="shared" si="518"/>
        <v>0.11296889253718223</v>
      </c>
      <c r="AF292" s="223">
        <f t="shared" si="526"/>
        <v>28590.887500000001</v>
      </c>
      <c r="AG292" s="224">
        <f t="shared" si="527"/>
        <v>1874.8122950819672</v>
      </c>
      <c r="AH292" s="225">
        <f t="shared" si="514"/>
        <v>317442.5</v>
      </c>
      <c r="AI292" s="223">
        <f t="shared" si="493"/>
        <v>317442.5</v>
      </c>
      <c r="AJ292" s="226">
        <f t="shared" si="528"/>
        <v>0.1045237684828615</v>
      </c>
      <c r="AK292" s="223">
        <f t="shared" si="529"/>
        <v>26453.541666666668</v>
      </c>
      <c r="AL292" s="224">
        <f t="shared" si="530"/>
        <v>1734.6584699453551</v>
      </c>
      <c r="AM292" s="365">
        <v>6737.65</v>
      </c>
      <c r="AN292" s="223">
        <f t="shared" si="494"/>
        <v>6737.65</v>
      </c>
      <c r="AO292" s="226">
        <f t="shared" si="531"/>
        <v>2.2184949044899527E-3</v>
      </c>
      <c r="AP292" s="223">
        <f t="shared" si="532"/>
        <v>561.4708333333333</v>
      </c>
      <c r="AQ292" s="224">
        <f t="shared" si="519"/>
        <v>36.81775956284153</v>
      </c>
      <c r="AR292" s="223">
        <f>Artengliederung!X292</f>
        <v>198747.8</v>
      </c>
      <c r="AS292" s="226">
        <f t="shared" si="533"/>
        <v>6.5441360352435668E-2</v>
      </c>
      <c r="AT292" s="223">
        <f t="shared" si="534"/>
        <v>16562.316666666666</v>
      </c>
      <c r="AU292" s="223">
        <f t="shared" si="535"/>
        <v>1086.0535519125683</v>
      </c>
      <c r="AV292" s="227">
        <f t="shared" si="536"/>
        <v>2.0765127452370094E-2</v>
      </c>
    </row>
    <row r="293" spans="1:49" x14ac:dyDescent="0.25">
      <c r="A293" s="365" t="s">
        <v>228</v>
      </c>
      <c r="B293" s="365" t="s">
        <v>37</v>
      </c>
      <c r="C293" s="328">
        <v>22</v>
      </c>
      <c r="D293" s="328">
        <f>Kennzahlen!H293</f>
        <v>366</v>
      </c>
      <c r="E293" s="223">
        <f t="shared" si="486"/>
        <v>5694643.9900000002</v>
      </c>
      <c r="F293" s="223">
        <f t="shared" si="537"/>
        <v>258847.4540909091</v>
      </c>
      <c r="G293" s="224">
        <f t="shared" si="515"/>
        <v>15559.136584699454</v>
      </c>
      <c r="H293" s="223"/>
      <c r="I293" s="223">
        <f t="shared" si="516"/>
        <v>5694643.9900000002</v>
      </c>
      <c r="J293" s="365">
        <v>5776246.1900000004</v>
      </c>
      <c r="K293" s="365">
        <v>0</v>
      </c>
      <c r="L293" s="365">
        <v>0</v>
      </c>
      <c r="M293" s="365">
        <v>81602.2</v>
      </c>
      <c r="N293" s="365"/>
      <c r="O293" s="368"/>
      <c r="P293" s="365">
        <v>4082146.64</v>
      </c>
      <c r="Q293" s="27">
        <f t="shared" si="517"/>
        <v>4000544.44</v>
      </c>
      <c r="R293" s="223">
        <f t="shared" si="488"/>
        <v>4000544.44</v>
      </c>
      <c r="S293" s="226">
        <f t="shared" si="520"/>
        <v>0.70251001590706985</v>
      </c>
      <c r="T293" s="223">
        <f t="shared" si="521"/>
        <v>181842.92909090908</v>
      </c>
      <c r="U293" s="224">
        <f t="shared" si="522"/>
        <v>10930.449289617487</v>
      </c>
      <c r="V293" s="365">
        <v>338247.7</v>
      </c>
      <c r="W293" s="223">
        <f t="shared" si="489"/>
        <v>338247.7</v>
      </c>
      <c r="X293" s="226">
        <f t="shared" si="523"/>
        <v>5.9397514681159197E-2</v>
      </c>
      <c r="Y293" s="223">
        <f t="shared" si="524"/>
        <v>15374.895454545454</v>
      </c>
      <c r="Z293" s="224">
        <f t="shared" si="525"/>
        <v>924.17404371584701</v>
      </c>
      <c r="AA293" s="365">
        <v>724472.65</v>
      </c>
      <c r="AB293" s="365">
        <v>13688.5</v>
      </c>
      <c r="AC293" s="225">
        <f>Artengliederung!AE293</f>
        <v>269042.90000000002</v>
      </c>
      <c r="AD293" s="223">
        <f t="shared" si="490"/>
        <v>269042.90000000002</v>
      </c>
      <c r="AE293" s="226">
        <f t="shared" si="518"/>
        <v>4.7244902485993688E-2</v>
      </c>
      <c r="AF293" s="223">
        <f t="shared" si="526"/>
        <v>12229.222727272729</v>
      </c>
      <c r="AG293" s="224">
        <f t="shared" si="527"/>
        <v>735.08989071038263</v>
      </c>
      <c r="AH293" s="225">
        <f t="shared" si="514"/>
        <v>710784.15</v>
      </c>
      <c r="AI293" s="223">
        <f t="shared" si="493"/>
        <v>710784.15</v>
      </c>
      <c r="AJ293" s="226">
        <f t="shared" si="528"/>
        <v>0.12481625738995494</v>
      </c>
      <c r="AK293" s="223">
        <f t="shared" si="529"/>
        <v>32308.370454545457</v>
      </c>
      <c r="AL293" s="224">
        <f t="shared" si="530"/>
        <v>1942.0331967213115</v>
      </c>
      <c r="AM293" s="365">
        <v>12974.8</v>
      </c>
      <c r="AN293" s="223">
        <f t="shared" si="494"/>
        <v>12974.8</v>
      </c>
      <c r="AO293" s="226">
        <f t="shared" si="531"/>
        <v>2.2784216226307062E-3</v>
      </c>
      <c r="AP293" s="223">
        <f t="shared" si="532"/>
        <v>589.76363636363635</v>
      </c>
      <c r="AQ293" s="224">
        <f t="shared" si="519"/>
        <v>35.450273224043713</v>
      </c>
      <c r="AR293" s="223">
        <f>Artengliederung!X293</f>
        <v>126531.25</v>
      </c>
      <c r="AS293" s="226">
        <f t="shared" si="533"/>
        <v>2.2219343337738659E-2</v>
      </c>
      <c r="AT293" s="223">
        <f t="shared" si="534"/>
        <v>5751.420454545455</v>
      </c>
      <c r="AU293" s="223">
        <f t="shared" si="535"/>
        <v>345.71379781420762</v>
      </c>
      <c r="AV293" s="227">
        <f t="shared" si="536"/>
        <v>4.1533544575452955E-2</v>
      </c>
    </row>
    <row r="294" spans="1:49" x14ac:dyDescent="0.25">
      <c r="A294" s="365" t="s">
        <v>183</v>
      </c>
      <c r="B294" s="365" t="s">
        <v>37</v>
      </c>
      <c r="C294" s="328">
        <v>8</v>
      </c>
      <c r="D294" s="328">
        <f>Kennzahlen!H294</f>
        <v>138</v>
      </c>
      <c r="E294" s="223">
        <f t="shared" si="486"/>
        <v>2036189.1</v>
      </c>
      <c r="F294" s="223">
        <f t="shared" si="537"/>
        <v>254523.63750000001</v>
      </c>
      <c r="G294" s="224">
        <f t="shared" si="515"/>
        <v>14754.993478260871</v>
      </c>
      <c r="H294" s="223"/>
      <c r="I294" s="223">
        <f t="shared" si="516"/>
        <v>2036189.1</v>
      </c>
      <c r="J294" s="365">
        <v>2105408.85</v>
      </c>
      <c r="K294" s="365">
        <v>0</v>
      </c>
      <c r="L294" s="365">
        <v>0</v>
      </c>
      <c r="M294" s="365">
        <v>69219.75</v>
      </c>
      <c r="N294" s="365"/>
      <c r="O294" s="368"/>
      <c r="P294" s="365">
        <v>1749507.55</v>
      </c>
      <c r="Q294" s="27">
        <f t="shared" si="517"/>
        <v>1680287.8</v>
      </c>
      <c r="R294" s="223">
        <f t="shared" si="488"/>
        <v>1680287.8</v>
      </c>
      <c r="S294" s="226">
        <f t="shared" si="520"/>
        <v>0.82521205913537199</v>
      </c>
      <c r="T294" s="223">
        <f t="shared" si="521"/>
        <v>210035.97500000001</v>
      </c>
      <c r="U294" s="224">
        <f t="shared" si="522"/>
        <v>12175.998550724638</v>
      </c>
      <c r="V294" s="365">
        <v>71764.600000000006</v>
      </c>
      <c r="W294" s="223">
        <f t="shared" si="489"/>
        <v>71764.600000000006</v>
      </c>
      <c r="X294" s="226">
        <f t="shared" si="523"/>
        <v>3.5244565448268046E-2</v>
      </c>
      <c r="Y294" s="223">
        <f t="shared" si="524"/>
        <v>8970.5750000000007</v>
      </c>
      <c r="Z294" s="224">
        <f t="shared" si="525"/>
        <v>520.03333333333342</v>
      </c>
      <c r="AA294" s="365">
        <v>184099.15</v>
      </c>
      <c r="AB294" s="365">
        <v>0</v>
      </c>
      <c r="AC294" s="225">
        <f>Artengliederung!AE294</f>
        <v>54637.4</v>
      </c>
      <c r="AD294" s="223">
        <f t="shared" si="490"/>
        <v>54637.4</v>
      </c>
      <c r="AE294" s="226">
        <f t="shared" si="518"/>
        <v>2.6833165937289419E-2</v>
      </c>
      <c r="AF294" s="223">
        <f t="shared" si="526"/>
        <v>6829.6750000000002</v>
      </c>
      <c r="AG294" s="224">
        <f t="shared" si="527"/>
        <v>395.92318840579713</v>
      </c>
      <c r="AH294" s="225">
        <f t="shared" si="514"/>
        <v>184099.15</v>
      </c>
      <c r="AI294" s="223">
        <f t="shared" si="493"/>
        <v>184099.15</v>
      </c>
      <c r="AJ294" s="226">
        <f t="shared" si="528"/>
        <v>9.0413581921246891E-2</v>
      </c>
      <c r="AK294" s="223">
        <f t="shared" si="529"/>
        <v>23012.393749999999</v>
      </c>
      <c r="AL294" s="224">
        <f t="shared" si="530"/>
        <v>1334.0518115942029</v>
      </c>
      <c r="AM294" s="365">
        <v>5144.6499999999996</v>
      </c>
      <c r="AN294" s="223">
        <f t="shared" si="494"/>
        <v>5144.6499999999996</v>
      </c>
      <c r="AO294" s="226">
        <f t="shared" si="531"/>
        <v>2.5266071800502219E-3</v>
      </c>
      <c r="AP294" s="223">
        <f t="shared" si="532"/>
        <v>643.08124999999995</v>
      </c>
      <c r="AQ294" s="224">
        <f t="shared" si="519"/>
        <v>37.280072463768114</v>
      </c>
      <c r="AR294" s="223">
        <f>Artengliederung!X294</f>
        <v>20625</v>
      </c>
      <c r="AS294" s="226">
        <f t="shared" si="533"/>
        <v>1.0129216387613507E-2</v>
      </c>
      <c r="AT294" s="223">
        <f t="shared" si="534"/>
        <v>2578.125</v>
      </c>
      <c r="AU294" s="223">
        <f t="shared" si="535"/>
        <v>149.45652173913044</v>
      </c>
      <c r="AV294" s="227">
        <f t="shared" si="536"/>
        <v>9.6408039901599331E-3</v>
      </c>
    </row>
    <row r="295" spans="1:49" x14ac:dyDescent="0.25">
      <c r="A295" s="365" t="s">
        <v>185</v>
      </c>
      <c r="B295" s="365" t="s">
        <v>37</v>
      </c>
      <c r="C295" s="328">
        <v>14</v>
      </c>
      <c r="D295" s="328">
        <f>Kennzahlen!H295</f>
        <v>252</v>
      </c>
      <c r="E295" s="223">
        <f t="shared" si="486"/>
        <v>3694152.55</v>
      </c>
      <c r="F295" s="223">
        <f t="shared" si="537"/>
        <v>263868.03928571427</v>
      </c>
      <c r="G295" s="224">
        <f t="shared" ref="G295:G304" si="538">E295/D295</f>
        <v>14659.335515873016</v>
      </c>
      <c r="H295" s="223"/>
      <c r="I295" s="223">
        <f t="shared" ref="I295:I300" si="539">J295-K295-L295-M295</f>
        <v>3694152.55</v>
      </c>
      <c r="J295" s="365">
        <v>3802792.9</v>
      </c>
      <c r="K295" s="365">
        <v>0</v>
      </c>
      <c r="L295" s="365">
        <v>11378.45</v>
      </c>
      <c r="M295" s="365">
        <v>97261.9</v>
      </c>
      <c r="N295" s="365"/>
      <c r="O295" s="368"/>
      <c r="P295" s="365">
        <v>2648515.7999999998</v>
      </c>
      <c r="Q295" s="27">
        <f t="shared" ref="Q295:Q300" si="540">P295-M295</f>
        <v>2551253.9</v>
      </c>
      <c r="R295" s="223">
        <f t="shared" si="488"/>
        <v>2551253.9</v>
      </c>
      <c r="S295" s="226">
        <f t="shared" si="520"/>
        <v>0.69061953058760395</v>
      </c>
      <c r="T295" s="223">
        <f t="shared" si="521"/>
        <v>182232.42142857143</v>
      </c>
      <c r="U295" s="224">
        <f t="shared" si="522"/>
        <v>10124.023412698412</v>
      </c>
      <c r="V295" s="365">
        <v>150191.54999999999</v>
      </c>
      <c r="W295" s="223">
        <f t="shared" si="489"/>
        <v>150191.54999999999</v>
      </c>
      <c r="X295" s="226">
        <f t="shared" si="523"/>
        <v>4.0656564115090485E-2</v>
      </c>
      <c r="Y295" s="223">
        <f t="shared" si="524"/>
        <v>10727.967857142856</v>
      </c>
      <c r="Z295" s="224">
        <f t="shared" si="525"/>
        <v>595.9982142857142</v>
      </c>
      <c r="AA295" s="365">
        <v>210282.45</v>
      </c>
      <c r="AB295" s="365">
        <v>19293.5</v>
      </c>
      <c r="AC295" s="225">
        <f>Artengliederung!AE295</f>
        <v>459573</v>
      </c>
      <c r="AD295" s="223">
        <f t="shared" si="490"/>
        <v>459573</v>
      </c>
      <c r="AE295" s="226">
        <f t="shared" si="518"/>
        <v>0.12440552840732039</v>
      </c>
      <c r="AF295" s="223">
        <f t="shared" si="526"/>
        <v>32826.642857142855</v>
      </c>
      <c r="AG295" s="224">
        <f t="shared" si="527"/>
        <v>1823.702380952381</v>
      </c>
      <c r="AH295" s="225">
        <f t="shared" ref="AH295:AH300" si="541">AA295-AB295</f>
        <v>190988.95</v>
      </c>
      <c r="AI295" s="223">
        <f t="shared" si="493"/>
        <v>190988.95</v>
      </c>
      <c r="AJ295" s="226">
        <f t="shared" si="528"/>
        <v>5.1700341936339371E-2</v>
      </c>
      <c r="AK295" s="223">
        <f t="shared" si="529"/>
        <v>13642.067857142858</v>
      </c>
      <c r="AL295" s="224">
        <f t="shared" si="530"/>
        <v>757.89265873015881</v>
      </c>
      <c r="AM295" s="365">
        <v>6475.8</v>
      </c>
      <c r="AN295" s="223">
        <f t="shared" si="494"/>
        <v>6475.8</v>
      </c>
      <c r="AO295" s="226">
        <f t="shared" si="531"/>
        <v>1.7529866220603154E-3</v>
      </c>
      <c r="AP295" s="223">
        <f t="shared" si="532"/>
        <v>462.55714285714288</v>
      </c>
      <c r="AQ295" s="224">
        <f t="shared" si="519"/>
        <v>25.69761904761905</v>
      </c>
      <c r="AR295" s="223">
        <f>Artengliederung!X295</f>
        <v>227742.8</v>
      </c>
      <c r="AS295" s="226">
        <f t="shared" si="533"/>
        <v>6.1649538538953948E-2</v>
      </c>
      <c r="AT295" s="223">
        <f t="shared" si="534"/>
        <v>16267.342857142856</v>
      </c>
      <c r="AU295" s="223">
        <f t="shared" si="535"/>
        <v>903.74126984126974</v>
      </c>
      <c r="AV295" s="227">
        <f t="shared" si="536"/>
        <v>2.9215509792631524E-2</v>
      </c>
    </row>
    <row r="296" spans="1:49" x14ac:dyDescent="0.25">
      <c r="A296" s="365" t="s">
        <v>189</v>
      </c>
      <c r="B296" s="365" t="s">
        <v>37</v>
      </c>
      <c r="C296" s="328">
        <v>12</v>
      </c>
      <c r="D296" s="328">
        <f>Kennzahlen!H296</f>
        <v>204</v>
      </c>
      <c r="E296" s="223">
        <f t="shared" si="486"/>
        <v>3441971.5</v>
      </c>
      <c r="F296" s="223">
        <f t="shared" si="537"/>
        <v>286830.95833333331</v>
      </c>
      <c r="G296" s="224">
        <f t="shared" si="538"/>
        <v>16872.409313725489</v>
      </c>
      <c r="H296" s="223"/>
      <c r="I296" s="223">
        <f t="shared" si="539"/>
        <v>3441971.5</v>
      </c>
      <c r="J296" s="365">
        <v>3475971.5</v>
      </c>
      <c r="K296" s="365">
        <v>0</v>
      </c>
      <c r="L296" s="365">
        <v>0</v>
      </c>
      <c r="M296" s="365">
        <v>34000</v>
      </c>
      <c r="N296" s="365"/>
      <c r="O296" s="368"/>
      <c r="P296" s="365">
        <v>2889848.9</v>
      </c>
      <c r="Q296" s="27">
        <f t="shared" si="540"/>
        <v>2855848.9</v>
      </c>
      <c r="R296" s="223">
        <f t="shared" si="488"/>
        <v>2855848.9</v>
      </c>
      <c r="S296" s="226">
        <f t="shared" si="520"/>
        <v>0.829713116450848</v>
      </c>
      <c r="T296" s="223">
        <f t="shared" si="521"/>
        <v>237987.40833333333</v>
      </c>
      <c r="U296" s="224">
        <f t="shared" si="522"/>
        <v>13999.25931372549</v>
      </c>
      <c r="V296" s="365">
        <v>164086.6</v>
      </c>
      <c r="W296" s="223">
        <f t="shared" si="489"/>
        <v>164086.6</v>
      </c>
      <c r="X296" s="226">
        <f t="shared" si="523"/>
        <v>4.7672271545537201E-2</v>
      </c>
      <c r="Y296" s="223">
        <f t="shared" si="524"/>
        <v>13673.883333333333</v>
      </c>
      <c r="Z296" s="224">
        <f t="shared" si="525"/>
        <v>804.34607843137258</v>
      </c>
      <c r="AA296" s="365">
        <v>388239.55</v>
      </c>
      <c r="AB296" s="365">
        <v>0</v>
      </c>
      <c r="AC296" s="225">
        <f>Artengliederung!AE296</f>
        <v>0</v>
      </c>
      <c r="AD296" s="223">
        <f t="shared" si="490"/>
        <v>0</v>
      </c>
      <c r="AE296" s="226">
        <f t="shared" si="518"/>
        <v>0</v>
      </c>
      <c r="AF296" s="223">
        <f t="shared" si="526"/>
        <v>0</v>
      </c>
      <c r="AG296" s="224">
        <f t="shared" si="527"/>
        <v>0</v>
      </c>
      <c r="AH296" s="225">
        <f t="shared" si="541"/>
        <v>388239.55</v>
      </c>
      <c r="AI296" s="223">
        <f t="shared" si="493"/>
        <v>388239.55</v>
      </c>
      <c r="AJ296" s="226">
        <f t="shared" si="528"/>
        <v>0.11279568991201699</v>
      </c>
      <c r="AK296" s="223">
        <f t="shared" si="529"/>
        <v>32353.295833333334</v>
      </c>
      <c r="AL296" s="224">
        <f t="shared" si="530"/>
        <v>1903.1350490196078</v>
      </c>
      <c r="AM296" s="365">
        <v>2178</v>
      </c>
      <c r="AN296" s="223">
        <f t="shared" si="494"/>
        <v>2178</v>
      </c>
      <c r="AO296" s="226">
        <f t="shared" si="531"/>
        <v>6.3277688382951461E-4</v>
      </c>
      <c r="AP296" s="223">
        <f t="shared" si="532"/>
        <v>181.5</v>
      </c>
      <c r="AQ296" s="224">
        <f t="shared" si="519"/>
        <v>10.676470588235293</v>
      </c>
      <c r="AR296" s="223">
        <f>Artengliederung!X296</f>
        <v>0</v>
      </c>
      <c r="AS296" s="226">
        <f t="shared" si="533"/>
        <v>0</v>
      </c>
      <c r="AT296" s="223">
        <f t="shared" si="534"/>
        <v>0</v>
      </c>
      <c r="AU296" s="223">
        <f t="shared" si="535"/>
        <v>0</v>
      </c>
      <c r="AV296" s="227">
        <f t="shared" si="536"/>
        <v>9.1861452077682919E-3</v>
      </c>
    </row>
    <row r="297" spans="1:49" x14ac:dyDescent="0.25">
      <c r="A297" s="365" t="s">
        <v>229</v>
      </c>
      <c r="B297" s="365" t="s">
        <v>37</v>
      </c>
      <c r="C297" s="328">
        <v>15</v>
      </c>
      <c r="D297" s="328">
        <f>Kennzahlen!H297</f>
        <v>264</v>
      </c>
      <c r="E297" s="223">
        <f t="shared" si="486"/>
        <v>4222792.1500000004</v>
      </c>
      <c r="F297" s="223">
        <f t="shared" si="537"/>
        <v>281519.47666666668</v>
      </c>
      <c r="G297" s="224">
        <f t="shared" si="538"/>
        <v>15995.424810606062</v>
      </c>
      <c r="H297" s="223"/>
      <c r="I297" s="223">
        <f t="shared" si="539"/>
        <v>4222792.1500000004</v>
      </c>
      <c r="J297" s="365">
        <v>4404772.25</v>
      </c>
      <c r="K297" s="365">
        <v>0</v>
      </c>
      <c r="L297" s="365">
        <v>0</v>
      </c>
      <c r="M297" s="365">
        <v>181980.1</v>
      </c>
      <c r="N297" s="365"/>
      <c r="O297" s="368"/>
      <c r="P297" s="365">
        <v>3255783.05</v>
      </c>
      <c r="Q297" s="27">
        <f t="shared" si="540"/>
        <v>3073802.9499999997</v>
      </c>
      <c r="R297" s="223">
        <f t="shared" si="488"/>
        <v>3073802.9499999997</v>
      </c>
      <c r="S297" s="226">
        <f t="shared" si="520"/>
        <v>0.72790770675274641</v>
      </c>
      <c r="T297" s="223">
        <f t="shared" si="521"/>
        <v>204920.19666666666</v>
      </c>
      <c r="U297" s="224">
        <f t="shared" si="522"/>
        <v>11643.192992424241</v>
      </c>
      <c r="V297" s="365">
        <v>210010.35</v>
      </c>
      <c r="W297" s="223">
        <f t="shared" si="489"/>
        <v>210010.35</v>
      </c>
      <c r="X297" s="226">
        <f t="shared" si="523"/>
        <v>4.9732580373391094E-2</v>
      </c>
      <c r="Y297" s="223">
        <f t="shared" si="524"/>
        <v>14000.69</v>
      </c>
      <c r="Z297" s="224">
        <f t="shared" si="525"/>
        <v>795.49374999999998</v>
      </c>
      <c r="AA297" s="365">
        <v>392653.25</v>
      </c>
      <c r="AB297" s="365">
        <v>7723.2</v>
      </c>
      <c r="AC297" s="225">
        <f>Artengliederung!AE297</f>
        <v>344400</v>
      </c>
      <c r="AD297" s="223">
        <f t="shared" si="490"/>
        <v>344400</v>
      </c>
      <c r="AE297" s="226">
        <f t="shared" si="518"/>
        <v>8.1557412197045973E-2</v>
      </c>
      <c r="AF297" s="223">
        <f t="shared" si="526"/>
        <v>22960</v>
      </c>
      <c r="AG297" s="224">
        <f t="shared" si="527"/>
        <v>1304.5454545454545</v>
      </c>
      <c r="AH297" s="225">
        <f t="shared" si="541"/>
        <v>384930.05</v>
      </c>
      <c r="AI297" s="223">
        <f t="shared" si="493"/>
        <v>384930.05</v>
      </c>
      <c r="AJ297" s="226">
        <f t="shared" si="528"/>
        <v>9.1155339009522399E-2</v>
      </c>
      <c r="AK297" s="223">
        <f t="shared" si="529"/>
        <v>25662.003333333334</v>
      </c>
      <c r="AL297" s="224">
        <f t="shared" si="530"/>
        <v>1458.0683712121211</v>
      </c>
      <c r="AM297" s="365">
        <v>12119.95</v>
      </c>
      <c r="AN297" s="223">
        <f t="shared" si="494"/>
        <v>12119.95</v>
      </c>
      <c r="AO297" s="226">
        <f t="shared" si="531"/>
        <v>2.8701270556259796E-3</v>
      </c>
      <c r="AP297" s="223">
        <f t="shared" si="532"/>
        <v>807.99666666666667</v>
      </c>
      <c r="AQ297" s="224">
        <f t="shared" si="519"/>
        <v>45.90890151515152</v>
      </c>
      <c r="AR297" s="223">
        <f>Artengliederung!X297</f>
        <v>131763.54999999999</v>
      </c>
      <c r="AS297" s="226">
        <f t="shared" si="533"/>
        <v>3.1202944715145398E-2</v>
      </c>
      <c r="AT297" s="223">
        <f t="shared" si="534"/>
        <v>8784.2366666666658</v>
      </c>
      <c r="AU297" s="223">
        <f t="shared" si="535"/>
        <v>499.10435606060599</v>
      </c>
      <c r="AV297" s="227">
        <f t="shared" si="536"/>
        <v>1.5573889896522738E-2</v>
      </c>
    </row>
    <row r="298" spans="1:49" x14ac:dyDescent="0.25">
      <c r="A298" s="365" t="s">
        <v>194</v>
      </c>
      <c r="B298" s="365" t="s">
        <v>37</v>
      </c>
      <c r="C298" s="328">
        <v>7</v>
      </c>
      <c r="D298" s="328">
        <f>Kennzahlen!H298</f>
        <v>123</v>
      </c>
      <c r="E298" s="223">
        <f t="shared" si="486"/>
        <v>1944771.7</v>
      </c>
      <c r="F298" s="223">
        <f t="shared" si="537"/>
        <v>277824.52857142856</v>
      </c>
      <c r="G298" s="224">
        <f t="shared" si="538"/>
        <v>15811.152032520326</v>
      </c>
      <c r="H298" s="223"/>
      <c r="I298" s="223">
        <f t="shared" si="539"/>
        <v>1944771.7</v>
      </c>
      <c r="J298" s="365">
        <v>2011353.8</v>
      </c>
      <c r="K298" s="365">
        <v>0</v>
      </c>
      <c r="L298" s="365">
        <v>0</v>
      </c>
      <c r="M298" s="365">
        <v>66582.100000000006</v>
      </c>
      <c r="N298" s="365"/>
      <c r="O298" s="368"/>
      <c r="P298" s="365">
        <v>1485320.55</v>
      </c>
      <c r="Q298" s="27">
        <f t="shared" si="540"/>
        <v>1418738.45</v>
      </c>
      <c r="R298" s="223">
        <f t="shared" si="488"/>
        <v>1418738.45</v>
      </c>
      <c r="S298" s="226">
        <f t="shared" si="520"/>
        <v>0.72951413782913443</v>
      </c>
      <c r="T298" s="223">
        <f t="shared" si="521"/>
        <v>202676.92142857143</v>
      </c>
      <c r="U298" s="224">
        <f t="shared" si="522"/>
        <v>11534.45894308943</v>
      </c>
      <c r="V298" s="365">
        <v>113243.55</v>
      </c>
      <c r="W298" s="223">
        <f t="shared" si="489"/>
        <v>113243.55</v>
      </c>
      <c r="X298" s="226">
        <f t="shared" si="523"/>
        <v>5.822973976842629E-2</v>
      </c>
      <c r="Y298" s="223">
        <f t="shared" si="524"/>
        <v>16177.65</v>
      </c>
      <c r="Z298" s="224">
        <f t="shared" si="525"/>
        <v>920.67926829268299</v>
      </c>
      <c r="AA298" s="365">
        <v>204094.55</v>
      </c>
      <c r="AB298" s="365">
        <v>2920</v>
      </c>
      <c r="AC298" s="225">
        <f>Artengliederung!AE298</f>
        <v>98052.85</v>
      </c>
      <c r="AD298" s="223">
        <f t="shared" si="490"/>
        <v>98052.85</v>
      </c>
      <c r="AE298" s="226">
        <f t="shared" si="518"/>
        <v>5.0418694389680808E-2</v>
      </c>
      <c r="AF298" s="223">
        <f t="shared" si="526"/>
        <v>14007.550000000001</v>
      </c>
      <c r="AG298" s="224">
        <f t="shared" si="527"/>
        <v>797.17764227642283</v>
      </c>
      <c r="AH298" s="225">
        <f t="shared" si="541"/>
        <v>201174.55</v>
      </c>
      <c r="AI298" s="223">
        <f t="shared" si="493"/>
        <v>201174.55</v>
      </c>
      <c r="AJ298" s="226">
        <f t="shared" si="528"/>
        <v>0.10344378725790795</v>
      </c>
      <c r="AK298" s="223">
        <f t="shared" si="529"/>
        <v>28739.221428571425</v>
      </c>
      <c r="AL298" s="224">
        <f t="shared" si="530"/>
        <v>1635.5654471544715</v>
      </c>
      <c r="AM298" s="365">
        <v>10985.1</v>
      </c>
      <c r="AN298" s="223">
        <f t="shared" si="494"/>
        <v>10985.1</v>
      </c>
      <c r="AO298" s="226">
        <f t="shared" si="531"/>
        <v>5.648529336374033E-3</v>
      </c>
      <c r="AP298" s="223">
        <f t="shared" si="532"/>
        <v>1569.3</v>
      </c>
      <c r="AQ298" s="224">
        <f t="shared" si="519"/>
        <v>89.309756097560978</v>
      </c>
      <c r="AR298" s="223">
        <f>Artengliederung!X298</f>
        <v>47938.15</v>
      </c>
      <c r="AS298" s="226">
        <f t="shared" si="533"/>
        <v>2.4649757089739634E-2</v>
      </c>
      <c r="AT298" s="223">
        <f t="shared" si="534"/>
        <v>6848.3071428571429</v>
      </c>
      <c r="AU298" s="223">
        <f t="shared" si="535"/>
        <v>389.74105691056911</v>
      </c>
      <c r="AV298" s="227">
        <f t="shared" si="536"/>
        <v>2.8095354328736839E-2</v>
      </c>
    </row>
    <row r="299" spans="1:49" x14ac:dyDescent="0.25">
      <c r="A299" s="365" t="s">
        <v>202</v>
      </c>
      <c r="B299" s="365" t="s">
        <v>37</v>
      </c>
      <c r="C299" s="328">
        <v>25</v>
      </c>
      <c r="D299" s="328">
        <f>Kennzahlen!H299</f>
        <v>486</v>
      </c>
      <c r="E299" s="223">
        <f t="shared" si="486"/>
        <v>7687465.7000000002</v>
      </c>
      <c r="F299" s="223">
        <f t="shared" si="537"/>
        <v>307498.62800000003</v>
      </c>
      <c r="G299" s="224">
        <f t="shared" si="538"/>
        <v>15817.830658436214</v>
      </c>
      <c r="H299" s="223"/>
      <c r="I299" s="223">
        <f t="shared" si="539"/>
        <v>7687465.7000000002</v>
      </c>
      <c r="J299" s="365">
        <v>7814983.7000000002</v>
      </c>
      <c r="K299" s="365">
        <v>0</v>
      </c>
      <c r="L299" s="365">
        <v>0</v>
      </c>
      <c r="M299" s="365">
        <v>127518</v>
      </c>
      <c r="N299" s="365"/>
      <c r="O299" s="368"/>
      <c r="P299" s="365">
        <v>5563755.3499999996</v>
      </c>
      <c r="Q299" s="27">
        <f t="shared" si="540"/>
        <v>5436237.3499999996</v>
      </c>
      <c r="R299" s="223">
        <f t="shared" si="488"/>
        <v>5436237.3499999996</v>
      </c>
      <c r="S299" s="226">
        <f t="shared" si="520"/>
        <v>0.70715598119676804</v>
      </c>
      <c r="T299" s="223">
        <f t="shared" si="521"/>
        <v>217449.49399999998</v>
      </c>
      <c r="U299" s="224">
        <f t="shared" si="522"/>
        <v>11185.67355967078</v>
      </c>
      <c r="V299" s="365">
        <v>374989.1</v>
      </c>
      <c r="W299" s="223">
        <f t="shared" si="489"/>
        <v>374989.1</v>
      </c>
      <c r="X299" s="226">
        <f t="shared" si="523"/>
        <v>4.8779287561569212E-2</v>
      </c>
      <c r="Y299" s="223">
        <f t="shared" si="524"/>
        <v>14999.563999999998</v>
      </c>
      <c r="Z299" s="224">
        <f t="shared" si="525"/>
        <v>771.58251028806581</v>
      </c>
      <c r="AA299" s="365">
        <v>788564.9</v>
      </c>
      <c r="AB299" s="365">
        <v>80846</v>
      </c>
      <c r="AC299" s="225">
        <f>Artengliederung!AE299</f>
        <v>650000</v>
      </c>
      <c r="AD299" s="223">
        <f t="shared" si="490"/>
        <v>650000</v>
      </c>
      <c r="AE299" s="226">
        <f t="shared" si="518"/>
        <v>8.4553222787062315E-2</v>
      </c>
      <c r="AF299" s="223">
        <f t="shared" si="526"/>
        <v>26000</v>
      </c>
      <c r="AG299" s="224">
        <f t="shared" si="527"/>
        <v>1337.4485596707818</v>
      </c>
      <c r="AH299" s="225">
        <f t="shared" si="541"/>
        <v>707718.9</v>
      </c>
      <c r="AI299" s="223">
        <f t="shared" si="493"/>
        <v>707718.9</v>
      </c>
      <c r="AJ299" s="226">
        <f t="shared" si="528"/>
        <v>9.2061405880484129E-2</v>
      </c>
      <c r="AK299" s="223">
        <f t="shared" si="529"/>
        <v>28308.756000000001</v>
      </c>
      <c r="AL299" s="224">
        <f t="shared" si="530"/>
        <v>1456.2117283950618</v>
      </c>
      <c r="AM299" s="365">
        <v>17152.05</v>
      </c>
      <c r="AN299" s="223">
        <f t="shared" si="494"/>
        <v>17152.05</v>
      </c>
      <c r="AO299" s="226">
        <f t="shared" si="531"/>
        <v>2.2311709306228186E-3</v>
      </c>
      <c r="AP299" s="223">
        <f t="shared" si="532"/>
        <v>686.08199999999999</v>
      </c>
      <c r="AQ299" s="224">
        <f t="shared" si="519"/>
        <v>35.292283950617282</v>
      </c>
      <c r="AR299" s="223">
        <f>Artengliederung!X299</f>
        <v>226376.75</v>
      </c>
      <c r="AS299" s="226">
        <f t="shared" si="533"/>
        <v>2.9447513502401709E-2</v>
      </c>
      <c r="AT299" s="223">
        <f t="shared" si="534"/>
        <v>9055.07</v>
      </c>
      <c r="AU299" s="223">
        <f t="shared" si="535"/>
        <v>465.79578189300412</v>
      </c>
      <c r="AV299" s="227">
        <f t="shared" si="536"/>
        <v>3.5771418141091763E-2</v>
      </c>
    </row>
    <row r="300" spans="1:49" x14ac:dyDescent="0.25">
      <c r="A300" s="365" t="s">
        <v>203</v>
      </c>
      <c r="B300" s="365" t="s">
        <v>37</v>
      </c>
      <c r="C300" s="328">
        <v>7</v>
      </c>
      <c r="D300" s="328">
        <f>Kennzahlen!H300</f>
        <v>153</v>
      </c>
      <c r="E300" s="223">
        <f t="shared" si="486"/>
        <v>3089518.35</v>
      </c>
      <c r="F300" s="223">
        <f t="shared" si="537"/>
        <v>441359.76428571431</v>
      </c>
      <c r="G300" s="224">
        <f t="shared" si="538"/>
        <v>20192.930392156864</v>
      </c>
      <c r="H300" s="223"/>
      <c r="I300" s="223">
        <f t="shared" si="539"/>
        <v>3089518.35</v>
      </c>
      <c r="J300" s="365">
        <v>3147736.1</v>
      </c>
      <c r="K300" s="365">
        <v>0</v>
      </c>
      <c r="L300" s="365">
        <v>0</v>
      </c>
      <c r="M300" s="365">
        <v>58217.75</v>
      </c>
      <c r="N300" s="365"/>
      <c r="O300" s="368"/>
      <c r="P300" s="365">
        <v>1840630.55</v>
      </c>
      <c r="Q300" s="27">
        <f t="shared" si="540"/>
        <v>1782412.8</v>
      </c>
      <c r="R300" s="223">
        <f t="shared" si="488"/>
        <v>1782412.8</v>
      </c>
      <c r="S300" s="226">
        <f t="shared" si="520"/>
        <v>0.57692254846131596</v>
      </c>
      <c r="T300" s="223">
        <f t="shared" si="521"/>
        <v>254630.39999999999</v>
      </c>
      <c r="U300" s="224">
        <f t="shared" si="522"/>
        <v>11649.756862745098</v>
      </c>
      <c r="V300" s="365">
        <v>106451.6</v>
      </c>
      <c r="W300" s="223">
        <f t="shared" si="489"/>
        <v>106451.6</v>
      </c>
      <c r="X300" s="226">
        <f t="shared" si="523"/>
        <v>3.4455726731644112E-2</v>
      </c>
      <c r="Y300" s="223">
        <f t="shared" si="524"/>
        <v>15207.371428571429</v>
      </c>
      <c r="Z300" s="224">
        <f t="shared" si="525"/>
        <v>695.76209150326804</v>
      </c>
      <c r="AA300" s="365">
        <v>340010.5</v>
      </c>
      <c r="AB300" s="365">
        <v>44077.95</v>
      </c>
      <c r="AC300" s="225">
        <f>Artengliederung!AE300</f>
        <v>177432.5</v>
      </c>
      <c r="AD300" s="223">
        <f t="shared" si="490"/>
        <v>177432.5</v>
      </c>
      <c r="AE300" s="226">
        <f t="shared" si="518"/>
        <v>5.7430472940871183E-2</v>
      </c>
      <c r="AF300" s="223">
        <f t="shared" si="526"/>
        <v>25347.5</v>
      </c>
      <c r="AG300" s="224">
        <f t="shared" si="527"/>
        <v>1159.68954248366</v>
      </c>
      <c r="AH300" s="225">
        <f t="shared" si="541"/>
        <v>295932.55</v>
      </c>
      <c r="AI300" s="223">
        <f t="shared" si="493"/>
        <v>295932.55</v>
      </c>
      <c r="AJ300" s="226">
        <f t="shared" si="528"/>
        <v>9.5785982303681724E-2</v>
      </c>
      <c r="AK300" s="223">
        <f t="shared" si="529"/>
        <v>42276.078571428567</v>
      </c>
      <c r="AL300" s="224">
        <f t="shared" si="530"/>
        <v>1934.1996732026143</v>
      </c>
      <c r="AM300" s="365">
        <v>2088.25</v>
      </c>
      <c r="AN300" s="223">
        <f t="shared" si="494"/>
        <v>2088.25</v>
      </c>
      <c r="AO300" s="226">
        <f t="shared" si="531"/>
        <v>6.7591441882842356E-4</v>
      </c>
      <c r="AP300" s="223">
        <f t="shared" si="532"/>
        <v>298.32142857142856</v>
      </c>
      <c r="AQ300" s="224">
        <f t="shared" si="519"/>
        <v>13.648692810457517</v>
      </c>
      <c r="AR300" s="223">
        <f>Artengliederung!X300</f>
        <v>479500.9</v>
      </c>
      <c r="AS300" s="226">
        <f t="shared" si="533"/>
        <v>0.15520247678736074</v>
      </c>
      <c r="AT300" s="223">
        <f t="shared" si="534"/>
        <v>68500.128571428577</v>
      </c>
      <c r="AU300" s="223">
        <f t="shared" si="535"/>
        <v>3133.9928104575165</v>
      </c>
      <c r="AV300" s="227">
        <f t="shared" si="536"/>
        <v>7.9526878356297875E-2</v>
      </c>
    </row>
    <row r="301" spans="1:49" s="240" customFormat="1" x14ac:dyDescent="0.25">
      <c r="A301" s="231"/>
      <c r="B301" s="231"/>
      <c r="C301" s="232"/>
      <c r="D301" s="233"/>
      <c r="E301" s="234"/>
      <c r="F301" s="234"/>
      <c r="G301" s="235"/>
      <c r="H301" s="234"/>
      <c r="I301" s="234"/>
      <c r="J301" s="234"/>
      <c r="K301" s="234"/>
      <c r="L301" s="234"/>
      <c r="M301" s="234"/>
      <c r="N301" s="234"/>
      <c r="O301" s="234"/>
      <c r="P301" s="236"/>
      <c r="Q301" s="237"/>
      <c r="R301" s="237"/>
      <c r="S301" s="238"/>
      <c r="T301" s="238"/>
      <c r="U301" s="239"/>
      <c r="V301" s="236"/>
      <c r="W301" s="237"/>
      <c r="X301" s="237"/>
      <c r="Y301" s="237"/>
      <c r="Z301" s="235"/>
      <c r="AA301" s="234"/>
      <c r="AB301" s="234"/>
      <c r="AC301" s="236"/>
      <c r="AD301" s="237"/>
      <c r="AE301" s="237"/>
      <c r="AF301" s="237"/>
      <c r="AG301" s="235"/>
      <c r="AH301" s="236"/>
      <c r="AI301" s="237"/>
      <c r="AJ301" s="237"/>
      <c r="AK301" s="237"/>
      <c r="AL301" s="235"/>
      <c r="AM301" s="236"/>
      <c r="AN301" s="237"/>
      <c r="AO301" s="237"/>
      <c r="AP301" s="237"/>
      <c r="AQ301" s="235"/>
      <c r="AR301" s="234"/>
      <c r="AS301" s="234"/>
      <c r="AT301" s="234"/>
      <c r="AU301" s="234"/>
      <c r="AV301" s="234"/>
      <c r="AW301" s="234"/>
    </row>
    <row r="302" spans="1:49" s="240" customFormat="1" x14ac:dyDescent="0.25">
      <c r="A302" s="241" t="s">
        <v>28</v>
      </c>
      <c r="C302" s="242"/>
      <c r="D302" s="233"/>
      <c r="E302" s="234"/>
      <c r="F302" s="234"/>
      <c r="G302" s="235"/>
      <c r="H302" s="234"/>
      <c r="I302" s="234"/>
      <c r="J302" s="234"/>
      <c r="K302" s="234"/>
      <c r="L302" s="234"/>
      <c r="M302" s="234"/>
      <c r="N302" s="234"/>
      <c r="O302" s="234"/>
      <c r="P302" s="236"/>
      <c r="Q302" s="237"/>
      <c r="R302" s="237"/>
      <c r="S302" s="238"/>
      <c r="T302" s="238"/>
      <c r="U302" s="239"/>
      <c r="V302" s="236"/>
      <c r="W302" s="237"/>
      <c r="X302" s="237"/>
      <c r="Y302" s="237"/>
      <c r="Z302" s="235"/>
      <c r="AA302" s="234"/>
      <c r="AB302" s="234"/>
      <c r="AC302" s="236"/>
      <c r="AD302" s="237"/>
      <c r="AE302" s="237"/>
      <c r="AF302" s="237"/>
      <c r="AG302" s="235"/>
      <c r="AH302" s="236"/>
      <c r="AI302" s="237"/>
      <c r="AJ302" s="237"/>
      <c r="AK302" s="237"/>
      <c r="AL302" s="235"/>
      <c r="AM302" s="236"/>
      <c r="AN302" s="237"/>
      <c r="AO302" s="237"/>
      <c r="AP302" s="237"/>
      <c r="AQ302" s="235"/>
      <c r="AR302" s="234"/>
      <c r="AS302" s="234"/>
      <c r="AT302" s="234"/>
      <c r="AU302" s="234"/>
      <c r="AV302" s="234"/>
      <c r="AW302" s="234"/>
    </row>
    <row r="303" spans="1:49" s="240" customFormat="1" x14ac:dyDescent="0.25">
      <c r="A303" s="243" t="s">
        <v>29</v>
      </c>
      <c r="B303" s="243"/>
      <c r="C303" s="245">
        <f>SUM(C8:C129)+SUM(C258:C264)+0.85*2/3*SUM(C252:C257)</f>
        <v>993.36666666666667</v>
      </c>
      <c r="D303" s="244">
        <f>Kennzahlen!I303</f>
        <v>19861</v>
      </c>
      <c r="E303" s="245">
        <f>SUM(E8:E129)+SUM(E258:E264)+0.85*2/3*SUM(E252:E257)</f>
        <v>224758254.71467009</v>
      </c>
      <c r="F303" s="245">
        <f t="shared" si="537"/>
        <v>226259.10678970849</v>
      </c>
      <c r="G303" s="246">
        <f t="shared" si="538"/>
        <v>11316.562847523795</v>
      </c>
      <c r="H303" s="245"/>
      <c r="I303" s="245">
        <f t="shared" ref="I303:M303" si="542">SUM(I8:I129)+SUM(I258:I264)+2/3*SUM(I252:I257)</f>
        <v>266045114.01666647</v>
      </c>
      <c r="J303" s="245">
        <f t="shared" si="542"/>
        <v>286271502.36333317</v>
      </c>
      <c r="K303" s="245">
        <f t="shared" si="542"/>
        <v>13232743.346666668</v>
      </c>
      <c r="L303" s="245">
        <f t="shared" si="542"/>
        <v>280557.93333333335</v>
      </c>
      <c r="M303" s="245">
        <f t="shared" si="542"/>
        <v>6713087.0666666673</v>
      </c>
      <c r="N303" s="245"/>
      <c r="O303" s="245"/>
      <c r="P303" s="245">
        <f t="shared" ref="P303:Q303" si="543">SUM(P8:P129)+SUM(P258:P264)+2/3*SUM(P252:P257)</f>
        <v>173600098.78999996</v>
      </c>
      <c r="Q303" s="245">
        <f t="shared" si="543"/>
        <v>166887011.72333339</v>
      </c>
      <c r="R303" s="245">
        <f>SUM(R8:R129)+SUM(R258:R264)+0.85*2/3*SUM(R252:R257)</f>
        <v>141234731.1370225</v>
      </c>
      <c r="S303" s="248">
        <f t="shared" si="520"/>
        <v>0.62838506784242276</v>
      </c>
      <c r="T303" s="245">
        <f t="shared" ref="T303:T306" si="544">R303/C303</f>
        <v>142177.84417001694</v>
      </c>
      <c r="U303" s="246">
        <f t="shared" si="522"/>
        <v>7111.1591126842804</v>
      </c>
      <c r="V303" s="245">
        <f>SUM(V8:V129)+SUM(V258:V264)+2/3*SUM(V252:V257)</f>
        <v>12858088.703333337</v>
      </c>
      <c r="W303" s="245">
        <f>SUM(W8:W129)+SUM(W258:W264)+0.85*2/3*SUM(W252:W257)</f>
        <v>10875151.906083995</v>
      </c>
      <c r="X303" s="248">
        <f t="shared" si="523"/>
        <v>4.8385995521677133E-2</v>
      </c>
      <c r="Y303" s="245">
        <f t="shared" si="524"/>
        <v>10947.772127865503</v>
      </c>
      <c r="Z303" s="246">
        <f t="shared" si="525"/>
        <v>547.56315926106413</v>
      </c>
      <c r="AA303" s="245">
        <f t="shared" ref="AA303:AC303" si="545">SUM(AA8:AA129)+SUM(AA258:AA264)+2/3*SUM(AA252:AA257)</f>
        <v>31116639.586666655</v>
      </c>
      <c r="AB303" s="245">
        <f t="shared" si="545"/>
        <v>6388806.2333333353</v>
      </c>
      <c r="AC303" s="245">
        <f t="shared" si="545"/>
        <v>18102532.236666668</v>
      </c>
      <c r="AD303" s="245">
        <f>SUM(AD8:AD129)+SUM(AD258:AD264)+0.85*2/3*SUM(AD252:AD257)</f>
        <v>15284561.53043773</v>
      </c>
      <c r="AE303" s="248">
        <f t="shared" si="518"/>
        <v>6.8004450158422144E-2</v>
      </c>
      <c r="AF303" s="245">
        <f t="shared" si="526"/>
        <v>15386.626150569844</v>
      </c>
      <c r="AG303" s="246">
        <f t="shared" si="527"/>
        <v>769.57663412908369</v>
      </c>
      <c r="AH303" s="245">
        <f>SUM(AH8:AH129)+SUM(AH258:AH264)+2/3*SUM(AH252:AH257)</f>
        <v>24727833.353333335</v>
      </c>
      <c r="AI303" s="245">
        <f>SUM(AI8:AI129)+SUM(AI258:AI264)+0.85*2/3*SUM(AI252:AI257)</f>
        <v>20873656.978377752</v>
      </c>
      <c r="AJ303" s="248">
        <f t="shared" si="528"/>
        <v>9.28715922130504E-2</v>
      </c>
      <c r="AK303" s="245">
        <f t="shared" si="529"/>
        <v>21013.043500262829</v>
      </c>
      <c r="AL303" s="246">
        <f t="shared" si="530"/>
        <v>1050.9872100285863</v>
      </c>
      <c r="AM303" s="245">
        <f>SUM(AM8:AM129)+SUM(AM258:AM264)+2/3*SUM(AM252:AM257)</f>
        <v>943390.32333333325</v>
      </c>
      <c r="AN303" s="245">
        <f>SUM(AN8:AN129)+SUM(AN258:AN264)+0.85*2/3*SUM(AN252:AN257)</f>
        <v>795530.47662347555</v>
      </c>
      <c r="AO303" s="248">
        <f t="shared" si="531"/>
        <v>3.5394939226298899E-3</v>
      </c>
      <c r="AP303" s="245">
        <f t="shared" si="532"/>
        <v>800.84273342184042</v>
      </c>
      <c r="AQ303" s="246">
        <f t="shared" si="519"/>
        <v>40.05490542386967</v>
      </c>
      <c r="AR303" s="245">
        <f>SUM(AR8:AR129)+SUM(AR258:AR264)+0.85*2/3*SUM(AR252:AR257)</f>
        <v>11989959.976798458</v>
      </c>
      <c r="AS303" s="248">
        <f t="shared" si="533"/>
        <v>5.3346027232769162E-2</v>
      </c>
      <c r="AT303" s="245">
        <f t="shared" si="534"/>
        <v>12070.024472465815</v>
      </c>
      <c r="AU303" s="245">
        <f t="shared" si="535"/>
        <v>603.69366984534804</v>
      </c>
      <c r="AV303" s="249">
        <f t="shared" si="536"/>
        <v>0.10546737310902851</v>
      </c>
      <c r="AW303" s="234"/>
    </row>
    <row r="304" spans="1:49" s="240" customFormat="1" x14ac:dyDescent="0.25">
      <c r="A304" s="243" t="s">
        <v>30</v>
      </c>
      <c r="B304" s="243"/>
      <c r="C304" s="245">
        <f>SUM(C130:C251)+SUM(C265:C271)+0.15*2/3*SUM(C252:C257)</f>
        <v>262.3</v>
      </c>
      <c r="D304" s="244">
        <f>Kennzahlen!I304</f>
        <v>5455</v>
      </c>
      <c r="E304" s="245">
        <f>SUM(E130:E251)+SUM(E265:E271)+0.15*2/3*SUM(E252:E257)</f>
        <v>41286859.301996544</v>
      </c>
      <c r="F304" s="245">
        <f t="shared" si="537"/>
        <v>157403.19977886596</v>
      </c>
      <c r="G304" s="246">
        <f t="shared" si="538"/>
        <v>7568.626819797717</v>
      </c>
      <c r="H304" s="245"/>
      <c r="I304" s="245">
        <f>E303+E304</f>
        <v>266045114.01666665</v>
      </c>
      <c r="J304" s="245"/>
      <c r="K304" s="245"/>
      <c r="L304" s="245"/>
      <c r="M304" s="245"/>
      <c r="N304" s="245"/>
      <c r="O304" s="245"/>
      <c r="P304" s="245"/>
      <c r="Q304" s="245"/>
      <c r="R304" s="245">
        <f>SUM(R130:R251)+SUM(R265:R271)+0.15*2/3*SUM(R252:R257)</f>
        <v>25642160.586310863</v>
      </c>
      <c r="S304" s="248">
        <f t="shared" si="520"/>
        <v>0.62107317000668205</v>
      </c>
      <c r="T304" s="245">
        <f t="shared" si="544"/>
        <v>97758.904255855363</v>
      </c>
      <c r="U304" s="246">
        <f t="shared" si="522"/>
        <v>4700.6710515693612</v>
      </c>
      <c r="V304" s="245"/>
      <c r="W304" s="245">
        <f>SUM(W130:W251)+SUM(W265:W271)+0.15*2/3*SUM(W252:W257)</f>
        <v>1982936.7972493412</v>
      </c>
      <c r="X304" s="248">
        <f t="shared" si="523"/>
        <v>4.8028278991748122E-2</v>
      </c>
      <c r="Y304" s="245">
        <f t="shared" si="524"/>
        <v>7559.8047931732408</v>
      </c>
      <c r="Z304" s="246">
        <f t="shared" si="525"/>
        <v>363.50812048567207</v>
      </c>
      <c r="AA304" s="245"/>
      <c r="AB304" s="245"/>
      <c r="AC304" s="245"/>
      <c r="AD304" s="245">
        <f>SUM(AD130:AD251)+SUM(AD265:AD271)+0.15*2/3*SUM(AD252:AD257)</f>
        <v>2817970.7062289356</v>
      </c>
      <c r="AE304" s="248">
        <f t="shared" ref="AE304:AE306" si="546">AD304/$E304</f>
        <v>6.8253452887191757E-2</v>
      </c>
      <c r="AF304" s="245">
        <f t="shared" si="526"/>
        <v>10743.311880400059</v>
      </c>
      <c r="AG304" s="246">
        <f t="shared" si="527"/>
        <v>516.58491406579935</v>
      </c>
      <c r="AH304" s="245"/>
      <c r="AI304" s="245">
        <f>SUM(AI130:AI251)+SUM(AI265:AI271)+0.15*2/3*SUM(AI252:AI257)</f>
        <v>3854176.3749555768</v>
      </c>
      <c r="AJ304" s="248">
        <f t="shared" si="528"/>
        <v>9.335116402930646E-2</v>
      </c>
      <c r="AK304" s="245">
        <f t="shared" si="529"/>
        <v>14693.771921294612</v>
      </c>
      <c r="AL304" s="246">
        <f t="shared" si="530"/>
        <v>706.54012373154478</v>
      </c>
      <c r="AM304" s="245"/>
      <c r="AN304" s="245">
        <f>SUM(AN130:AN251)+SUM(AN265:AN271)+0.15*2/3*SUM(AN252:AN257)</f>
        <v>147859.84670985772</v>
      </c>
      <c r="AO304" s="248">
        <f t="shared" si="531"/>
        <v>3.5812810470354072E-3</v>
      </c>
      <c r="AP304" s="245">
        <f t="shared" si="532"/>
        <v>563.70509611078046</v>
      </c>
      <c r="AQ304" s="246">
        <f t="shared" ref="AQ304:AQ306" si="547">AN304/D304</f>
        <v>27.10537978182543</v>
      </c>
      <c r="AR304" s="245">
        <f>SUM(AR130:AR251)+SUM(AR265:AR271)+0.15*2/3*SUM(AR252:AR257)</f>
        <v>2195289.5232015382</v>
      </c>
      <c r="AS304" s="248">
        <f t="shared" si="533"/>
        <v>5.3171627978381458E-2</v>
      </c>
      <c r="AT304" s="245">
        <f t="shared" si="534"/>
        <v>8369.3843812487157</v>
      </c>
      <c r="AU304" s="245">
        <f t="shared" si="535"/>
        <v>402.43620956948456</v>
      </c>
      <c r="AV304" s="249">
        <f t="shared" si="536"/>
        <v>0.11254102505965477</v>
      </c>
      <c r="AW304" s="234"/>
    </row>
    <row r="305" spans="1:49" s="240" customFormat="1" x14ac:dyDescent="0.25">
      <c r="A305" s="243" t="s">
        <v>31</v>
      </c>
      <c r="B305" s="243"/>
      <c r="C305" s="245">
        <f>SUM(C272:C300)+1/3*SUM(C252:C257)</f>
        <v>510.83333333333331</v>
      </c>
      <c r="D305" s="244">
        <f>Kennzahlen!I305</f>
        <v>9414</v>
      </c>
      <c r="E305" s="245">
        <f>SUM(E272:E300)+1/3*SUM(E252:E257)</f>
        <v>152565916.61333331</v>
      </c>
      <c r="F305" s="245">
        <f t="shared" si="537"/>
        <v>298660.84818270797</v>
      </c>
      <c r="G305" s="246">
        <f t="shared" ref="G305:G306" si="548">E305/D305</f>
        <v>16206.279648750087</v>
      </c>
      <c r="H305" s="245"/>
      <c r="I305" s="245">
        <f t="shared" ref="I305:M305" si="549">SUM(I272:I300)+1/3*SUM(I252:I257)</f>
        <v>152565916.61333331</v>
      </c>
      <c r="J305" s="245">
        <f t="shared" si="549"/>
        <v>156194500.79666662</v>
      </c>
      <c r="K305" s="245">
        <f t="shared" si="549"/>
        <v>565706.58333333326</v>
      </c>
      <c r="L305" s="245">
        <f t="shared" si="549"/>
        <v>37500.866666666669</v>
      </c>
      <c r="M305" s="245">
        <f t="shared" si="549"/>
        <v>3025376.7333333334</v>
      </c>
      <c r="N305" s="245"/>
      <c r="O305" s="245"/>
      <c r="P305" s="245">
        <f t="shared" ref="P305:R305" si="550">SUM(P272:P300)+1/3*SUM(P252:P257)</f>
        <v>102901527.31999998</v>
      </c>
      <c r="Q305" s="245">
        <f t="shared" si="550"/>
        <v>99876150.586666688</v>
      </c>
      <c r="R305" s="245">
        <f t="shared" si="550"/>
        <v>99876150.586666688</v>
      </c>
      <c r="S305" s="248">
        <f t="shared" ref="S305:S306" si="551">R305/$E305</f>
        <v>0.65464261483641317</v>
      </c>
      <c r="T305" s="245">
        <f t="shared" si="544"/>
        <v>195516.11860358896</v>
      </c>
      <c r="U305" s="246">
        <f t="shared" ref="U305:U306" si="552">R305/D305</f>
        <v>10609.321286027904</v>
      </c>
      <c r="V305" s="245">
        <f t="shared" ref="V305:W305" si="553">SUM(V272:V300)+1/3*SUM(V252:V257)</f>
        <v>6593623.8666666644</v>
      </c>
      <c r="W305" s="245">
        <f t="shared" si="553"/>
        <v>6593623.8666666644</v>
      </c>
      <c r="X305" s="248">
        <f t="shared" si="523"/>
        <v>4.3218197176881266E-2</v>
      </c>
      <c r="Y305" s="245">
        <f t="shared" si="524"/>
        <v>12907.583425774874</v>
      </c>
      <c r="Z305" s="246">
        <f t="shared" si="525"/>
        <v>700.40618936335932</v>
      </c>
      <c r="AA305" s="245">
        <f t="shared" ref="AA305:AD305" si="554">SUM(AA272:AA300)+1/3*SUM(AA252:AA257)</f>
        <v>14573700.303333336</v>
      </c>
      <c r="AB305" s="245">
        <f t="shared" si="554"/>
        <v>1523673.6666666665</v>
      </c>
      <c r="AC305" s="245">
        <f t="shared" si="554"/>
        <v>16237848.583333334</v>
      </c>
      <c r="AD305" s="245">
        <f t="shared" si="554"/>
        <v>16237848.583333334</v>
      </c>
      <c r="AE305" s="248">
        <f t="shared" si="546"/>
        <v>0.10643169158473922</v>
      </c>
      <c r="AF305" s="245">
        <f t="shared" si="526"/>
        <v>31786.979282218599</v>
      </c>
      <c r="AG305" s="246">
        <f t="shared" si="527"/>
        <v>1724.8617573118051</v>
      </c>
      <c r="AH305" s="245">
        <f t="shared" ref="AH305:AI305" si="555">SUM(AH272:AH300)+1/3*SUM(AH252:AH257)</f>
        <v>13050026.63666667</v>
      </c>
      <c r="AI305" s="245">
        <f t="shared" si="555"/>
        <v>13050026.63666667</v>
      </c>
      <c r="AJ305" s="248">
        <f t="shared" si="528"/>
        <v>8.5536972649933138E-2</v>
      </c>
      <c r="AK305" s="245">
        <f t="shared" si="529"/>
        <v>25546.544802610122</v>
      </c>
      <c r="AL305" s="246">
        <f t="shared" si="530"/>
        <v>1386.2360990723041</v>
      </c>
      <c r="AM305" s="245">
        <f t="shared" ref="AM305:AN305" si="556">SUM(AM272:AM300)+1/3*SUM(AM252:AM257)</f>
        <v>432628.08666666661</v>
      </c>
      <c r="AN305" s="245">
        <f t="shared" si="556"/>
        <v>432628.08666666661</v>
      </c>
      <c r="AO305" s="248">
        <f t="shared" si="531"/>
        <v>2.835679791857637E-3</v>
      </c>
      <c r="AP305" s="245">
        <f t="shared" si="532"/>
        <v>846.90653181076664</v>
      </c>
      <c r="AQ305" s="246">
        <f t="shared" si="547"/>
        <v>45.955819701154304</v>
      </c>
      <c r="AR305" s="245">
        <f>SUM(AR272:AR300)+1/3*SUM(AR252:AR257)</f>
        <v>7226775.9500000002</v>
      </c>
      <c r="AS305" s="248">
        <f t="shared" si="533"/>
        <v>4.7368220310409916E-2</v>
      </c>
      <c r="AT305" s="245">
        <f t="shared" si="534"/>
        <v>14147.0328548124</v>
      </c>
      <c r="AU305" s="245">
        <f t="shared" si="535"/>
        <v>767.66262481410672</v>
      </c>
      <c r="AV305" s="249">
        <f t="shared" si="536"/>
        <v>5.9966623649765648E-2</v>
      </c>
      <c r="AW305" s="234"/>
    </row>
    <row r="306" spans="1:49" s="240" customFormat="1" x14ac:dyDescent="0.25">
      <c r="A306" s="243" t="s">
        <v>32</v>
      </c>
      <c r="B306" s="243"/>
      <c r="C306" s="245">
        <f>SUM(C8:C300)</f>
        <v>1766.5</v>
      </c>
      <c r="D306" s="244">
        <f>Kennzahlen!I306</f>
        <v>34730</v>
      </c>
      <c r="E306" s="245">
        <f>SUM(E8:E300)</f>
        <v>418611030.63000011</v>
      </c>
      <c r="F306" s="245">
        <f t="shared" si="537"/>
        <v>236971.99582790837</v>
      </c>
      <c r="G306" s="246">
        <f t="shared" si="548"/>
        <v>12053.297743449471</v>
      </c>
      <c r="H306" s="245"/>
      <c r="I306" s="245">
        <f t="shared" ref="I306:M306" si="557">I303+I305</f>
        <v>418611030.62999976</v>
      </c>
      <c r="J306" s="245">
        <f t="shared" si="557"/>
        <v>442466003.15999979</v>
      </c>
      <c r="K306" s="245">
        <f t="shared" si="557"/>
        <v>13798449.930000002</v>
      </c>
      <c r="L306" s="245">
        <f t="shared" si="557"/>
        <v>318058.80000000005</v>
      </c>
      <c r="M306" s="245">
        <f t="shared" si="557"/>
        <v>9738463.8000000007</v>
      </c>
      <c r="N306" s="245">
        <f>SUM(N8:N300)</f>
        <v>0</v>
      </c>
      <c r="O306" s="245"/>
      <c r="P306" s="245">
        <f t="shared" ref="P306:Q306" si="558">P303+P305</f>
        <v>276501626.10999995</v>
      </c>
      <c r="Q306" s="245">
        <f t="shared" si="558"/>
        <v>266763162.31000006</v>
      </c>
      <c r="R306" s="245">
        <f>SUM(R8:R300)</f>
        <v>266753042.31</v>
      </c>
      <c r="S306" s="248">
        <f t="shared" si="551"/>
        <v>0.63723366751359301</v>
      </c>
      <c r="T306" s="245">
        <f t="shared" si="544"/>
        <v>151006.53399943392</v>
      </c>
      <c r="U306" s="246">
        <f t="shared" si="552"/>
        <v>7680.7671266916213</v>
      </c>
      <c r="V306" s="245">
        <f>V303+V305</f>
        <v>19451712.57</v>
      </c>
      <c r="W306" s="245">
        <f>SUM(W8:W300)</f>
        <v>19451712.570000023</v>
      </c>
      <c r="X306" s="248">
        <f t="shared" si="523"/>
        <v>4.6467271874622212E-2</v>
      </c>
      <c r="Y306" s="245">
        <f t="shared" si="524"/>
        <v>11011.442156807259</v>
      </c>
      <c r="Z306" s="246">
        <f t="shared" si="525"/>
        <v>560.08386323063701</v>
      </c>
      <c r="AA306" s="245">
        <f t="shared" ref="AA306:AC306" si="559">AA303+AA305</f>
        <v>45690339.889999993</v>
      </c>
      <c r="AB306" s="245">
        <f t="shared" si="559"/>
        <v>7912479.9000000022</v>
      </c>
      <c r="AC306" s="245">
        <f t="shared" si="559"/>
        <v>34340380.82</v>
      </c>
      <c r="AD306" s="245">
        <f>SUM(AD8:AD300)</f>
        <v>34340380.819999993</v>
      </c>
      <c r="AE306" s="248">
        <f t="shared" si="546"/>
        <v>8.2034103994628377E-2</v>
      </c>
      <c r="AF306" s="245">
        <f t="shared" si="526"/>
        <v>19439.785349561276</v>
      </c>
      <c r="AG306" s="246">
        <f t="shared" si="527"/>
        <v>988.78148056435339</v>
      </c>
      <c r="AH306" s="245">
        <f>AH303+AH305</f>
        <v>37777859.99000001</v>
      </c>
      <c r="AI306" s="245">
        <f>SUM(AI8:AI300)</f>
        <v>37777859.989999995</v>
      </c>
      <c r="AJ306" s="248">
        <f t="shared" si="528"/>
        <v>9.0245734645704803E-2</v>
      </c>
      <c r="AK306" s="245">
        <f t="shared" si="529"/>
        <v>21385.711853948484</v>
      </c>
      <c r="AL306" s="246">
        <f t="shared" si="530"/>
        <v>1087.7587097610133</v>
      </c>
      <c r="AM306" s="245">
        <f>AM303+AM305</f>
        <v>1376018.41</v>
      </c>
      <c r="AN306" s="245">
        <f>SUM(AN8:AN300)</f>
        <v>1376018.4100000006</v>
      </c>
      <c r="AO306" s="248">
        <f t="shared" si="531"/>
        <v>3.2871049956068382E-3</v>
      </c>
      <c r="AP306" s="245">
        <f t="shared" si="532"/>
        <v>778.95183130484043</v>
      </c>
      <c r="AQ306" s="246">
        <f t="shared" si="547"/>
        <v>39.620455226029385</v>
      </c>
      <c r="AR306" s="245">
        <f>SUM(AR8:AR300)</f>
        <v>21412025.450000003</v>
      </c>
      <c r="AS306" s="248">
        <f t="shared" si="533"/>
        <v>5.1150170165787053E-2</v>
      </c>
      <c r="AT306" s="245">
        <f t="shared" si="534"/>
        <v>12121.157911123693</v>
      </c>
      <c r="AU306" s="245">
        <f t="shared" si="535"/>
        <v>616.52823063633753</v>
      </c>
      <c r="AV306" s="249">
        <f t="shared" si="536"/>
        <v>8.9581946810057766E-2</v>
      </c>
      <c r="AW306" s="234"/>
    </row>
    <row r="307" spans="1:49" s="240" customFormat="1" x14ac:dyDescent="0.25">
      <c r="C307" s="242"/>
      <c r="E307" s="234"/>
      <c r="F307" s="234"/>
      <c r="G307" s="235"/>
      <c r="H307" s="234"/>
      <c r="I307" s="234"/>
      <c r="J307" s="234"/>
      <c r="K307" s="234"/>
      <c r="L307" s="234"/>
      <c r="M307" s="234"/>
      <c r="N307" s="234"/>
      <c r="O307" s="234"/>
      <c r="P307" s="250" t="s">
        <v>230</v>
      </c>
      <c r="Q307" s="251"/>
      <c r="R307" s="251"/>
      <c r="S307" s="252"/>
      <c r="T307" s="234"/>
      <c r="U307" s="235"/>
      <c r="V307" s="236"/>
      <c r="W307" s="237"/>
      <c r="X307" s="252"/>
      <c r="Y307" s="234"/>
      <c r="Z307" s="235"/>
      <c r="AA307" s="234"/>
      <c r="AB307" s="234"/>
      <c r="AC307" s="236">
        <f>AC306-AD306</f>
        <v>7.4505805969238281E-9</v>
      </c>
      <c r="AD307" s="237"/>
      <c r="AE307" s="252"/>
      <c r="AF307" s="234"/>
      <c r="AG307" s="235"/>
      <c r="AH307" s="236"/>
      <c r="AI307" s="237"/>
      <c r="AJ307" s="252"/>
      <c r="AK307" s="234"/>
      <c r="AL307" s="235"/>
      <c r="AM307" s="236"/>
      <c r="AN307" s="237"/>
      <c r="AO307" s="252"/>
      <c r="AP307" s="234"/>
      <c r="AQ307" s="235"/>
      <c r="AR307" s="234"/>
      <c r="AS307" s="252"/>
      <c r="AT307" s="234"/>
      <c r="AU307" s="234"/>
      <c r="AV307" s="238"/>
      <c r="AW307" s="234"/>
    </row>
    <row r="308" spans="1:49" s="240" customFormat="1" x14ac:dyDescent="0.25">
      <c r="A308" s="241" t="s">
        <v>33</v>
      </c>
      <c r="C308" s="242"/>
      <c r="E308" s="234"/>
      <c r="F308" s="234"/>
      <c r="G308" s="235"/>
      <c r="H308" s="234"/>
      <c r="I308" s="234"/>
      <c r="J308" s="234"/>
      <c r="K308" s="234"/>
      <c r="L308" s="234"/>
      <c r="M308" s="234"/>
      <c r="N308" s="234"/>
      <c r="O308" s="234"/>
      <c r="P308" s="236"/>
      <c r="Q308" s="237"/>
      <c r="R308" s="237"/>
      <c r="S308" s="252"/>
      <c r="T308" s="234"/>
      <c r="U308" s="235"/>
      <c r="V308" s="236"/>
      <c r="W308" s="237"/>
      <c r="X308" s="252"/>
      <c r="Y308" s="234"/>
      <c r="Z308" s="235"/>
      <c r="AA308" s="234"/>
      <c r="AB308" s="234"/>
      <c r="AC308" s="236"/>
      <c r="AD308" s="237"/>
      <c r="AE308" s="252"/>
      <c r="AF308" s="234"/>
      <c r="AG308" s="235"/>
      <c r="AH308" s="236"/>
      <c r="AI308" s="237"/>
      <c r="AJ308" s="252"/>
      <c r="AK308" s="234"/>
      <c r="AL308" s="235"/>
      <c r="AM308" s="236"/>
      <c r="AN308" s="237"/>
      <c r="AO308" s="252"/>
      <c r="AP308" s="234"/>
      <c r="AQ308" s="235"/>
      <c r="AR308" s="234"/>
      <c r="AS308" s="252"/>
      <c r="AT308" s="234"/>
      <c r="AU308" s="234"/>
      <c r="AV308" s="238"/>
      <c r="AW308" s="234"/>
    </row>
    <row r="309" spans="1:49" s="240" customFormat="1" ht="14.25" x14ac:dyDescent="0.3">
      <c r="A309" s="253" t="s">
        <v>231</v>
      </c>
      <c r="C309" s="245">
        <f>MAX(C8:C129)</f>
        <v>80.5</v>
      </c>
      <c r="D309" s="245">
        <f t="shared" ref="D309:S309" si="560">MAX(D8:D129)</f>
        <v>1599</v>
      </c>
      <c r="E309" s="245">
        <f t="shared" si="560"/>
        <v>16960169.746721085</v>
      </c>
      <c r="F309" s="245">
        <f t="shared" si="560"/>
        <v>1876720.7138294687</v>
      </c>
      <c r="G309" s="245">
        <f t="shared" si="560"/>
        <v>74325.572824929448</v>
      </c>
      <c r="H309" s="245">
        <f t="shared" si="560"/>
        <v>8435233.1499999985</v>
      </c>
      <c r="I309" s="245">
        <f t="shared" si="560"/>
        <v>20322663.050000001</v>
      </c>
      <c r="J309" s="245">
        <f t="shared" si="560"/>
        <v>22642236.350000001</v>
      </c>
      <c r="K309" s="245">
        <f t="shared" si="560"/>
        <v>2103315.7999999998</v>
      </c>
      <c r="L309" s="245">
        <f t="shared" si="560"/>
        <v>209818.65</v>
      </c>
      <c r="M309" s="245">
        <f t="shared" si="560"/>
        <v>180538.4</v>
      </c>
      <c r="N309" s="245">
        <f t="shared" si="560"/>
        <v>0</v>
      </c>
      <c r="O309" s="245">
        <f t="shared" si="560"/>
        <v>0</v>
      </c>
      <c r="P309" s="245">
        <f t="shared" si="560"/>
        <v>13323451.35</v>
      </c>
      <c r="Q309" s="245">
        <f t="shared" si="560"/>
        <v>13317012.5</v>
      </c>
      <c r="R309" s="245">
        <f t="shared" si="560"/>
        <v>11113641.551972026</v>
      </c>
      <c r="S309" s="248">
        <f t="shared" si="560"/>
        <v>0.79135135945305668</v>
      </c>
      <c r="T309" s="245">
        <f t="shared" ref="T309:AI309" si="561">MAX(T8:T129)</f>
        <v>316646.17841714824</v>
      </c>
      <c r="U309" s="245">
        <f t="shared" si="561"/>
        <v>18626.245789244014</v>
      </c>
      <c r="V309" s="245">
        <f t="shared" si="561"/>
        <v>1160458.2</v>
      </c>
      <c r="W309" s="245">
        <f t="shared" si="561"/>
        <v>968454.18376281182</v>
      </c>
      <c r="X309" s="248">
        <f t="shared" si="561"/>
        <v>7.6832970114271773E-2</v>
      </c>
      <c r="Y309" s="245">
        <f t="shared" si="561"/>
        <v>29515.481071151262</v>
      </c>
      <c r="Z309" s="245">
        <f t="shared" si="561"/>
        <v>1736.2047688912508</v>
      </c>
      <c r="AA309" s="245">
        <f t="shared" si="561"/>
        <v>1985955.85</v>
      </c>
      <c r="AB309" s="245">
        <f t="shared" si="561"/>
        <v>403469.8</v>
      </c>
      <c r="AC309" s="245">
        <f t="shared" si="561"/>
        <v>1346100</v>
      </c>
      <c r="AD309" s="245">
        <f t="shared" si="561"/>
        <v>1123380.5549938129</v>
      </c>
      <c r="AE309" s="248">
        <f t="shared" si="561"/>
        <v>0.26907865672734127</v>
      </c>
      <c r="AF309" s="245">
        <f t="shared" si="561"/>
        <v>97770</v>
      </c>
      <c r="AG309" s="245">
        <f t="shared" si="561"/>
        <v>5027.1484419893941</v>
      </c>
      <c r="AH309" s="245">
        <f t="shared" si="561"/>
        <v>1637250.65</v>
      </c>
      <c r="AI309" s="245">
        <f t="shared" si="561"/>
        <v>1393792.9945561218</v>
      </c>
      <c r="AJ309" s="248">
        <f t="shared" ref="AJ309:AV309" si="562">MAX(AJ8:AJ129)</f>
        <v>0.18746932298428201</v>
      </c>
      <c r="AK309" s="245">
        <f t="shared" si="562"/>
        <v>55137.548227181876</v>
      </c>
      <c r="AL309" s="245">
        <f t="shared" si="562"/>
        <v>2396.4453563163606</v>
      </c>
      <c r="AM309" s="245">
        <f t="shared" si="562"/>
        <v>61167.9</v>
      </c>
      <c r="AN309" s="245">
        <f t="shared" si="562"/>
        <v>53505.689486264004</v>
      </c>
      <c r="AO309" s="248">
        <f t="shared" si="562"/>
        <v>1.5192651038279938E-2</v>
      </c>
      <c r="AP309" s="245">
        <f t="shared" si="562"/>
        <v>4065.6455460458069</v>
      </c>
      <c r="AQ309" s="245">
        <f t="shared" si="562"/>
        <v>161.01566518993295</v>
      </c>
      <c r="AR309" s="245">
        <f t="shared" si="562"/>
        <v>1135263.2607372995</v>
      </c>
      <c r="AS309" s="248">
        <f t="shared" si="562"/>
        <v>0.14363152811689101</v>
      </c>
      <c r="AT309" s="245">
        <f t="shared" si="562"/>
        <v>42308.425010683772</v>
      </c>
      <c r="AU309" s="245">
        <f t="shared" si="562"/>
        <v>2045.1525183415624</v>
      </c>
      <c r="AV309" s="248">
        <f t="shared" si="562"/>
        <v>0.81876561893768329</v>
      </c>
      <c r="AW309" s="234"/>
    </row>
    <row r="310" spans="1:49" s="240" customFormat="1" ht="14.25" x14ac:dyDescent="0.3">
      <c r="A310" s="253" t="s">
        <v>232</v>
      </c>
      <c r="C310" s="245">
        <f>MAX(C258:C264)</f>
        <v>6</v>
      </c>
      <c r="D310" s="245">
        <f t="shared" ref="D310:S310" si="563">MAX(D258:D264)</f>
        <v>120</v>
      </c>
      <c r="E310" s="245">
        <f t="shared" si="563"/>
        <v>1201808.815700192</v>
      </c>
      <c r="F310" s="245">
        <f t="shared" si="563"/>
        <v>708457.99893302424</v>
      </c>
      <c r="G310" s="245">
        <f t="shared" si="563"/>
        <v>26239.185145667565</v>
      </c>
      <c r="H310" s="245">
        <f t="shared" si="563"/>
        <v>586405.5</v>
      </c>
      <c r="I310" s="245">
        <f t="shared" si="563"/>
        <v>1439785.1</v>
      </c>
      <c r="J310" s="245">
        <f t="shared" si="563"/>
        <v>2081023.45</v>
      </c>
      <c r="K310" s="245">
        <f t="shared" si="563"/>
        <v>100926.5</v>
      </c>
      <c r="L310" s="245">
        <f t="shared" si="563"/>
        <v>415</v>
      </c>
      <c r="M310" s="245">
        <f t="shared" si="563"/>
        <v>668720.85</v>
      </c>
      <c r="N310" s="245">
        <f t="shared" si="563"/>
        <v>0</v>
      </c>
      <c r="O310" s="245">
        <f t="shared" si="563"/>
        <v>0</v>
      </c>
      <c r="P310" s="245">
        <f t="shared" si="563"/>
        <v>1521897.45</v>
      </c>
      <c r="Q310" s="245">
        <f t="shared" si="563"/>
        <v>1011042.7999999999</v>
      </c>
      <c r="R310" s="245">
        <f t="shared" si="563"/>
        <v>843931.60485561762</v>
      </c>
      <c r="S310" s="248">
        <f t="shared" si="563"/>
        <v>0.77833682185055841</v>
      </c>
      <c r="T310" s="245">
        <f t="shared" ref="T310:AI310" si="564">MAX(T258:T264)</f>
        <v>507625.34218049818</v>
      </c>
      <c r="U310" s="245">
        <f t="shared" si="564"/>
        <v>18800.93859927771</v>
      </c>
      <c r="V310" s="245">
        <f t="shared" si="564"/>
        <v>88002.25</v>
      </c>
      <c r="W310" s="245">
        <f t="shared" si="564"/>
        <v>70792.894217072389</v>
      </c>
      <c r="X310" s="248">
        <f t="shared" si="564"/>
        <v>6.710679720333472E-2</v>
      </c>
      <c r="Y310" s="245">
        <f t="shared" si="564"/>
        <v>39100.02127352314</v>
      </c>
      <c r="Z310" s="245">
        <f t="shared" si="564"/>
        <v>1448.1489360564126</v>
      </c>
      <c r="AA310" s="245">
        <f t="shared" si="564"/>
        <v>239951.3</v>
      </c>
      <c r="AB310" s="245">
        <f t="shared" si="564"/>
        <v>60814.35</v>
      </c>
      <c r="AC310" s="245">
        <f t="shared" si="564"/>
        <v>260000</v>
      </c>
      <c r="AD310" s="245">
        <f t="shared" si="564"/>
        <v>209155.47609792728</v>
      </c>
      <c r="AE310" s="248">
        <f t="shared" si="564"/>
        <v>0.19826501337030616</v>
      </c>
      <c r="AF310" s="245">
        <f t="shared" si="564"/>
        <v>41831.095219585455</v>
      </c>
      <c r="AG310" s="245">
        <f t="shared" si="564"/>
        <v>2178.702876020076</v>
      </c>
      <c r="AH310" s="245">
        <f t="shared" si="564"/>
        <v>217644.65</v>
      </c>
      <c r="AI310" s="245">
        <f t="shared" si="564"/>
        <v>182116.16733625197</v>
      </c>
      <c r="AJ310" s="248">
        <f t="shared" ref="AJ310:AV310" si="565">MAX(AJ258:AJ264)</f>
        <v>0.18537337383549346</v>
      </c>
      <c r="AK310" s="245">
        <f t="shared" si="565"/>
        <v>39179.741356052997</v>
      </c>
      <c r="AL310" s="245">
        <f t="shared" si="565"/>
        <v>2511.5218817982691</v>
      </c>
      <c r="AM310" s="245">
        <f t="shared" si="565"/>
        <v>13038.65</v>
      </c>
      <c r="AN310" s="245">
        <f t="shared" si="565"/>
        <v>10883.544019749412</v>
      </c>
      <c r="AO310" s="248">
        <f t="shared" si="565"/>
        <v>1.2133239325890664E-2</v>
      </c>
      <c r="AP310" s="245">
        <f t="shared" si="565"/>
        <v>8595.8904533959758</v>
      </c>
      <c r="AQ310" s="245">
        <f t="shared" si="565"/>
        <v>318.36631308873984</v>
      </c>
      <c r="AR310" s="245">
        <f t="shared" si="565"/>
        <v>162029.20662554665</v>
      </c>
      <c r="AS310" s="248">
        <f t="shared" si="565"/>
        <v>0.15976935660476105</v>
      </c>
      <c r="AT310" s="245">
        <f t="shared" si="565"/>
        <v>29459.855750099392</v>
      </c>
      <c r="AU310" s="245">
        <f t="shared" si="565"/>
        <v>1528.5774209957231</v>
      </c>
      <c r="AV310" s="248">
        <f t="shared" si="565"/>
        <v>0.17871661678635314</v>
      </c>
      <c r="AW310" s="234"/>
    </row>
    <row r="311" spans="1:49" s="240" customFormat="1" x14ac:dyDescent="0.25">
      <c r="A311" s="243" t="s">
        <v>34</v>
      </c>
      <c r="B311" s="243"/>
      <c r="C311" s="245">
        <f>MAX(C309:C310)</f>
        <v>80.5</v>
      </c>
      <c r="D311" s="245">
        <f t="shared" ref="D311:S311" si="566">MAX(D309:D310)</f>
        <v>1599</v>
      </c>
      <c r="E311" s="245">
        <f t="shared" si="566"/>
        <v>16960169.746721085</v>
      </c>
      <c r="F311" s="245">
        <f t="shared" si="566"/>
        <v>1876720.7138294687</v>
      </c>
      <c r="G311" s="245">
        <f t="shared" si="566"/>
        <v>74325.572824929448</v>
      </c>
      <c r="H311" s="245">
        <f t="shared" si="566"/>
        <v>8435233.1499999985</v>
      </c>
      <c r="I311" s="245">
        <f t="shared" si="566"/>
        <v>20322663.050000001</v>
      </c>
      <c r="J311" s="245">
        <f t="shared" si="566"/>
        <v>22642236.350000001</v>
      </c>
      <c r="K311" s="245">
        <f t="shared" si="566"/>
        <v>2103315.7999999998</v>
      </c>
      <c r="L311" s="245">
        <f t="shared" si="566"/>
        <v>209818.65</v>
      </c>
      <c r="M311" s="245">
        <f t="shared" si="566"/>
        <v>668720.85</v>
      </c>
      <c r="N311" s="245">
        <f t="shared" si="566"/>
        <v>0</v>
      </c>
      <c r="O311" s="245">
        <f t="shared" si="566"/>
        <v>0</v>
      </c>
      <c r="P311" s="245">
        <f t="shared" si="566"/>
        <v>13323451.35</v>
      </c>
      <c r="Q311" s="245">
        <f t="shared" si="566"/>
        <v>13317012.5</v>
      </c>
      <c r="R311" s="245">
        <f t="shared" si="566"/>
        <v>11113641.551972026</v>
      </c>
      <c r="S311" s="248">
        <f t="shared" si="566"/>
        <v>0.79135135945305668</v>
      </c>
      <c r="T311" s="245">
        <f t="shared" ref="T311:AI311" si="567">MAX(T309:T310)</f>
        <v>507625.34218049818</v>
      </c>
      <c r="U311" s="245">
        <f t="shared" si="567"/>
        <v>18800.93859927771</v>
      </c>
      <c r="V311" s="245">
        <f t="shared" si="567"/>
        <v>1160458.2</v>
      </c>
      <c r="W311" s="245">
        <f t="shared" si="567"/>
        <v>968454.18376281182</v>
      </c>
      <c r="X311" s="248">
        <f t="shared" si="567"/>
        <v>7.6832970114271773E-2</v>
      </c>
      <c r="Y311" s="245">
        <f t="shared" si="567"/>
        <v>39100.02127352314</v>
      </c>
      <c r="Z311" s="245">
        <f t="shared" si="567"/>
        <v>1736.2047688912508</v>
      </c>
      <c r="AA311" s="245">
        <f t="shared" si="567"/>
        <v>1985955.85</v>
      </c>
      <c r="AB311" s="245">
        <f t="shared" si="567"/>
        <v>403469.8</v>
      </c>
      <c r="AC311" s="245">
        <f t="shared" si="567"/>
        <v>1346100</v>
      </c>
      <c r="AD311" s="245">
        <f t="shared" si="567"/>
        <v>1123380.5549938129</v>
      </c>
      <c r="AE311" s="248">
        <f t="shared" si="567"/>
        <v>0.26907865672734127</v>
      </c>
      <c r="AF311" s="245">
        <f t="shared" si="567"/>
        <v>97770</v>
      </c>
      <c r="AG311" s="245">
        <f t="shared" si="567"/>
        <v>5027.1484419893941</v>
      </c>
      <c r="AH311" s="245">
        <f t="shared" si="567"/>
        <v>1637250.65</v>
      </c>
      <c r="AI311" s="245">
        <f t="shared" si="567"/>
        <v>1393792.9945561218</v>
      </c>
      <c r="AJ311" s="248">
        <f t="shared" ref="AJ311:AV311" si="568">MAX(AJ309:AJ310)</f>
        <v>0.18746932298428201</v>
      </c>
      <c r="AK311" s="245">
        <f t="shared" si="568"/>
        <v>55137.548227181876</v>
      </c>
      <c r="AL311" s="245">
        <f t="shared" si="568"/>
        <v>2511.5218817982691</v>
      </c>
      <c r="AM311" s="245">
        <f t="shared" si="568"/>
        <v>61167.9</v>
      </c>
      <c r="AN311" s="245">
        <f t="shared" si="568"/>
        <v>53505.689486264004</v>
      </c>
      <c r="AO311" s="248">
        <f t="shared" si="568"/>
        <v>1.5192651038279938E-2</v>
      </c>
      <c r="AP311" s="245">
        <f t="shared" si="568"/>
        <v>8595.8904533959758</v>
      </c>
      <c r="AQ311" s="245">
        <f t="shared" si="568"/>
        <v>318.36631308873984</v>
      </c>
      <c r="AR311" s="245">
        <f t="shared" si="568"/>
        <v>1135263.2607372995</v>
      </c>
      <c r="AS311" s="248">
        <f t="shared" si="568"/>
        <v>0.15976935660476105</v>
      </c>
      <c r="AT311" s="245">
        <f t="shared" si="568"/>
        <v>42308.425010683772</v>
      </c>
      <c r="AU311" s="245">
        <f t="shared" si="568"/>
        <v>2045.1525183415624</v>
      </c>
      <c r="AV311" s="248">
        <f t="shared" si="568"/>
        <v>0.81876561893768329</v>
      </c>
      <c r="AW311" s="234"/>
    </row>
    <row r="312" spans="1:49" s="257" customFormat="1" ht="14.25" x14ac:dyDescent="0.3">
      <c r="A312" s="253" t="s">
        <v>233</v>
      </c>
      <c r="B312" s="253"/>
      <c r="C312" s="245">
        <f t="shared" ref="C312:O312" si="569">MAX(C130:C251)</f>
        <v>22</v>
      </c>
      <c r="D312" s="245">
        <f t="shared" si="569"/>
        <v>476</v>
      </c>
      <c r="E312" s="245">
        <f t="shared" si="569"/>
        <v>3362493.3032789156</v>
      </c>
      <c r="F312" s="245">
        <f t="shared" si="569"/>
        <v>914869.82234106131</v>
      </c>
      <c r="G312" s="246">
        <f t="shared" si="569"/>
        <v>59023.859505874927</v>
      </c>
      <c r="H312" s="254">
        <f t="shared" si="569"/>
        <v>8435233.1499999985</v>
      </c>
      <c r="I312" s="254">
        <f t="shared" si="569"/>
        <v>20322663.050000001</v>
      </c>
      <c r="J312" s="254">
        <f t="shared" si="569"/>
        <v>22642236.350000001</v>
      </c>
      <c r="K312" s="254">
        <f t="shared" si="569"/>
        <v>2103315.7999999998</v>
      </c>
      <c r="L312" s="254">
        <f t="shared" si="569"/>
        <v>209818.65</v>
      </c>
      <c r="M312" s="254">
        <f t="shared" si="569"/>
        <v>180538.4</v>
      </c>
      <c r="N312" s="254">
        <f t="shared" si="569"/>
        <v>0</v>
      </c>
      <c r="O312" s="254">
        <f t="shared" si="569"/>
        <v>0</v>
      </c>
      <c r="P312" s="255">
        <f>MAX(P130:P251)</f>
        <v>13323451.35</v>
      </c>
      <c r="Q312" s="254"/>
      <c r="R312" s="245">
        <f t="shared" ref="R312:S312" si="570">MAX(R130:R251)</f>
        <v>2203370.9480279754</v>
      </c>
      <c r="S312" s="248">
        <f t="shared" si="570"/>
        <v>0.78643793889122904</v>
      </c>
      <c r="T312" s="245">
        <f t="shared" ref="T312:AI312" si="571">MAX(T130:T251)</f>
        <v>201907.35503164498</v>
      </c>
      <c r="U312" s="246">
        <f t="shared" si="571"/>
        <v>9845.3734169938525</v>
      </c>
      <c r="V312" s="255">
        <f t="shared" si="571"/>
        <v>1160458.2</v>
      </c>
      <c r="W312" s="245">
        <f t="shared" si="571"/>
        <v>192004.01623718816</v>
      </c>
      <c r="X312" s="248">
        <f t="shared" si="571"/>
        <v>7.4343766720547502E-2</v>
      </c>
      <c r="Y312" s="245">
        <f t="shared" si="571"/>
        <v>14572.812202850211</v>
      </c>
      <c r="Z312" s="246">
        <f t="shared" si="571"/>
        <v>1045.7149798884443</v>
      </c>
      <c r="AA312" s="254">
        <f t="shared" si="571"/>
        <v>1985955.85</v>
      </c>
      <c r="AB312" s="254">
        <f t="shared" si="571"/>
        <v>403469.8</v>
      </c>
      <c r="AC312" s="255">
        <f t="shared" si="571"/>
        <v>1346100</v>
      </c>
      <c r="AD312" s="245">
        <f t="shared" si="571"/>
        <v>222719.44500618722</v>
      </c>
      <c r="AE312" s="248">
        <f t="shared" si="571"/>
        <v>0.26907865672734127</v>
      </c>
      <c r="AF312" s="245">
        <f t="shared" si="571"/>
        <v>53326.757502731831</v>
      </c>
      <c r="AG312" s="246">
        <f t="shared" si="571"/>
        <v>4102.0582694409104</v>
      </c>
      <c r="AH312" s="255">
        <f t="shared" si="571"/>
        <v>1637250.65</v>
      </c>
      <c r="AI312" s="245">
        <f t="shared" si="571"/>
        <v>262041.45565363631</v>
      </c>
      <c r="AJ312" s="248">
        <f t="shared" ref="AJ312:AV312" si="572">MAX(AJ130:AJ251)</f>
        <v>0.18746932298428198</v>
      </c>
      <c r="AK312" s="245">
        <f t="shared" si="572"/>
        <v>46187.06144017577</v>
      </c>
      <c r="AL312" s="246">
        <f t="shared" si="572"/>
        <v>2112.2722007606008</v>
      </c>
      <c r="AM312" s="255">
        <f t="shared" si="572"/>
        <v>61167.9</v>
      </c>
      <c r="AN312" s="245">
        <f t="shared" si="572"/>
        <v>8179.1363533835374</v>
      </c>
      <c r="AO312" s="248">
        <f t="shared" si="572"/>
        <v>1.1291487628980646E-2</v>
      </c>
      <c r="AP312" s="245">
        <f t="shared" si="572"/>
        <v>1981.9339079083859</v>
      </c>
      <c r="AQ312" s="246">
        <f t="shared" si="572"/>
        <v>160.65968970673168</v>
      </c>
      <c r="AR312" s="245">
        <f t="shared" si="572"/>
        <v>225075.28926270074</v>
      </c>
      <c r="AS312" s="248">
        <f t="shared" si="572"/>
        <v>0.14363152811689103</v>
      </c>
      <c r="AT312" s="245">
        <f t="shared" si="572"/>
        <v>34232.618787640342</v>
      </c>
      <c r="AU312" s="245">
        <f t="shared" si="572"/>
        <v>1797.2830899668634</v>
      </c>
      <c r="AV312" s="248">
        <f t="shared" si="572"/>
        <v>0.81876561893768329</v>
      </c>
      <c r="AW312" s="256"/>
    </row>
    <row r="313" spans="1:49" s="257" customFormat="1" ht="14.25" x14ac:dyDescent="0.3">
      <c r="A313" s="253" t="s">
        <v>233</v>
      </c>
      <c r="B313" s="253"/>
      <c r="C313" s="245">
        <f t="shared" ref="C313:D313" si="573">MAX(C265:C271)</f>
        <v>2</v>
      </c>
      <c r="D313" s="245">
        <f t="shared" si="573"/>
        <v>42</v>
      </c>
      <c r="E313" s="245">
        <f t="shared" ref="E313:O313" si="574">MAX(E265:E271)</f>
        <v>256447.28254252655</v>
      </c>
      <c r="F313" s="245">
        <f t="shared" si="574"/>
        <v>203894.40207997168</v>
      </c>
      <c r="G313" s="246">
        <f t="shared" si="574"/>
        <v>9726.0075533487834</v>
      </c>
      <c r="H313" s="254">
        <f t="shared" si="574"/>
        <v>586405.5</v>
      </c>
      <c r="I313" s="254">
        <f t="shared" si="574"/>
        <v>1439785.1</v>
      </c>
      <c r="J313" s="254">
        <f t="shared" si="574"/>
        <v>2081023.45</v>
      </c>
      <c r="K313" s="254">
        <f t="shared" si="574"/>
        <v>100926.5</v>
      </c>
      <c r="L313" s="254">
        <f t="shared" si="574"/>
        <v>415</v>
      </c>
      <c r="M313" s="254">
        <f t="shared" si="574"/>
        <v>668720.85</v>
      </c>
      <c r="N313" s="254">
        <f t="shared" si="574"/>
        <v>0</v>
      </c>
      <c r="O313" s="254">
        <f t="shared" si="574"/>
        <v>0</v>
      </c>
      <c r="P313" s="255">
        <f>MAX(P265:P271)</f>
        <v>1521897.45</v>
      </c>
      <c r="Q313" s="254"/>
      <c r="R313" s="245">
        <f t="shared" ref="R313:U313" si="575">MAX(R265:R271)</f>
        <v>167111.19514438233</v>
      </c>
      <c r="S313" s="248">
        <f t="shared" si="575"/>
        <v>0.77833682185055864</v>
      </c>
      <c r="T313" s="245">
        <f t="shared" si="575"/>
        <v>139377.85781950169</v>
      </c>
      <c r="U313" s="246">
        <f t="shared" si="575"/>
        <v>6968.8928909750848</v>
      </c>
      <c r="V313" s="255">
        <f t="shared" ref="V313:AK313" si="576">MAX(V265:V271)</f>
        <v>88002.25</v>
      </c>
      <c r="W313" s="245">
        <f t="shared" si="576"/>
        <v>17209.355782927607</v>
      </c>
      <c r="X313" s="248">
        <f t="shared" si="576"/>
        <v>6.7106797203334706E-2</v>
      </c>
      <c r="Y313" s="245">
        <f t="shared" si="576"/>
        <v>13236.416426605074</v>
      </c>
      <c r="Z313" s="246">
        <f t="shared" si="576"/>
        <v>536.78143632384285</v>
      </c>
      <c r="AA313" s="254">
        <f t="shared" si="576"/>
        <v>239951.3</v>
      </c>
      <c r="AB313" s="254">
        <f t="shared" si="576"/>
        <v>60814.35</v>
      </c>
      <c r="AC313" s="255">
        <f t="shared" si="576"/>
        <v>260000</v>
      </c>
      <c r="AD313" s="245">
        <f t="shared" si="576"/>
        <v>50844.523902072709</v>
      </c>
      <c r="AE313" s="248">
        <f t="shared" si="576"/>
        <v>0.19826501337030616</v>
      </c>
      <c r="AF313" s="245">
        <f t="shared" si="576"/>
        <v>25422.261951036355</v>
      </c>
      <c r="AG313" s="246">
        <f t="shared" si="576"/>
        <v>1282.3257680236784</v>
      </c>
      <c r="AH313" s="255">
        <f t="shared" si="576"/>
        <v>217644.65</v>
      </c>
      <c r="AI313" s="245">
        <f t="shared" si="576"/>
        <v>35528.482663748036</v>
      </c>
      <c r="AJ313" s="248">
        <f t="shared" si="576"/>
        <v>0.18537337383549346</v>
      </c>
      <c r="AK313" s="245">
        <f t="shared" si="576"/>
        <v>37796.593219735005</v>
      </c>
      <c r="AL313" s="246">
        <f t="shared" ref="AL313:AV313" si="577">MAX(AL265:AL271)</f>
        <v>1259.8864406578334</v>
      </c>
      <c r="AM313" s="255">
        <f t="shared" si="577"/>
        <v>13038.65</v>
      </c>
      <c r="AN313" s="245">
        <f t="shared" si="577"/>
        <v>2518.3781578349517</v>
      </c>
      <c r="AO313" s="248">
        <f t="shared" si="577"/>
        <v>1.2133239325890664E-2</v>
      </c>
      <c r="AP313" s="245">
        <f t="shared" si="577"/>
        <v>2360.1595466040221</v>
      </c>
      <c r="AQ313" s="246">
        <f t="shared" si="577"/>
        <v>118.0079773302011</v>
      </c>
      <c r="AR313" s="245">
        <f t="shared" si="577"/>
        <v>32029.793374453373</v>
      </c>
      <c r="AS313" s="248">
        <f t="shared" si="577"/>
        <v>0.15976935660476102</v>
      </c>
      <c r="AT313" s="245">
        <f t="shared" si="577"/>
        <v>16014.896687226686</v>
      </c>
      <c r="AU313" s="245">
        <f t="shared" si="577"/>
        <v>1231.9151297866681</v>
      </c>
      <c r="AV313" s="248">
        <f t="shared" si="577"/>
        <v>0.17871661678635303</v>
      </c>
      <c r="AW313" s="256"/>
    </row>
    <row r="314" spans="1:49" s="240" customFormat="1" x14ac:dyDescent="0.25">
      <c r="A314" s="243" t="s">
        <v>35</v>
      </c>
      <c r="B314" s="243"/>
      <c r="C314" s="245">
        <f t="shared" ref="C314:O314" si="578">MAX(C312:C313)</f>
        <v>22</v>
      </c>
      <c r="D314" s="245">
        <f t="shared" si="578"/>
        <v>476</v>
      </c>
      <c r="E314" s="245">
        <f t="shared" si="578"/>
        <v>3362493.3032789156</v>
      </c>
      <c r="F314" s="245">
        <f t="shared" si="578"/>
        <v>914869.82234106131</v>
      </c>
      <c r="G314" s="246">
        <f t="shared" si="578"/>
        <v>59023.859505874927</v>
      </c>
      <c r="H314" s="245">
        <f t="shared" si="578"/>
        <v>8435233.1499999985</v>
      </c>
      <c r="I314" s="245">
        <f t="shared" si="578"/>
        <v>20322663.050000001</v>
      </c>
      <c r="J314" s="245">
        <f t="shared" si="578"/>
        <v>22642236.350000001</v>
      </c>
      <c r="K314" s="245">
        <f t="shared" si="578"/>
        <v>2103315.7999999998</v>
      </c>
      <c r="L314" s="245">
        <f t="shared" si="578"/>
        <v>209818.65</v>
      </c>
      <c r="M314" s="245">
        <f t="shared" si="578"/>
        <v>668720.85</v>
      </c>
      <c r="N314" s="245">
        <f t="shared" si="578"/>
        <v>0</v>
      </c>
      <c r="O314" s="245">
        <f t="shared" si="578"/>
        <v>0</v>
      </c>
      <c r="P314" s="247">
        <f>MAX(P312:P313)</f>
        <v>13323451.35</v>
      </c>
      <c r="Q314" s="245"/>
      <c r="R314" s="245">
        <f t="shared" ref="R314:S314" si="579">MAX(R312:R313)</f>
        <v>2203370.9480279754</v>
      </c>
      <c r="S314" s="248">
        <f t="shared" si="579"/>
        <v>0.78643793889122904</v>
      </c>
      <c r="T314" s="245">
        <f t="shared" ref="T314:AI314" si="580">MAX(T312:T313)</f>
        <v>201907.35503164498</v>
      </c>
      <c r="U314" s="246">
        <f t="shared" si="580"/>
        <v>9845.3734169938525</v>
      </c>
      <c r="V314" s="247">
        <f t="shared" si="580"/>
        <v>1160458.2</v>
      </c>
      <c r="W314" s="245">
        <f t="shared" si="580"/>
        <v>192004.01623718816</v>
      </c>
      <c r="X314" s="248">
        <f t="shared" si="580"/>
        <v>7.4343766720547502E-2</v>
      </c>
      <c r="Y314" s="245">
        <f t="shared" si="580"/>
        <v>14572.812202850211</v>
      </c>
      <c r="Z314" s="246">
        <f t="shared" si="580"/>
        <v>1045.7149798884443</v>
      </c>
      <c r="AA314" s="245">
        <f t="shared" si="580"/>
        <v>1985955.85</v>
      </c>
      <c r="AB314" s="245">
        <f t="shared" si="580"/>
        <v>403469.8</v>
      </c>
      <c r="AC314" s="247">
        <f t="shared" si="580"/>
        <v>1346100</v>
      </c>
      <c r="AD314" s="245">
        <f t="shared" si="580"/>
        <v>222719.44500618722</v>
      </c>
      <c r="AE314" s="248">
        <f t="shared" si="580"/>
        <v>0.26907865672734127</v>
      </c>
      <c r="AF314" s="245">
        <f t="shared" si="580"/>
        <v>53326.757502731831</v>
      </c>
      <c r="AG314" s="246">
        <f t="shared" si="580"/>
        <v>4102.0582694409104</v>
      </c>
      <c r="AH314" s="247">
        <f t="shared" si="580"/>
        <v>1637250.65</v>
      </c>
      <c r="AI314" s="245">
        <f t="shared" si="580"/>
        <v>262041.45565363631</v>
      </c>
      <c r="AJ314" s="248">
        <f t="shared" ref="AJ314:AV314" si="581">MAX(AJ312:AJ313)</f>
        <v>0.18746932298428198</v>
      </c>
      <c r="AK314" s="245">
        <f t="shared" si="581"/>
        <v>46187.06144017577</v>
      </c>
      <c r="AL314" s="246">
        <f t="shared" si="581"/>
        <v>2112.2722007606008</v>
      </c>
      <c r="AM314" s="247">
        <f t="shared" si="581"/>
        <v>61167.9</v>
      </c>
      <c r="AN314" s="245">
        <f t="shared" si="581"/>
        <v>8179.1363533835374</v>
      </c>
      <c r="AO314" s="248">
        <f t="shared" si="581"/>
        <v>1.2133239325890664E-2</v>
      </c>
      <c r="AP314" s="245">
        <f t="shared" si="581"/>
        <v>2360.1595466040221</v>
      </c>
      <c r="AQ314" s="246">
        <f t="shared" si="581"/>
        <v>160.65968970673168</v>
      </c>
      <c r="AR314" s="245">
        <f t="shared" si="581"/>
        <v>225075.28926270074</v>
      </c>
      <c r="AS314" s="248">
        <f t="shared" si="581"/>
        <v>0.15976935660476102</v>
      </c>
      <c r="AT314" s="245">
        <f t="shared" si="581"/>
        <v>34232.618787640342</v>
      </c>
      <c r="AU314" s="245">
        <f t="shared" si="581"/>
        <v>1797.2830899668634</v>
      </c>
      <c r="AV314" s="248">
        <f t="shared" si="581"/>
        <v>0.81876561893768329</v>
      </c>
      <c r="AW314" s="234"/>
    </row>
    <row r="315" spans="1:49" s="240" customFormat="1" x14ac:dyDescent="0.25">
      <c r="A315" s="243" t="s">
        <v>36</v>
      </c>
      <c r="B315" s="243"/>
      <c r="C315" s="245">
        <f t="shared" ref="C315:O315" si="582">MAX(C252:C264)</f>
        <v>87</v>
      </c>
      <c r="D315" s="245">
        <f t="shared" si="582"/>
        <v>1775</v>
      </c>
      <c r="E315" s="245">
        <f t="shared" si="582"/>
        <v>19564052.550000001</v>
      </c>
      <c r="F315" s="245">
        <f t="shared" si="582"/>
        <v>708457.99893302424</v>
      </c>
      <c r="G315" s="246">
        <f t="shared" si="582"/>
        <v>26239.185145667565</v>
      </c>
      <c r="H315" s="245">
        <f t="shared" si="582"/>
        <v>586405.5</v>
      </c>
      <c r="I315" s="245">
        <f t="shared" si="582"/>
        <v>19564052.550000001</v>
      </c>
      <c r="J315" s="245">
        <f t="shared" si="582"/>
        <v>20710251</v>
      </c>
      <c r="K315" s="245">
        <f t="shared" si="582"/>
        <v>836218</v>
      </c>
      <c r="L315" s="245">
        <f t="shared" si="582"/>
        <v>44828.25</v>
      </c>
      <c r="M315" s="245">
        <f t="shared" si="582"/>
        <v>668720.85</v>
      </c>
      <c r="N315" s="245">
        <f t="shared" si="582"/>
        <v>0</v>
      </c>
      <c r="O315" s="245">
        <f t="shared" si="582"/>
        <v>0</v>
      </c>
      <c r="P315" s="247">
        <f>MAX(P252:P264)</f>
        <v>15266454.35</v>
      </c>
      <c r="Q315" s="245"/>
      <c r="R315" s="245">
        <f t="shared" ref="R315:S315" si="583">MAX(R252:R264)</f>
        <v>14956473.9</v>
      </c>
      <c r="S315" s="248">
        <f t="shared" si="583"/>
        <v>0.78648178170835481</v>
      </c>
      <c r="T315" s="245">
        <f t="shared" ref="T315:AI315" si="584">MAX(T252:T264)</f>
        <v>507625.34218049818</v>
      </c>
      <c r="U315" s="246">
        <f t="shared" si="584"/>
        <v>18800.93859927771</v>
      </c>
      <c r="V315" s="247">
        <f t="shared" si="584"/>
        <v>992934.5</v>
      </c>
      <c r="W315" s="245">
        <f t="shared" si="584"/>
        <v>992934.5</v>
      </c>
      <c r="X315" s="248">
        <f t="shared" si="584"/>
        <v>6.710679720333472E-2</v>
      </c>
      <c r="Y315" s="245">
        <f t="shared" si="584"/>
        <v>39100.02127352314</v>
      </c>
      <c r="Z315" s="246">
        <f t="shared" si="584"/>
        <v>1448.1489360564126</v>
      </c>
      <c r="AA315" s="245">
        <f t="shared" si="584"/>
        <v>1754639.75</v>
      </c>
      <c r="AB315" s="245">
        <f t="shared" si="584"/>
        <v>625226.4</v>
      </c>
      <c r="AC315" s="247">
        <f t="shared" si="584"/>
        <v>676603.1</v>
      </c>
      <c r="AD315" s="245">
        <f t="shared" si="584"/>
        <v>676603.1</v>
      </c>
      <c r="AE315" s="248">
        <f t="shared" si="584"/>
        <v>0.19826501337030616</v>
      </c>
      <c r="AF315" s="245">
        <f t="shared" si="584"/>
        <v>41831.095219585455</v>
      </c>
      <c r="AG315" s="246">
        <f t="shared" si="584"/>
        <v>2178.702876020076</v>
      </c>
      <c r="AH315" s="247">
        <f t="shared" si="584"/>
        <v>1129413.3500000001</v>
      </c>
      <c r="AI315" s="245">
        <f t="shared" si="584"/>
        <v>1129413.3500000001</v>
      </c>
      <c r="AJ315" s="248">
        <f t="shared" ref="AJ315:AV315" si="585">MAX(AJ252:AJ264)</f>
        <v>0.18537337383549346</v>
      </c>
      <c r="AK315" s="245">
        <f t="shared" si="585"/>
        <v>39179.741356052997</v>
      </c>
      <c r="AL315" s="246">
        <f t="shared" si="585"/>
        <v>2511.5218817982691</v>
      </c>
      <c r="AM315" s="247">
        <f t="shared" si="585"/>
        <v>164146.25</v>
      </c>
      <c r="AN315" s="245">
        <f t="shared" si="585"/>
        <v>164146.25</v>
      </c>
      <c r="AO315" s="248">
        <f t="shared" si="585"/>
        <v>1.2133239325890664E-2</v>
      </c>
      <c r="AP315" s="245">
        <f t="shared" si="585"/>
        <v>8595.8904533959758</v>
      </c>
      <c r="AQ315" s="246">
        <f t="shared" si="585"/>
        <v>318.36631308873984</v>
      </c>
      <c r="AR315" s="245">
        <f t="shared" si="585"/>
        <v>768152.85</v>
      </c>
      <c r="AS315" s="248">
        <f t="shared" si="585"/>
        <v>0.15976935660476105</v>
      </c>
      <c r="AT315" s="245">
        <f t="shared" si="585"/>
        <v>29459.855750099392</v>
      </c>
      <c r="AU315" s="245">
        <f t="shared" si="585"/>
        <v>1528.5774209957231</v>
      </c>
      <c r="AV315" s="248">
        <f t="shared" si="585"/>
        <v>0.17871661678635314</v>
      </c>
      <c r="AW315" s="234"/>
    </row>
    <row r="316" spans="1:49" s="240" customFormat="1" x14ac:dyDescent="0.25">
      <c r="A316" s="243" t="s">
        <v>37</v>
      </c>
      <c r="B316" s="243"/>
      <c r="C316" s="245">
        <f t="shared" ref="C316:O316" si="586">MAX(C272:C300)</f>
        <v>55</v>
      </c>
      <c r="D316" s="245">
        <f t="shared" si="586"/>
        <v>1180</v>
      </c>
      <c r="E316" s="245">
        <f t="shared" si="586"/>
        <v>19247401.59</v>
      </c>
      <c r="F316" s="245">
        <f t="shared" si="586"/>
        <v>441359.76428571431</v>
      </c>
      <c r="G316" s="246">
        <f t="shared" si="586"/>
        <v>27614.636427546629</v>
      </c>
      <c r="H316" s="245">
        <f t="shared" si="586"/>
        <v>0</v>
      </c>
      <c r="I316" s="245">
        <f t="shared" si="586"/>
        <v>19247401.59</v>
      </c>
      <c r="J316" s="245">
        <f t="shared" si="586"/>
        <v>19247691.239999998</v>
      </c>
      <c r="K316" s="245">
        <f t="shared" si="586"/>
        <v>0</v>
      </c>
      <c r="L316" s="245">
        <f t="shared" si="586"/>
        <v>11378.45</v>
      </c>
      <c r="M316" s="245">
        <f t="shared" si="586"/>
        <v>203274.85</v>
      </c>
      <c r="N316" s="245">
        <f t="shared" si="586"/>
        <v>0</v>
      </c>
      <c r="O316" s="245">
        <f t="shared" si="586"/>
        <v>0</v>
      </c>
      <c r="P316" s="247">
        <f>MAX(P272:P300)</f>
        <v>12174428.4</v>
      </c>
      <c r="Q316" s="245"/>
      <c r="R316" s="245">
        <f t="shared" ref="R316:S316" si="587">MAX(R272:R300)</f>
        <v>12038014.75</v>
      </c>
      <c r="S316" s="248">
        <f t="shared" si="587"/>
        <v>0.91728921473934033</v>
      </c>
      <c r="T316" s="245">
        <f t="shared" ref="T316:AI316" si="588">MAX(T272:T300)</f>
        <v>254836.09166666667</v>
      </c>
      <c r="U316" s="246">
        <f t="shared" si="588"/>
        <v>14424.684433962264</v>
      </c>
      <c r="V316" s="247">
        <f t="shared" si="588"/>
        <v>743391.5</v>
      </c>
      <c r="W316" s="245">
        <f t="shared" si="588"/>
        <v>743391.5</v>
      </c>
      <c r="X316" s="248">
        <f t="shared" si="588"/>
        <v>7.3486258812569732E-2</v>
      </c>
      <c r="Y316" s="245">
        <f t="shared" si="588"/>
        <v>18945.141666666666</v>
      </c>
      <c r="Z316" s="246">
        <f t="shared" si="588"/>
        <v>1010.9734513274336</v>
      </c>
      <c r="AA316" s="245">
        <f t="shared" si="588"/>
        <v>1287543</v>
      </c>
      <c r="AB316" s="245">
        <f t="shared" si="588"/>
        <v>338791.1</v>
      </c>
      <c r="AC316" s="247">
        <f t="shared" si="588"/>
        <v>6038066.6500000004</v>
      </c>
      <c r="AD316" s="245">
        <f t="shared" si="588"/>
        <v>6038066.6500000004</v>
      </c>
      <c r="AE316" s="248">
        <f t="shared" si="588"/>
        <v>0.31370814505876377</v>
      </c>
      <c r="AF316" s="245">
        <f t="shared" si="588"/>
        <v>137228.78750000001</v>
      </c>
      <c r="AG316" s="246">
        <f t="shared" si="588"/>
        <v>8662.9363701578204</v>
      </c>
      <c r="AH316" s="247">
        <f t="shared" si="588"/>
        <v>1191556.3999999999</v>
      </c>
      <c r="AI316" s="245">
        <f t="shared" si="588"/>
        <v>1191556.3999999999</v>
      </c>
      <c r="AJ316" s="248">
        <f t="shared" ref="AJ316:AV316" si="589">MAX(AJ272:AJ300)</f>
        <v>0.2068073685583198</v>
      </c>
      <c r="AK316" s="245">
        <f t="shared" si="589"/>
        <v>81447.28571428571</v>
      </c>
      <c r="AL316" s="246">
        <f t="shared" si="589"/>
        <v>3497.7361963190183</v>
      </c>
      <c r="AM316" s="247">
        <f t="shared" si="589"/>
        <v>56594.75</v>
      </c>
      <c r="AN316" s="245">
        <f t="shared" si="589"/>
        <v>56594.75</v>
      </c>
      <c r="AO316" s="248">
        <f t="shared" si="589"/>
        <v>5.648529336374033E-3</v>
      </c>
      <c r="AP316" s="245">
        <f t="shared" si="589"/>
        <v>1569.3</v>
      </c>
      <c r="AQ316" s="246">
        <f t="shared" si="589"/>
        <v>89.309756097560978</v>
      </c>
      <c r="AR316" s="245">
        <f t="shared" si="589"/>
        <v>1142338.8500000001</v>
      </c>
      <c r="AS316" s="248">
        <f t="shared" si="589"/>
        <v>0.15520247678736074</v>
      </c>
      <c r="AT316" s="245">
        <f t="shared" si="589"/>
        <v>68500.128571428577</v>
      </c>
      <c r="AU316" s="245">
        <f t="shared" si="589"/>
        <v>3133.9928104575165</v>
      </c>
      <c r="AV316" s="248">
        <f t="shared" si="589"/>
        <v>0.16966653567240247</v>
      </c>
      <c r="AW316" s="234"/>
    </row>
    <row r="317" spans="1:49" s="240" customFormat="1" x14ac:dyDescent="0.25">
      <c r="C317" s="242"/>
      <c r="D317" s="234"/>
      <c r="E317" s="234"/>
      <c r="F317" s="234"/>
      <c r="G317" s="235"/>
      <c r="H317" s="234"/>
      <c r="I317" s="234"/>
      <c r="J317" s="234"/>
      <c r="K317" s="234"/>
      <c r="L317" s="234"/>
      <c r="M317" s="234"/>
      <c r="N317" s="234"/>
      <c r="O317" s="234"/>
      <c r="P317" s="236"/>
      <c r="Q317" s="237"/>
      <c r="R317" s="234"/>
      <c r="S317" s="252"/>
      <c r="T317" s="234"/>
      <c r="U317" s="235"/>
      <c r="V317" s="236"/>
      <c r="W317" s="234"/>
      <c r="X317" s="252"/>
      <c r="Y317" s="234"/>
      <c r="Z317" s="235"/>
      <c r="AA317" s="234"/>
      <c r="AB317" s="234"/>
      <c r="AC317" s="236"/>
      <c r="AD317" s="234"/>
      <c r="AE317" s="252"/>
      <c r="AF317" s="234"/>
      <c r="AG317" s="235"/>
      <c r="AH317" s="236"/>
      <c r="AI317" s="234"/>
      <c r="AJ317" s="252"/>
      <c r="AK317" s="234"/>
      <c r="AL317" s="235"/>
      <c r="AM317" s="236"/>
      <c r="AN317" s="234"/>
      <c r="AO317" s="252"/>
      <c r="AP317" s="234"/>
      <c r="AQ317" s="235"/>
      <c r="AR317" s="234"/>
      <c r="AS317" s="252"/>
      <c r="AT317" s="234"/>
      <c r="AU317" s="234"/>
      <c r="AV317" s="252"/>
      <c r="AW317" s="234"/>
    </row>
    <row r="318" spans="1:49" s="240" customFormat="1" ht="14.25" x14ac:dyDescent="0.3">
      <c r="A318" s="241" t="s">
        <v>38</v>
      </c>
      <c r="C318" s="242"/>
      <c r="D318" s="410"/>
      <c r="E318" s="234"/>
      <c r="F318" s="234"/>
      <c r="G318" s="235"/>
      <c r="H318" s="234"/>
      <c r="I318" s="234"/>
      <c r="J318" s="234"/>
      <c r="K318" s="234"/>
      <c r="L318" s="234"/>
      <c r="M318" s="234"/>
      <c r="N318" s="234"/>
      <c r="O318" s="234"/>
      <c r="P318" s="236"/>
      <c r="Q318" s="237"/>
      <c r="R318" s="234"/>
      <c r="S318" s="252"/>
      <c r="T318" s="234"/>
      <c r="U318" s="235"/>
      <c r="V318" s="236"/>
      <c r="W318" s="234"/>
      <c r="X318" s="252"/>
      <c r="Y318" s="234"/>
      <c r="Z318" s="235"/>
      <c r="AA318" s="234"/>
      <c r="AB318" s="234"/>
      <c r="AC318" s="236"/>
      <c r="AD318" s="234"/>
      <c r="AE318" s="252"/>
      <c r="AF318" s="234"/>
      <c r="AG318" s="235"/>
      <c r="AH318" s="236"/>
      <c r="AI318" s="234"/>
      <c r="AJ318" s="252"/>
      <c r="AK318" s="234"/>
      <c r="AL318" s="235"/>
      <c r="AM318" s="236"/>
      <c r="AN318" s="234"/>
      <c r="AO318" s="252"/>
      <c r="AP318" s="234"/>
      <c r="AQ318" s="235"/>
      <c r="AR318" s="234"/>
      <c r="AS318" s="252"/>
      <c r="AT318" s="234"/>
      <c r="AU318" s="234"/>
      <c r="AV318" s="252"/>
      <c r="AW318" s="234"/>
    </row>
    <row r="319" spans="1:49" s="240" customFormat="1" ht="14.25" x14ac:dyDescent="0.3">
      <c r="A319" s="253" t="s">
        <v>232</v>
      </c>
      <c r="C319" s="245">
        <f>MIN(C8:C129)</f>
        <v>1</v>
      </c>
      <c r="D319" s="245">
        <v>17</v>
      </c>
      <c r="E319" s="245">
        <f t="shared" ref="E319:S319" si="590">MIN(E8:E129)</f>
        <v>45912.600000000006</v>
      </c>
      <c r="F319" s="245">
        <f t="shared" si="590"/>
        <v>146236.84270559862</v>
      </c>
      <c r="G319" s="245">
        <f t="shared" si="590"/>
        <v>7815.6957142857136</v>
      </c>
      <c r="H319" s="245">
        <f t="shared" si="590"/>
        <v>-2325.0499999999884</v>
      </c>
      <c r="I319" s="245">
        <f t="shared" si="590"/>
        <v>45912.600000000006</v>
      </c>
      <c r="J319" s="245">
        <f t="shared" si="590"/>
        <v>85132.6</v>
      </c>
      <c r="K319" s="245">
        <f t="shared" si="590"/>
        <v>0</v>
      </c>
      <c r="L319" s="245">
        <f t="shared" si="590"/>
        <v>-2182.9</v>
      </c>
      <c r="M319" s="245">
        <f t="shared" si="590"/>
        <v>-44254</v>
      </c>
      <c r="N319" s="245">
        <f t="shared" si="590"/>
        <v>0</v>
      </c>
      <c r="O319" s="245">
        <f t="shared" si="590"/>
        <v>0</v>
      </c>
      <c r="P319" s="245">
        <f t="shared" si="590"/>
        <v>40992.400000000001</v>
      </c>
      <c r="Q319" s="245">
        <f t="shared" si="590"/>
        <v>1772.4000000000015</v>
      </c>
      <c r="R319" s="245">
        <f t="shared" si="590"/>
        <v>-8347.5999999999985</v>
      </c>
      <c r="S319" s="248">
        <f t="shared" si="590"/>
        <v>9.3787153759295736E-2</v>
      </c>
      <c r="T319" s="245">
        <f t="shared" ref="T319:AI319" si="591">MIN(T8:T129)</f>
        <v>101977.64699521658</v>
      </c>
      <c r="U319" s="245">
        <f t="shared" si="591"/>
        <v>4994.595077079256</v>
      </c>
      <c r="V319" s="245">
        <f t="shared" si="591"/>
        <v>2191.8000000000002</v>
      </c>
      <c r="W319" s="245">
        <f t="shared" si="591"/>
        <v>1786.5103390453573</v>
      </c>
      <c r="X319" s="248">
        <f t="shared" si="591"/>
        <v>2.9282940703047097E-3</v>
      </c>
      <c r="Y319" s="245">
        <f t="shared" si="591"/>
        <v>446.62758476133934</v>
      </c>
      <c r="Z319" s="245">
        <f t="shared" si="591"/>
        <v>23.820137853938096</v>
      </c>
      <c r="AA319" s="245">
        <f t="shared" si="591"/>
        <v>6786</v>
      </c>
      <c r="AB319" s="245">
        <f t="shared" si="591"/>
        <v>0</v>
      </c>
      <c r="AC319" s="245">
        <f t="shared" si="591"/>
        <v>0</v>
      </c>
      <c r="AD319" s="245">
        <f t="shared" si="591"/>
        <v>0</v>
      </c>
      <c r="AE319" s="248">
        <f t="shared" si="591"/>
        <v>0</v>
      </c>
      <c r="AF319" s="245">
        <f t="shared" si="591"/>
        <v>0</v>
      </c>
      <c r="AG319" s="245">
        <f t="shared" si="591"/>
        <v>0</v>
      </c>
      <c r="AH319" s="245">
        <f t="shared" si="591"/>
        <v>-12054</v>
      </c>
      <c r="AI319" s="245">
        <f t="shared" si="591"/>
        <v>-8757.1879713937105</v>
      </c>
      <c r="AJ319" s="248">
        <f t="shared" ref="AJ319:AV319" si="592">MIN(AJ8:AJ129)</f>
        <v>-3.625754406724882E-2</v>
      </c>
      <c r="AK319" s="245">
        <f t="shared" si="592"/>
        <v>-8757.1879713937105</v>
      </c>
      <c r="AL319" s="245">
        <f t="shared" si="592"/>
        <v>-437.85939856968554</v>
      </c>
      <c r="AM319" s="245">
        <f t="shared" si="592"/>
        <v>-67901.600000000006</v>
      </c>
      <c r="AN319" s="245">
        <f t="shared" si="592"/>
        <v>-56666.917088602546</v>
      </c>
      <c r="AO319" s="248">
        <f t="shared" si="592"/>
        <v>-3.3411762933303175E-3</v>
      </c>
      <c r="AP319" s="245">
        <f t="shared" si="592"/>
        <v>-703.93685824350985</v>
      </c>
      <c r="AQ319" s="245">
        <f t="shared" si="592"/>
        <v>-35.438972538212973</v>
      </c>
      <c r="AR319" s="245">
        <f t="shared" si="592"/>
        <v>0</v>
      </c>
      <c r="AS319" s="248">
        <f t="shared" si="592"/>
        <v>0</v>
      </c>
      <c r="AT319" s="245">
        <f t="shared" si="592"/>
        <v>0</v>
      </c>
      <c r="AU319" s="245">
        <f t="shared" si="592"/>
        <v>0</v>
      </c>
      <c r="AV319" s="248">
        <f t="shared" si="592"/>
        <v>1.3280778202961696E-2</v>
      </c>
      <c r="AW319" s="234"/>
    </row>
    <row r="320" spans="1:49" s="240" customFormat="1" ht="14.25" x14ac:dyDescent="0.3">
      <c r="A320" s="253" t="s">
        <v>232</v>
      </c>
      <c r="C320" s="245">
        <f>MIN(C258:C264)</f>
        <v>1</v>
      </c>
      <c r="D320" s="245">
        <f t="shared" ref="D320:S320" si="593">MIN(D258:D264)</f>
        <v>27</v>
      </c>
      <c r="E320" s="245">
        <f t="shared" si="593"/>
        <v>528389.54896001425</v>
      </c>
      <c r="F320" s="245">
        <f t="shared" si="593"/>
        <v>184389.90039233534</v>
      </c>
      <c r="G320" s="245">
        <f t="shared" si="593"/>
        <v>9567.4004920551342</v>
      </c>
      <c r="H320" s="245">
        <f t="shared" si="593"/>
        <v>-47478.95000000007</v>
      </c>
      <c r="I320" s="245">
        <f t="shared" si="593"/>
        <v>630336.75</v>
      </c>
      <c r="J320" s="245">
        <f t="shared" si="593"/>
        <v>860274.3</v>
      </c>
      <c r="K320" s="245">
        <f t="shared" si="593"/>
        <v>0</v>
      </c>
      <c r="L320" s="245">
        <f t="shared" si="593"/>
        <v>0</v>
      </c>
      <c r="M320" s="245">
        <f t="shared" si="593"/>
        <v>-16486</v>
      </c>
      <c r="N320" s="245">
        <f t="shared" si="593"/>
        <v>0</v>
      </c>
      <c r="O320" s="245">
        <f t="shared" si="593"/>
        <v>0</v>
      </c>
      <c r="P320" s="245">
        <f t="shared" si="593"/>
        <v>630517.19999999995</v>
      </c>
      <c r="Q320" s="245">
        <f t="shared" si="593"/>
        <v>350617.35000000003</v>
      </c>
      <c r="R320" s="245">
        <f t="shared" si="593"/>
        <v>293910.42712336773</v>
      </c>
      <c r="S320" s="248">
        <f t="shared" si="593"/>
        <v>0.5109719738191294</v>
      </c>
      <c r="T320" s="245">
        <f t="shared" ref="T320:AI320" si="594">MIN(T258:T264)</f>
        <v>94218.071355784239</v>
      </c>
      <c r="U320" s="245">
        <f t="shared" si="594"/>
        <v>4888.6735137435217</v>
      </c>
      <c r="V320" s="245">
        <f t="shared" si="594"/>
        <v>25674.6</v>
      </c>
      <c r="W320" s="245">
        <f t="shared" si="594"/>
        <v>22637.228349039164</v>
      </c>
      <c r="X320" s="248">
        <f t="shared" si="594"/>
        <v>3.8798194974039822E-2</v>
      </c>
      <c r="Y320" s="245">
        <f t="shared" si="594"/>
        <v>7153.995306665608</v>
      </c>
      <c r="Z320" s="245">
        <f t="shared" si="594"/>
        <v>371.1978696854797</v>
      </c>
      <c r="AA320" s="245">
        <f t="shared" si="594"/>
        <v>61620.55</v>
      </c>
      <c r="AB320" s="245">
        <f t="shared" si="594"/>
        <v>10210</v>
      </c>
      <c r="AC320" s="245">
        <f t="shared" si="594"/>
        <v>0</v>
      </c>
      <c r="AD320" s="245">
        <f t="shared" si="594"/>
        <v>0</v>
      </c>
      <c r="AE320" s="248">
        <f t="shared" si="594"/>
        <v>0</v>
      </c>
      <c r="AF320" s="245">
        <f t="shared" si="594"/>
        <v>0</v>
      </c>
      <c r="AG320" s="245">
        <f t="shared" si="594"/>
        <v>0</v>
      </c>
      <c r="AH320" s="245">
        <f t="shared" si="594"/>
        <v>33806.050000000003</v>
      </c>
      <c r="AI320" s="245">
        <f t="shared" si="594"/>
        <v>26523.52832106709</v>
      </c>
      <c r="AJ320" s="248">
        <f t="shared" ref="AJ320:AV320" si="595">MIN(AJ258:AJ264)</f>
        <v>3.7438392058545385E-2</v>
      </c>
      <c r="AK320" s="245">
        <f t="shared" si="595"/>
        <v>17945.867373802485</v>
      </c>
      <c r="AL320" s="245">
        <f t="shared" si="595"/>
        <v>669.18629253082815</v>
      </c>
      <c r="AM320" s="245">
        <f t="shared" si="595"/>
        <v>3195</v>
      </c>
      <c r="AN320" s="245">
        <f t="shared" si="595"/>
        <v>2678.2582626306421</v>
      </c>
      <c r="AO320" s="248">
        <f t="shared" si="595"/>
        <v>3.5271714493716887E-3</v>
      </c>
      <c r="AP320" s="245">
        <f t="shared" si="595"/>
        <v>689.4268394491728</v>
      </c>
      <c r="AQ320" s="245">
        <f t="shared" si="595"/>
        <v>34.471341972458639</v>
      </c>
      <c r="AR320" s="245">
        <f t="shared" si="595"/>
        <v>0</v>
      </c>
      <c r="AS320" s="248">
        <f t="shared" si="595"/>
        <v>0</v>
      </c>
      <c r="AT320" s="245">
        <f t="shared" si="595"/>
        <v>0</v>
      </c>
      <c r="AU320" s="245">
        <f t="shared" si="595"/>
        <v>0</v>
      </c>
      <c r="AV320" s="248">
        <f t="shared" si="595"/>
        <v>1.718391862785644E-2</v>
      </c>
      <c r="AW320" s="234"/>
    </row>
    <row r="321" spans="1:49" s="240" customFormat="1" x14ac:dyDescent="0.25">
      <c r="A321" s="243" t="s">
        <v>34</v>
      </c>
      <c r="B321" s="243"/>
      <c r="C321" s="245">
        <f>MIN(C319:C320)</f>
        <v>1</v>
      </c>
      <c r="D321" s="245">
        <f t="shared" ref="D321:S321" si="596">MIN(D319:D320)</f>
        <v>17</v>
      </c>
      <c r="E321" s="245">
        <f t="shared" si="596"/>
        <v>45912.600000000006</v>
      </c>
      <c r="F321" s="245">
        <f t="shared" si="596"/>
        <v>146236.84270559862</v>
      </c>
      <c r="G321" s="245">
        <f t="shared" si="596"/>
        <v>7815.6957142857136</v>
      </c>
      <c r="H321" s="245">
        <f t="shared" si="596"/>
        <v>-47478.95000000007</v>
      </c>
      <c r="I321" s="245">
        <f t="shared" si="596"/>
        <v>45912.600000000006</v>
      </c>
      <c r="J321" s="245">
        <f t="shared" si="596"/>
        <v>85132.6</v>
      </c>
      <c r="K321" s="245">
        <f t="shared" si="596"/>
        <v>0</v>
      </c>
      <c r="L321" s="245">
        <f t="shared" si="596"/>
        <v>-2182.9</v>
      </c>
      <c r="M321" s="245">
        <f t="shared" si="596"/>
        <v>-44254</v>
      </c>
      <c r="N321" s="245">
        <f t="shared" si="596"/>
        <v>0</v>
      </c>
      <c r="O321" s="245">
        <f t="shared" si="596"/>
        <v>0</v>
      </c>
      <c r="P321" s="245">
        <f t="shared" si="596"/>
        <v>40992.400000000001</v>
      </c>
      <c r="Q321" s="245">
        <f t="shared" si="596"/>
        <v>1772.4000000000015</v>
      </c>
      <c r="R321" s="245">
        <f t="shared" si="596"/>
        <v>-8347.5999999999985</v>
      </c>
      <c r="S321" s="248">
        <f t="shared" si="596"/>
        <v>9.3787153759295736E-2</v>
      </c>
      <c r="T321" s="245">
        <f t="shared" ref="T321:AI321" si="597">MIN(T319:T320)</f>
        <v>94218.071355784239</v>
      </c>
      <c r="U321" s="245">
        <f t="shared" si="597"/>
        <v>4888.6735137435217</v>
      </c>
      <c r="V321" s="245">
        <f t="shared" si="597"/>
        <v>2191.8000000000002</v>
      </c>
      <c r="W321" s="245">
        <f t="shared" si="597"/>
        <v>1786.5103390453573</v>
      </c>
      <c r="X321" s="248">
        <f t="shared" si="597"/>
        <v>2.9282940703047097E-3</v>
      </c>
      <c r="Y321" s="245">
        <f t="shared" si="597"/>
        <v>446.62758476133934</v>
      </c>
      <c r="Z321" s="245">
        <f t="shared" si="597"/>
        <v>23.820137853938096</v>
      </c>
      <c r="AA321" s="245">
        <f t="shared" si="597"/>
        <v>6786</v>
      </c>
      <c r="AB321" s="245">
        <f t="shared" si="597"/>
        <v>0</v>
      </c>
      <c r="AC321" s="245">
        <f t="shared" si="597"/>
        <v>0</v>
      </c>
      <c r="AD321" s="245">
        <f t="shared" si="597"/>
        <v>0</v>
      </c>
      <c r="AE321" s="248">
        <f t="shared" si="597"/>
        <v>0</v>
      </c>
      <c r="AF321" s="245">
        <f t="shared" si="597"/>
        <v>0</v>
      </c>
      <c r="AG321" s="245">
        <f t="shared" si="597"/>
        <v>0</v>
      </c>
      <c r="AH321" s="245">
        <f t="shared" si="597"/>
        <v>-12054</v>
      </c>
      <c r="AI321" s="245">
        <f t="shared" si="597"/>
        <v>-8757.1879713937105</v>
      </c>
      <c r="AJ321" s="248">
        <f t="shared" ref="AJ321:AV321" si="598">MIN(AJ319:AJ320)</f>
        <v>-3.625754406724882E-2</v>
      </c>
      <c r="AK321" s="245">
        <f t="shared" si="598"/>
        <v>-8757.1879713937105</v>
      </c>
      <c r="AL321" s="245">
        <f t="shared" si="598"/>
        <v>-437.85939856968554</v>
      </c>
      <c r="AM321" s="245">
        <f t="shared" si="598"/>
        <v>-67901.600000000006</v>
      </c>
      <c r="AN321" s="245">
        <f t="shared" si="598"/>
        <v>-56666.917088602546</v>
      </c>
      <c r="AO321" s="248">
        <f t="shared" si="598"/>
        <v>-3.3411762933303175E-3</v>
      </c>
      <c r="AP321" s="245">
        <f t="shared" si="598"/>
        <v>-703.93685824350985</v>
      </c>
      <c r="AQ321" s="245">
        <f t="shared" si="598"/>
        <v>-35.438972538212973</v>
      </c>
      <c r="AR321" s="245">
        <f t="shared" si="598"/>
        <v>0</v>
      </c>
      <c r="AS321" s="248">
        <f t="shared" si="598"/>
        <v>0</v>
      </c>
      <c r="AT321" s="245">
        <f t="shared" si="598"/>
        <v>0</v>
      </c>
      <c r="AU321" s="245">
        <f t="shared" si="598"/>
        <v>0</v>
      </c>
      <c r="AV321" s="248">
        <f t="shared" si="598"/>
        <v>1.3280778202961696E-2</v>
      </c>
      <c r="AW321" s="234"/>
    </row>
    <row r="322" spans="1:49" s="240" customFormat="1" ht="14.25" x14ac:dyDescent="0.3">
      <c r="A322" s="253" t="s">
        <v>233</v>
      </c>
      <c r="B322" s="243"/>
      <c r="C322" s="245">
        <f t="shared" ref="C322:D322" si="599">MIN(C130:C251)</f>
        <v>0</v>
      </c>
      <c r="D322" s="245">
        <f t="shared" si="599"/>
        <v>11</v>
      </c>
      <c r="E322" s="245">
        <f t="shared" ref="E322:O322" si="600">MIN(E130:E251)</f>
        <v>85874.957569755526</v>
      </c>
      <c r="F322" s="245">
        <f t="shared" si="600"/>
        <v>90126.264663319467</v>
      </c>
      <c r="G322" s="245">
        <f t="shared" si="600"/>
        <v>4056.3619518825399</v>
      </c>
      <c r="H322" s="245">
        <f t="shared" si="600"/>
        <v>104162.49999999994</v>
      </c>
      <c r="I322" s="245">
        <f t="shared" si="600"/>
        <v>332454.94999999995</v>
      </c>
      <c r="J322" s="245">
        <f t="shared" si="600"/>
        <v>342320.85</v>
      </c>
      <c r="K322" s="245">
        <f t="shared" si="600"/>
        <v>0</v>
      </c>
      <c r="L322" s="245">
        <f t="shared" si="600"/>
        <v>-2182.9</v>
      </c>
      <c r="M322" s="245">
        <f t="shared" si="600"/>
        <v>-44254</v>
      </c>
      <c r="N322" s="245">
        <f t="shared" si="600"/>
        <v>0</v>
      </c>
      <c r="O322" s="245">
        <f t="shared" si="600"/>
        <v>0</v>
      </c>
      <c r="P322" s="247">
        <f>MIN(P130:P251)</f>
        <v>237158.1</v>
      </c>
      <c r="Q322" s="245"/>
      <c r="R322" s="245">
        <f t="shared" ref="R322:U322" si="601">MIN(R130:R251)</f>
        <v>54356.102109769337</v>
      </c>
      <c r="S322" s="248">
        <f t="shared" si="601"/>
        <v>9.3787153759295736E-2</v>
      </c>
      <c r="T322" s="245">
        <f t="shared" si="601"/>
        <v>57485.831936349663</v>
      </c>
      <c r="U322" s="245">
        <f t="shared" si="601"/>
        <v>2942.0607141669411</v>
      </c>
      <c r="V322" s="245">
        <f t="shared" ref="V322:AK322" si="602">MIN(V130:V251)</f>
        <v>2191.8000000000002</v>
      </c>
      <c r="W322" s="245">
        <f t="shared" si="602"/>
        <v>405.2896609546429</v>
      </c>
      <c r="X322" s="248">
        <f t="shared" si="602"/>
        <v>2.9282940703047101E-3</v>
      </c>
      <c r="Y322" s="245">
        <f t="shared" si="602"/>
        <v>405.2896609546429</v>
      </c>
      <c r="Z322" s="245">
        <f t="shared" si="602"/>
        <v>19.299507664506805</v>
      </c>
      <c r="AA322" s="245">
        <f t="shared" si="602"/>
        <v>6786</v>
      </c>
      <c r="AB322" s="245">
        <f t="shared" si="602"/>
        <v>0</v>
      </c>
      <c r="AC322" s="247">
        <f t="shared" si="602"/>
        <v>0</v>
      </c>
      <c r="AD322" s="245">
        <f t="shared" si="602"/>
        <v>0</v>
      </c>
      <c r="AE322" s="248">
        <f t="shared" si="602"/>
        <v>0</v>
      </c>
      <c r="AF322" s="245">
        <f t="shared" si="602"/>
        <v>0</v>
      </c>
      <c r="AG322" s="246">
        <f t="shared" si="602"/>
        <v>0</v>
      </c>
      <c r="AH322" s="247">
        <f t="shared" si="602"/>
        <v>-12054</v>
      </c>
      <c r="AI322" s="245">
        <f t="shared" si="602"/>
        <v>-3296.8120286062899</v>
      </c>
      <c r="AJ322" s="248">
        <f t="shared" si="602"/>
        <v>-3.625754406724882E-2</v>
      </c>
      <c r="AK322" s="245">
        <f t="shared" si="602"/>
        <v>-6593.6240572125798</v>
      </c>
      <c r="AL322" s="246">
        <f t="shared" ref="AL322:AV322" si="603">MIN(AL130:AL251)</f>
        <v>-206.05075178789312</v>
      </c>
      <c r="AM322" s="247">
        <f t="shared" si="603"/>
        <v>-67901.600000000006</v>
      </c>
      <c r="AN322" s="245">
        <f t="shared" si="603"/>
        <v>-11234.682911397462</v>
      </c>
      <c r="AO322" s="248">
        <f t="shared" si="603"/>
        <v>-3.3411762933303175E-3</v>
      </c>
      <c r="AP322" s="245">
        <f t="shared" si="603"/>
        <v>-510.66740506352102</v>
      </c>
      <c r="AQ322" s="246">
        <f t="shared" si="603"/>
        <v>-23.602275023944248</v>
      </c>
      <c r="AR322" s="245">
        <f t="shared" si="603"/>
        <v>0</v>
      </c>
      <c r="AS322" s="248">
        <f t="shared" si="603"/>
        <v>0</v>
      </c>
      <c r="AT322" s="245">
        <f t="shared" si="603"/>
        <v>0</v>
      </c>
      <c r="AU322" s="245">
        <f t="shared" si="603"/>
        <v>0</v>
      </c>
      <c r="AV322" s="248">
        <f t="shared" si="603"/>
        <v>1.5873248277397861E-2</v>
      </c>
      <c r="AW322" s="234"/>
    </row>
    <row r="323" spans="1:49" s="240" customFormat="1" ht="14.25" x14ac:dyDescent="0.3">
      <c r="A323" s="253" t="s">
        <v>233</v>
      </c>
      <c r="B323" s="243"/>
      <c r="C323" s="245">
        <f t="shared" ref="C323:D323" si="604">MIN(C265:C271)</f>
        <v>0.5</v>
      </c>
      <c r="D323" s="245">
        <f t="shared" si="604"/>
        <v>12</v>
      </c>
      <c r="E323" s="245">
        <f t="shared" ref="E323:O323" si="605">MIN(E265:E271)</f>
        <v>77706.517293068347</v>
      </c>
      <c r="F323" s="245">
        <f t="shared" si="605"/>
        <v>100237.59892107779</v>
      </c>
      <c r="G323" s="245">
        <f t="shared" si="605"/>
        <v>6105.8876795839651</v>
      </c>
      <c r="H323" s="245">
        <f t="shared" si="605"/>
        <v>-47478.95000000007</v>
      </c>
      <c r="I323" s="245">
        <f t="shared" si="605"/>
        <v>630336.75</v>
      </c>
      <c r="J323" s="245">
        <f t="shared" si="605"/>
        <v>860274.3</v>
      </c>
      <c r="K323" s="245">
        <f t="shared" si="605"/>
        <v>0</v>
      </c>
      <c r="L323" s="245">
        <f t="shared" si="605"/>
        <v>0</v>
      </c>
      <c r="M323" s="245">
        <f t="shared" si="605"/>
        <v>-16486</v>
      </c>
      <c r="N323" s="245">
        <f t="shared" si="605"/>
        <v>0</v>
      </c>
      <c r="O323" s="245">
        <f t="shared" si="605"/>
        <v>0</v>
      </c>
      <c r="P323" s="247">
        <f>MIN(P265:P271)</f>
        <v>630517.19999999995</v>
      </c>
      <c r="Q323" s="245"/>
      <c r="R323" s="245">
        <f t="shared" ref="R323:U323" si="606">MIN(R265:R271)</f>
        <v>56706.922876632343</v>
      </c>
      <c r="S323" s="248">
        <f t="shared" si="606"/>
        <v>0.5109719738191294</v>
      </c>
      <c r="T323" s="245">
        <f t="shared" si="606"/>
        <v>51218.603771593356</v>
      </c>
      <c r="U323" s="245">
        <f t="shared" si="606"/>
        <v>3148.0943376954251</v>
      </c>
      <c r="V323" s="245">
        <f t="shared" ref="V323:AK323" si="607">MIN(V265:V271)</f>
        <v>25674.6</v>
      </c>
      <c r="W323" s="245">
        <f t="shared" si="607"/>
        <v>3037.3716509608353</v>
      </c>
      <c r="X323" s="248">
        <f t="shared" si="607"/>
        <v>3.8798194974039822E-2</v>
      </c>
      <c r="Y323" s="245">
        <f t="shared" si="607"/>
        <v>3889.03790666958</v>
      </c>
      <c r="Z323" s="245">
        <f t="shared" si="607"/>
        <v>253.11430424673628</v>
      </c>
      <c r="AA323" s="245">
        <f t="shared" si="607"/>
        <v>61620.55</v>
      </c>
      <c r="AB323" s="245">
        <f t="shared" si="607"/>
        <v>10210</v>
      </c>
      <c r="AC323" s="247">
        <f t="shared" si="607"/>
        <v>0</v>
      </c>
      <c r="AD323" s="245">
        <f t="shared" si="607"/>
        <v>0</v>
      </c>
      <c r="AE323" s="248">
        <f t="shared" si="607"/>
        <v>0</v>
      </c>
      <c r="AF323" s="245">
        <f t="shared" si="607"/>
        <v>0</v>
      </c>
      <c r="AG323" s="246">
        <f t="shared" si="607"/>
        <v>0</v>
      </c>
      <c r="AH323" s="247">
        <f t="shared" si="607"/>
        <v>33806.050000000003</v>
      </c>
      <c r="AI323" s="245">
        <f t="shared" si="607"/>
        <v>5207.7450332119688</v>
      </c>
      <c r="AJ323" s="248">
        <f t="shared" si="607"/>
        <v>3.7438392058545385E-2</v>
      </c>
      <c r="AK323" s="245">
        <f t="shared" si="607"/>
        <v>7282.5216789329106</v>
      </c>
      <c r="AL323" s="246">
        <f t="shared" ref="AL323:AV323" si="608">MIN(AL265:AL271)</f>
        <v>364.12608394664551</v>
      </c>
      <c r="AM323" s="247">
        <f t="shared" si="608"/>
        <v>3195</v>
      </c>
      <c r="AN323" s="245">
        <f t="shared" si="608"/>
        <v>516.74173736935813</v>
      </c>
      <c r="AO323" s="248">
        <f t="shared" si="608"/>
        <v>3.5271714493716891E-3</v>
      </c>
      <c r="AP323" s="245">
        <f t="shared" si="608"/>
        <v>403.49448165248174</v>
      </c>
      <c r="AQ323" s="246">
        <f t="shared" si="608"/>
        <v>25.218405103280109</v>
      </c>
      <c r="AR323" s="245">
        <f t="shared" si="608"/>
        <v>0</v>
      </c>
      <c r="AS323" s="248">
        <f t="shared" si="608"/>
        <v>0</v>
      </c>
      <c r="AT323" s="245">
        <f t="shared" si="608"/>
        <v>0</v>
      </c>
      <c r="AU323" s="245">
        <f t="shared" si="608"/>
        <v>0</v>
      </c>
      <c r="AV323" s="248">
        <f t="shared" si="608"/>
        <v>1.7183918627856447E-2</v>
      </c>
      <c r="AW323" s="234"/>
    </row>
    <row r="324" spans="1:49" s="240" customFormat="1" x14ac:dyDescent="0.25">
      <c r="A324" s="243" t="s">
        <v>35</v>
      </c>
      <c r="B324" s="243"/>
      <c r="C324" s="245">
        <f t="shared" ref="C324:D324" si="609">MIN(C322:C323)</f>
        <v>0</v>
      </c>
      <c r="D324" s="245">
        <f t="shared" si="609"/>
        <v>11</v>
      </c>
      <c r="E324" s="245">
        <f t="shared" ref="E324:O324" si="610">MIN(E322:E323)</f>
        <v>77706.517293068347</v>
      </c>
      <c r="F324" s="245">
        <f t="shared" si="610"/>
        <v>90126.264663319467</v>
      </c>
      <c r="G324" s="245">
        <f t="shared" si="610"/>
        <v>4056.3619518825399</v>
      </c>
      <c r="H324" s="245">
        <f t="shared" si="610"/>
        <v>-47478.95000000007</v>
      </c>
      <c r="I324" s="245">
        <f t="shared" si="610"/>
        <v>332454.94999999995</v>
      </c>
      <c r="J324" s="245">
        <f t="shared" si="610"/>
        <v>342320.85</v>
      </c>
      <c r="K324" s="245">
        <f t="shared" si="610"/>
        <v>0</v>
      </c>
      <c r="L324" s="245">
        <f t="shared" si="610"/>
        <v>-2182.9</v>
      </c>
      <c r="M324" s="245">
        <f t="shared" si="610"/>
        <v>-44254</v>
      </c>
      <c r="N324" s="245">
        <f t="shared" si="610"/>
        <v>0</v>
      </c>
      <c r="O324" s="245">
        <f t="shared" si="610"/>
        <v>0</v>
      </c>
      <c r="P324" s="247">
        <f>MIN(P322:P323)</f>
        <v>237158.1</v>
      </c>
      <c r="Q324" s="245"/>
      <c r="R324" s="245">
        <f t="shared" ref="R324:U324" si="611">MIN(R322:R323)</f>
        <v>54356.102109769337</v>
      </c>
      <c r="S324" s="248">
        <f t="shared" si="611"/>
        <v>9.3787153759295736E-2</v>
      </c>
      <c r="T324" s="245">
        <f t="shared" si="611"/>
        <v>51218.603771593356</v>
      </c>
      <c r="U324" s="245">
        <f t="shared" si="611"/>
        <v>2942.0607141669411</v>
      </c>
      <c r="V324" s="245">
        <f t="shared" ref="V324:AK324" si="612">MIN(V322:V323)</f>
        <v>2191.8000000000002</v>
      </c>
      <c r="W324" s="245">
        <f t="shared" si="612"/>
        <v>405.2896609546429</v>
      </c>
      <c r="X324" s="248">
        <f t="shared" si="612"/>
        <v>2.9282940703047101E-3</v>
      </c>
      <c r="Y324" s="245">
        <f t="shared" si="612"/>
        <v>405.2896609546429</v>
      </c>
      <c r="Z324" s="245">
        <f t="shared" si="612"/>
        <v>19.299507664506805</v>
      </c>
      <c r="AA324" s="245">
        <f t="shared" si="612"/>
        <v>6786</v>
      </c>
      <c r="AB324" s="245">
        <f t="shared" si="612"/>
        <v>0</v>
      </c>
      <c r="AC324" s="247">
        <f t="shared" si="612"/>
        <v>0</v>
      </c>
      <c r="AD324" s="245">
        <f t="shared" si="612"/>
        <v>0</v>
      </c>
      <c r="AE324" s="248">
        <f t="shared" si="612"/>
        <v>0</v>
      </c>
      <c r="AF324" s="245">
        <f t="shared" si="612"/>
        <v>0</v>
      </c>
      <c r="AG324" s="246">
        <f t="shared" si="612"/>
        <v>0</v>
      </c>
      <c r="AH324" s="247">
        <f t="shared" si="612"/>
        <v>-12054</v>
      </c>
      <c r="AI324" s="245">
        <f t="shared" si="612"/>
        <v>-3296.8120286062899</v>
      </c>
      <c r="AJ324" s="248">
        <f t="shared" si="612"/>
        <v>-3.625754406724882E-2</v>
      </c>
      <c r="AK324" s="245">
        <f t="shared" si="612"/>
        <v>-6593.6240572125798</v>
      </c>
      <c r="AL324" s="246">
        <f t="shared" ref="AL324:AV324" si="613">MIN(AL322:AL323)</f>
        <v>-206.05075178789312</v>
      </c>
      <c r="AM324" s="247">
        <f t="shared" si="613"/>
        <v>-67901.600000000006</v>
      </c>
      <c r="AN324" s="245">
        <f t="shared" si="613"/>
        <v>-11234.682911397462</v>
      </c>
      <c r="AO324" s="248">
        <f t="shared" si="613"/>
        <v>-3.3411762933303175E-3</v>
      </c>
      <c r="AP324" s="245">
        <f t="shared" si="613"/>
        <v>-510.66740506352102</v>
      </c>
      <c r="AQ324" s="246">
        <f t="shared" si="613"/>
        <v>-23.602275023944248</v>
      </c>
      <c r="AR324" s="245">
        <f t="shared" si="613"/>
        <v>0</v>
      </c>
      <c r="AS324" s="248">
        <f t="shared" si="613"/>
        <v>0</v>
      </c>
      <c r="AT324" s="245">
        <f t="shared" si="613"/>
        <v>0</v>
      </c>
      <c r="AU324" s="245">
        <f t="shared" si="613"/>
        <v>0</v>
      </c>
      <c r="AV324" s="248">
        <f t="shared" si="613"/>
        <v>1.5873248277397861E-2</v>
      </c>
      <c r="AW324" s="234"/>
    </row>
    <row r="325" spans="1:49" s="240" customFormat="1" x14ac:dyDescent="0.25">
      <c r="A325" s="243" t="s">
        <v>36</v>
      </c>
      <c r="B325" s="243"/>
      <c r="C325" s="245">
        <f t="shared" ref="C325:O325" si="614">MIN(C252:C264)</f>
        <v>1</v>
      </c>
      <c r="D325" s="245">
        <f t="shared" si="614"/>
        <v>27</v>
      </c>
      <c r="E325" s="245">
        <f t="shared" si="614"/>
        <v>528389.54896001425</v>
      </c>
      <c r="F325" s="245">
        <f t="shared" si="614"/>
        <v>182130.86648648648</v>
      </c>
      <c r="G325" s="246">
        <f t="shared" si="614"/>
        <v>9567.4004920551342</v>
      </c>
      <c r="H325" s="245">
        <f t="shared" si="614"/>
        <v>-47478.95000000007</v>
      </c>
      <c r="I325" s="245">
        <f t="shared" si="614"/>
        <v>630336.75</v>
      </c>
      <c r="J325" s="245">
        <f t="shared" si="614"/>
        <v>860274.3</v>
      </c>
      <c r="K325" s="245">
        <f t="shared" si="614"/>
        <v>0</v>
      </c>
      <c r="L325" s="245">
        <f t="shared" si="614"/>
        <v>-614.29999999999995</v>
      </c>
      <c r="M325" s="245">
        <f t="shared" si="614"/>
        <v>-16486</v>
      </c>
      <c r="N325" s="245">
        <f t="shared" si="614"/>
        <v>0</v>
      </c>
      <c r="O325" s="245">
        <f t="shared" si="614"/>
        <v>0</v>
      </c>
      <c r="P325" s="247">
        <f>MIN(P252:P264)</f>
        <v>630517.19999999995</v>
      </c>
      <c r="Q325" s="245"/>
      <c r="R325" s="245">
        <f t="shared" ref="R325:S325" si="615">MIN(R252:R264)</f>
        <v>293910.42712336773</v>
      </c>
      <c r="S325" s="248">
        <f t="shared" si="615"/>
        <v>0.5109719738191294</v>
      </c>
      <c r="T325" s="245">
        <f t="shared" ref="T325:AI325" si="616">MIN(T252:T264)</f>
        <v>94218.071355784239</v>
      </c>
      <c r="U325" s="246">
        <f t="shared" si="616"/>
        <v>4888.6735137435217</v>
      </c>
      <c r="V325" s="247">
        <f t="shared" si="616"/>
        <v>25674.6</v>
      </c>
      <c r="W325" s="245">
        <f t="shared" si="616"/>
        <v>22637.228349039164</v>
      </c>
      <c r="X325" s="248">
        <f t="shared" si="616"/>
        <v>2.8416855343245725E-2</v>
      </c>
      <c r="Y325" s="245">
        <f t="shared" si="616"/>
        <v>5175.586486486487</v>
      </c>
      <c r="Z325" s="246">
        <f t="shared" si="616"/>
        <v>276.72933526011565</v>
      </c>
      <c r="AA325" s="245">
        <f t="shared" si="616"/>
        <v>61620.55</v>
      </c>
      <c r="AB325" s="245">
        <f t="shared" si="616"/>
        <v>3669</v>
      </c>
      <c r="AC325" s="247">
        <f t="shared" si="616"/>
        <v>0</v>
      </c>
      <c r="AD325" s="245">
        <f t="shared" si="616"/>
        <v>0</v>
      </c>
      <c r="AE325" s="248">
        <f t="shared" si="616"/>
        <v>0</v>
      </c>
      <c r="AF325" s="245">
        <f t="shared" si="616"/>
        <v>0</v>
      </c>
      <c r="AG325" s="246">
        <f t="shared" si="616"/>
        <v>0</v>
      </c>
      <c r="AH325" s="247">
        <f t="shared" si="616"/>
        <v>33806.050000000003</v>
      </c>
      <c r="AI325" s="245">
        <f t="shared" si="616"/>
        <v>26523.52832106709</v>
      </c>
      <c r="AJ325" s="248">
        <f t="shared" ref="AJ325:AV325" si="617">MIN(AJ252:AJ264)</f>
        <v>3.7438392058545385E-2</v>
      </c>
      <c r="AK325" s="245">
        <f t="shared" si="617"/>
        <v>12981.762643678161</v>
      </c>
      <c r="AL325" s="246">
        <f t="shared" si="617"/>
        <v>636.28921126760565</v>
      </c>
      <c r="AM325" s="247">
        <f t="shared" si="617"/>
        <v>3195</v>
      </c>
      <c r="AN325" s="245">
        <f t="shared" si="617"/>
        <v>2678.2582626306421</v>
      </c>
      <c r="AO325" s="248">
        <f t="shared" si="617"/>
        <v>8.8783024066288192E-4</v>
      </c>
      <c r="AP325" s="245">
        <f t="shared" si="617"/>
        <v>210.35652173913041</v>
      </c>
      <c r="AQ325" s="246">
        <f t="shared" si="617"/>
        <v>10.896846846846847</v>
      </c>
      <c r="AR325" s="245">
        <f t="shared" si="617"/>
        <v>0</v>
      </c>
      <c r="AS325" s="248">
        <f t="shared" si="617"/>
        <v>0</v>
      </c>
      <c r="AT325" s="245">
        <f t="shared" si="617"/>
        <v>0</v>
      </c>
      <c r="AU325" s="245">
        <f t="shared" si="617"/>
        <v>0</v>
      </c>
      <c r="AV325" s="248">
        <f t="shared" si="617"/>
        <v>1.718391862785644E-2</v>
      </c>
      <c r="AW325" s="234"/>
    </row>
    <row r="326" spans="1:49" s="240" customFormat="1" x14ac:dyDescent="0.25">
      <c r="A326" s="243" t="s">
        <v>37</v>
      </c>
      <c r="B326" s="243"/>
      <c r="C326" s="245">
        <f t="shared" ref="C326:O326" si="618">MIN(C272:C300)</f>
        <v>5</v>
      </c>
      <c r="D326" s="245">
        <f t="shared" si="618"/>
        <v>106</v>
      </c>
      <c r="E326" s="245">
        <f t="shared" si="618"/>
        <v>1554576.35</v>
      </c>
      <c r="F326" s="245">
        <f t="shared" si="618"/>
        <v>222082.33571428573</v>
      </c>
      <c r="G326" s="246">
        <f t="shared" si="618"/>
        <v>12672.257103825135</v>
      </c>
      <c r="H326" s="245">
        <f t="shared" si="618"/>
        <v>0</v>
      </c>
      <c r="I326" s="245">
        <f t="shared" si="618"/>
        <v>1554576.35</v>
      </c>
      <c r="J326" s="245">
        <f t="shared" si="618"/>
        <v>1579120.85</v>
      </c>
      <c r="K326" s="245">
        <f t="shared" si="618"/>
        <v>0</v>
      </c>
      <c r="L326" s="245">
        <f t="shared" si="618"/>
        <v>0</v>
      </c>
      <c r="M326" s="245">
        <f t="shared" si="618"/>
        <v>289.64999999999998</v>
      </c>
      <c r="N326" s="245">
        <f t="shared" si="618"/>
        <v>0</v>
      </c>
      <c r="O326" s="245">
        <f t="shared" si="618"/>
        <v>0</v>
      </c>
      <c r="P326" s="247">
        <f>MIN(P272:P300)</f>
        <v>1083705.6499999999</v>
      </c>
      <c r="Q326" s="245"/>
      <c r="R326" s="245">
        <f t="shared" ref="R326:S326" si="619">MIN(R272:R300)</f>
        <v>1061314.7</v>
      </c>
      <c r="S326" s="248">
        <f t="shared" si="619"/>
        <v>0.42901753264659759</v>
      </c>
      <c r="T326" s="245">
        <f t="shared" ref="T326:AI326" si="620">MIN(T272:T300)</f>
        <v>151616.38571428572</v>
      </c>
      <c r="U326" s="246">
        <f t="shared" si="620"/>
        <v>8933.5084362139914</v>
      </c>
      <c r="V326" s="247">
        <f t="shared" si="620"/>
        <v>59375.55</v>
      </c>
      <c r="W326" s="245">
        <f t="shared" si="620"/>
        <v>59375.55</v>
      </c>
      <c r="X326" s="248">
        <f t="shared" si="620"/>
        <v>3.2298190854134927E-2</v>
      </c>
      <c r="Y326" s="245">
        <f t="shared" si="620"/>
        <v>8904.7333333333336</v>
      </c>
      <c r="Z326" s="246">
        <f t="shared" si="620"/>
        <v>500.19863945578231</v>
      </c>
      <c r="AA326" s="245">
        <f t="shared" si="620"/>
        <v>0</v>
      </c>
      <c r="AB326" s="245">
        <f t="shared" si="620"/>
        <v>0</v>
      </c>
      <c r="AC326" s="247">
        <f t="shared" si="620"/>
        <v>0</v>
      </c>
      <c r="AD326" s="245">
        <f t="shared" si="620"/>
        <v>0</v>
      </c>
      <c r="AE326" s="248">
        <f t="shared" si="620"/>
        <v>0</v>
      </c>
      <c r="AF326" s="245">
        <f t="shared" si="620"/>
        <v>0</v>
      </c>
      <c r="AG326" s="246">
        <f t="shared" si="620"/>
        <v>0</v>
      </c>
      <c r="AH326" s="247">
        <f t="shared" si="620"/>
        <v>0</v>
      </c>
      <c r="AI326" s="245">
        <f t="shared" si="620"/>
        <v>0</v>
      </c>
      <c r="AJ326" s="248">
        <f t="shared" ref="AJ326:AV326" si="621">MIN(AJ272:AJ300)</f>
        <v>0</v>
      </c>
      <c r="AK326" s="245">
        <f t="shared" si="621"/>
        <v>0</v>
      </c>
      <c r="AL326" s="246">
        <f t="shared" si="621"/>
        <v>0</v>
      </c>
      <c r="AM326" s="247">
        <f t="shared" si="621"/>
        <v>1163.3</v>
      </c>
      <c r="AN326" s="245">
        <f t="shared" si="621"/>
        <v>1163.3</v>
      </c>
      <c r="AO326" s="248">
        <f t="shared" si="621"/>
        <v>4.644455313306859E-4</v>
      </c>
      <c r="AP326" s="245">
        <f t="shared" si="621"/>
        <v>137.74705882352941</v>
      </c>
      <c r="AQ326" s="246">
        <f t="shared" si="621"/>
        <v>7.5783171521035593</v>
      </c>
      <c r="AR326" s="245">
        <f t="shared" si="621"/>
        <v>0</v>
      </c>
      <c r="AS326" s="248">
        <f t="shared" si="621"/>
        <v>0</v>
      </c>
      <c r="AT326" s="245">
        <f t="shared" si="621"/>
        <v>0</v>
      </c>
      <c r="AU326" s="245">
        <f t="shared" si="621"/>
        <v>0</v>
      </c>
      <c r="AV326" s="248">
        <f t="shared" si="621"/>
        <v>3.3377848486670497E-3</v>
      </c>
      <c r="AW326" s="234"/>
    </row>
    <row r="327" spans="1:49" s="240" customFormat="1" x14ac:dyDescent="0.25">
      <c r="C327" s="242"/>
      <c r="E327" s="234"/>
      <c r="F327" s="234"/>
      <c r="G327" s="234"/>
      <c r="H327" s="234"/>
      <c r="I327" s="234"/>
      <c r="J327" s="234"/>
      <c r="K327" s="234"/>
      <c r="L327" s="234"/>
      <c r="M327" s="234"/>
      <c r="N327" s="234"/>
      <c r="O327" s="234"/>
      <c r="P327" s="234"/>
      <c r="Q327" s="234"/>
      <c r="R327" s="234"/>
      <c r="S327" s="252"/>
      <c r="T327" s="234"/>
      <c r="U327" s="234"/>
      <c r="V327" s="234"/>
      <c r="W327" s="234"/>
      <c r="X327" s="252"/>
      <c r="Y327" s="234"/>
      <c r="Z327" s="234"/>
      <c r="AA327" s="234"/>
      <c r="AB327" s="234"/>
      <c r="AC327" s="234"/>
      <c r="AD327" s="234"/>
      <c r="AE327" s="252"/>
      <c r="AF327" s="234"/>
      <c r="AG327" s="234"/>
      <c r="AH327" s="234"/>
      <c r="AI327" s="234"/>
      <c r="AJ327" s="252"/>
      <c r="AK327" s="234"/>
      <c r="AL327" s="234"/>
      <c r="AM327" s="234"/>
      <c r="AN327" s="234"/>
      <c r="AO327" s="252"/>
      <c r="AP327" s="234"/>
      <c r="AQ327" s="234"/>
      <c r="AR327" s="234"/>
      <c r="AS327" s="252"/>
      <c r="AT327" s="234"/>
      <c r="AU327" s="234"/>
      <c r="AV327" s="252"/>
      <c r="AW327" s="234"/>
    </row>
    <row r="328" spans="1:49" s="240" customFormat="1" x14ac:dyDescent="0.25">
      <c r="C328" s="242"/>
      <c r="E328" s="234"/>
      <c r="F328" s="234"/>
      <c r="G328" s="234"/>
      <c r="H328" s="234"/>
      <c r="I328" s="234"/>
      <c r="J328" s="234"/>
      <c r="K328" s="234"/>
      <c r="L328" s="234"/>
      <c r="M328" s="234"/>
      <c r="N328" s="234"/>
      <c r="O328" s="234"/>
      <c r="P328" s="234"/>
      <c r="Q328" s="234"/>
      <c r="R328" s="234"/>
      <c r="S328" s="252"/>
      <c r="T328" s="234"/>
      <c r="U328" s="234"/>
      <c r="V328" s="234"/>
      <c r="W328" s="234"/>
      <c r="X328" s="252"/>
      <c r="Y328" s="234"/>
      <c r="Z328" s="234"/>
      <c r="AA328" s="234"/>
      <c r="AB328" s="234"/>
      <c r="AC328" s="234"/>
      <c r="AD328" s="234"/>
      <c r="AE328" s="252"/>
      <c r="AF328" s="234"/>
      <c r="AG328" s="234"/>
      <c r="AH328" s="234"/>
      <c r="AI328" s="234"/>
      <c r="AJ328" s="252"/>
      <c r="AK328" s="234"/>
      <c r="AL328" s="234"/>
      <c r="AM328" s="234"/>
      <c r="AN328" s="234"/>
      <c r="AO328" s="252"/>
      <c r="AP328" s="234"/>
      <c r="AQ328" s="234"/>
      <c r="AR328" s="234"/>
      <c r="AS328" s="252"/>
      <c r="AT328" s="234"/>
      <c r="AU328" s="234"/>
      <c r="AV328" s="252"/>
      <c r="AW328" s="234"/>
    </row>
    <row r="329" spans="1:49" s="240" customFormat="1" x14ac:dyDescent="0.25">
      <c r="C329" s="242"/>
      <c r="E329" s="234"/>
      <c r="F329" s="234"/>
      <c r="G329" s="234"/>
      <c r="H329" s="234"/>
      <c r="I329" s="234"/>
      <c r="J329" s="234"/>
      <c r="K329" s="234"/>
      <c r="L329" s="234"/>
      <c r="M329" s="234"/>
      <c r="N329" s="234"/>
      <c r="O329" s="234"/>
      <c r="P329" s="234"/>
      <c r="Q329" s="234"/>
      <c r="R329" s="234"/>
      <c r="S329" s="252"/>
      <c r="T329" s="234"/>
      <c r="U329" s="234"/>
      <c r="V329" s="234"/>
      <c r="W329" s="234"/>
      <c r="X329" s="252"/>
      <c r="Y329" s="234"/>
      <c r="Z329" s="234"/>
      <c r="AA329" s="234"/>
      <c r="AB329" s="234"/>
      <c r="AC329" s="234"/>
      <c r="AD329" s="234"/>
      <c r="AE329" s="252"/>
      <c r="AF329" s="234"/>
      <c r="AG329" s="234"/>
      <c r="AH329" s="234"/>
      <c r="AI329" s="234"/>
      <c r="AJ329" s="252"/>
      <c r="AK329" s="234"/>
      <c r="AL329" s="234"/>
      <c r="AM329" s="234"/>
      <c r="AN329" s="234"/>
      <c r="AO329" s="252"/>
      <c r="AP329" s="234"/>
      <c r="AQ329" s="234"/>
      <c r="AR329" s="234"/>
      <c r="AS329" s="252"/>
      <c r="AT329" s="234"/>
      <c r="AU329" s="234"/>
      <c r="AV329" s="252"/>
      <c r="AW329" s="234"/>
    </row>
    <row r="330" spans="1:49" s="240" customFormat="1" x14ac:dyDescent="0.25">
      <c r="C330" s="242"/>
      <c r="E330" s="234"/>
      <c r="F330" s="234"/>
      <c r="G330" s="234"/>
      <c r="H330" s="234"/>
      <c r="I330" s="234"/>
      <c r="J330" s="234"/>
      <c r="K330" s="234"/>
      <c r="L330" s="234"/>
      <c r="M330" s="234"/>
      <c r="N330" s="234"/>
      <c r="O330" s="234"/>
      <c r="P330" s="234"/>
      <c r="Q330" s="234"/>
      <c r="R330" s="234"/>
      <c r="S330" s="252"/>
      <c r="T330" s="234"/>
      <c r="U330" s="234"/>
      <c r="V330" s="234"/>
      <c r="W330" s="234"/>
      <c r="X330" s="252"/>
      <c r="Y330" s="234"/>
      <c r="Z330" s="234"/>
      <c r="AA330" s="234"/>
      <c r="AB330" s="234"/>
      <c r="AC330" s="234"/>
      <c r="AD330" s="234"/>
      <c r="AE330" s="252"/>
      <c r="AF330" s="234"/>
      <c r="AG330" s="234"/>
      <c r="AH330" s="234"/>
      <c r="AI330" s="234"/>
      <c r="AJ330" s="252"/>
      <c r="AK330" s="234"/>
      <c r="AL330" s="234"/>
      <c r="AM330" s="234"/>
      <c r="AN330" s="234"/>
      <c r="AO330" s="252"/>
      <c r="AP330" s="234"/>
      <c r="AQ330" s="234"/>
      <c r="AR330" s="234"/>
      <c r="AS330" s="252"/>
      <c r="AT330" s="234"/>
      <c r="AU330" s="234"/>
      <c r="AV330" s="252"/>
      <c r="AW330" s="234"/>
    </row>
    <row r="331" spans="1:49" s="240" customFormat="1" x14ac:dyDescent="0.25">
      <c r="C331" s="242"/>
      <c r="E331" s="234"/>
      <c r="F331" s="234"/>
      <c r="G331" s="234"/>
      <c r="H331" s="234"/>
      <c r="I331" s="234"/>
      <c r="J331" s="234"/>
      <c r="K331" s="234"/>
      <c r="L331" s="234"/>
      <c r="M331" s="234"/>
      <c r="N331" s="234"/>
      <c r="O331" s="234"/>
      <c r="P331" s="234"/>
      <c r="Q331" s="234"/>
      <c r="R331" s="234"/>
      <c r="S331" s="252"/>
      <c r="T331" s="234"/>
      <c r="U331" s="234"/>
      <c r="V331" s="234"/>
      <c r="W331" s="234"/>
      <c r="X331" s="252"/>
      <c r="Y331" s="234"/>
      <c r="Z331" s="234"/>
      <c r="AA331" s="234"/>
      <c r="AB331" s="234"/>
      <c r="AC331" s="234"/>
      <c r="AD331" s="234"/>
      <c r="AE331" s="252"/>
      <c r="AF331" s="234"/>
      <c r="AG331" s="234"/>
      <c r="AH331" s="234"/>
      <c r="AI331" s="234"/>
      <c r="AJ331" s="252"/>
      <c r="AK331" s="234"/>
      <c r="AL331" s="234"/>
      <c r="AM331" s="234"/>
      <c r="AN331" s="234"/>
      <c r="AO331" s="252"/>
      <c r="AP331" s="234"/>
      <c r="AQ331" s="234"/>
      <c r="AR331" s="234"/>
      <c r="AS331" s="252"/>
      <c r="AT331" s="234"/>
      <c r="AU331" s="234"/>
      <c r="AV331" s="252"/>
      <c r="AW331" s="234"/>
    </row>
    <row r="332" spans="1:49" s="240" customFormat="1" x14ac:dyDescent="0.25">
      <c r="C332" s="242"/>
      <c r="E332" s="234"/>
      <c r="F332" s="234"/>
      <c r="G332" s="234"/>
      <c r="H332" s="234"/>
      <c r="I332" s="234"/>
      <c r="J332" s="234"/>
      <c r="K332" s="234"/>
      <c r="L332" s="234"/>
      <c r="M332" s="234"/>
      <c r="N332" s="234"/>
      <c r="O332" s="234"/>
      <c r="P332" s="234"/>
      <c r="Q332" s="234"/>
      <c r="R332" s="234"/>
      <c r="S332" s="252"/>
      <c r="T332" s="234"/>
      <c r="U332" s="234"/>
      <c r="V332" s="234"/>
      <c r="W332" s="234"/>
      <c r="X332" s="252"/>
      <c r="Y332" s="234"/>
      <c r="Z332" s="234"/>
      <c r="AA332" s="234"/>
      <c r="AB332" s="234"/>
      <c r="AC332" s="234"/>
      <c r="AD332" s="234"/>
      <c r="AE332" s="252"/>
      <c r="AF332" s="234"/>
      <c r="AG332" s="234"/>
      <c r="AH332" s="234"/>
      <c r="AI332" s="234"/>
      <c r="AJ332" s="252"/>
      <c r="AK332" s="234"/>
      <c r="AL332" s="234"/>
      <c r="AM332" s="234"/>
      <c r="AN332" s="234"/>
      <c r="AO332" s="252"/>
      <c r="AP332" s="234"/>
      <c r="AQ332" s="234"/>
      <c r="AR332" s="234"/>
      <c r="AS332" s="252"/>
      <c r="AT332" s="234"/>
      <c r="AU332" s="234"/>
      <c r="AV332" s="252"/>
      <c r="AW332" s="234"/>
    </row>
    <row r="333" spans="1:49" s="240" customFormat="1" x14ac:dyDescent="0.25">
      <c r="C333" s="242"/>
      <c r="E333" s="234"/>
      <c r="F333" s="234"/>
      <c r="G333" s="234"/>
      <c r="H333" s="234"/>
      <c r="I333" s="234"/>
      <c r="J333" s="234"/>
      <c r="K333" s="234"/>
      <c r="L333" s="234"/>
      <c r="M333" s="234"/>
      <c r="N333" s="234"/>
      <c r="O333" s="234"/>
      <c r="P333" s="234"/>
      <c r="Q333" s="234"/>
      <c r="R333" s="234"/>
      <c r="S333" s="252"/>
      <c r="T333" s="234"/>
      <c r="U333" s="234"/>
      <c r="V333" s="234"/>
      <c r="W333" s="234"/>
      <c r="X333" s="252"/>
      <c r="Y333" s="234"/>
      <c r="Z333" s="234"/>
      <c r="AA333" s="234"/>
      <c r="AB333" s="234"/>
      <c r="AC333" s="234"/>
      <c r="AD333" s="234"/>
      <c r="AE333" s="252"/>
      <c r="AF333" s="234"/>
      <c r="AG333" s="234"/>
      <c r="AH333" s="234"/>
      <c r="AI333" s="234"/>
      <c r="AJ333" s="252"/>
      <c r="AK333" s="234"/>
      <c r="AL333" s="234"/>
      <c r="AM333" s="234"/>
      <c r="AN333" s="234"/>
      <c r="AO333" s="252"/>
      <c r="AP333" s="234"/>
      <c r="AQ333" s="234"/>
      <c r="AR333" s="234"/>
      <c r="AS333" s="252"/>
      <c r="AT333" s="234"/>
      <c r="AU333" s="234"/>
      <c r="AV333" s="252"/>
      <c r="AW333" s="234"/>
    </row>
    <row r="334" spans="1:49" s="240" customFormat="1" x14ac:dyDescent="0.25">
      <c r="C334" s="242"/>
      <c r="E334" s="234"/>
      <c r="F334" s="234"/>
      <c r="G334" s="234"/>
      <c r="H334" s="234"/>
      <c r="I334" s="234"/>
      <c r="J334" s="234"/>
      <c r="K334" s="234"/>
      <c r="L334" s="234"/>
      <c r="M334" s="234"/>
      <c r="N334" s="234"/>
      <c r="O334" s="234"/>
      <c r="P334" s="234"/>
      <c r="Q334" s="234"/>
      <c r="R334" s="234"/>
      <c r="S334" s="252"/>
      <c r="T334" s="234"/>
      <c r="U334" s="234"/>
      <c r="V334" s="234"/>
      <c r="W334" s="234"/>
      <c r="X334" s="252"/>
      <c r="Y334" s="234"/>
      <c r="Z334" s="234"/>
      <c r="AA334" s="234"/>
      <c r="AB334" s="234"/>
      <c r="AC334" s="234"/>
      <c r="AD334" s="234"/>
      <c r="AE334" s="252"/>
      <c r="AF334" s="234"/>
      <c r="AG334" s="234"/>
      <c r="AH334" s="234"/>
      <c r="AI334" s="234"/>
      <c r="AJ334" s="252"/>
      <c r="AK334" s="234"/>
      <c r="AL334" s="234"/>
      <c r="AM334" s="234"/>
      <c r="AN334" s="234"/>
      <c r="AO334" s="252"/>
      <c r="AP334" s="234"/>
      <c r="AQ334" s="234"/>
      <c r="AR334" s="234"/>
      <c r="AS334" s="252"/>
      <c r="AT334" s="234"/>
      <c r="AU334" s="234"/>
      <c r="AV334" s="252"/>
      <c r="AW334" s="234"/>
    </row>
    <row r="335" spans="1:49" s="240" customFormat="1" x14ac:dyDescent="0.25">
      <c r="A335" s="240" t="s">
        <v>234</v>
      </c>
      <c r="C335" s="242"/>
      <c r="E335" s="234"/>
      <c r="F335" s="234"/>
      <c r="G335" s="234"/>
      <c r="H335" s="234"/>
      <c r="I335" s="234"/>
      <c r="J335" s="234"/>
      <c r="K335" s="234"/>
      <c r="L335" s="234"/>
      <c r="M335" s="234"/>
      <c r="N335" s="234"/>
      <c r="O335" s="234"/>
      <c r="P335" s="234"/>
      <c r="Q335" s="234"/>
      <c r="R335" s="234"/>
      <c r="S335" s="252"/>
      <c r="T335" s="234"/>
      <c r="U335" s="234"/>
      <c r="V335" s="234"/>
      <c r="W335" s="234"/>
      <c r="X335" s="252"/>
      <c r="Y335" s="234"/>
      <c r="Z335" s="234"/>
      <c r="AA335" s="234"/>
      <c r="AB335" s="234"/>
      <c r="AC335" s="234"/>
      <c r="AD335" s="234"/>
      <c r="AE335" s="252"/>
      <c r="AF335" s="234"/>
      <c r="AG335" s="234"/>
      <c r="AH335" s="234"/>
      <c r="AI335" s="234"/>
      <c r="AJ335" s="252"/>
      <c r="AK335" s="234"/>
      <c r="AL335" s="234"/>
      <c r="AM335" s="234"/>
      <c r="AN335" s="234"/>
      <c r="AO335" s="252"/>
      <c r="AP335" s="234"/>
      <c r="AQ335" s="234"/>
      <c r="AR335" s="234"/>
      <c r="AS335" s="252"/>
      <c r="AT335" s="234"/>
      <c r="AU335" s="234"/>
      <c r="AV335" s="252"/>
      <c r="AW335" s="234"/>
    </row>
    <row r="336" spans="1:49" s="240" customFormat="1" ht="54" x14ac:dyDescent="0.25">
      <c r="A336" s="258" t="s">
        <v>235</v>
      </c>
      <c r="C336" s="242"/>
      <c r="E336" s="234"/>
      <c r="F336" s="234"/>
      <c r="G336" s="234"/>
      <c r="H336" s="234"/>
      <c r="I336" s="234"/>
      <c r="J336" s="234"/>
      <c r="K336" s="234"/>
      <c r="L336" s="234"/>
      <c r="M336" s="234"/>
      <c r="N336" s="234"/>
      <c r="O336" s="234"/>
      <c r="P336" s="234"/>
      <c r="Q336" s="234"/>
      <c r="R336" s="234"/>
      <c r="S336" s="252"/>
      <c r="T336" s="234"/>
      <c r="U336" s="234"/>
      <c r="V336" s="234"/>
      <c r="W336" s="234"/>
      <c r="X336" s="252"/>
      <c r="Y336" s="234"/>
      <c r="Z336" s="234"/>
      <c r="AA336" s="234"/>
      <c r="AB336" s="234"/>
      <c r="AC336" s="234"/>
      <c r="AD336" s="234"/>
      <c r="AE336" s="252"/>
      <c r="AF336" s="234"/>
      <c r="AG336" s="234"/>
      <c r="AH336" s="234"/>
      <c r="AI336" s="234"/>
      <c r="AJ336" s="252"/>
      <c r="AK336" s="234"/>
      <c r="AL336" s="234"/>
      <c r="AM336" s="234"/>
      <c r="AN336" s="234"/>
      <c r="AO336" s="252"/>
      <c r="AP336" s="234"/>
      <c r="AQ336" s="234"/>
      <c r="AR336" s="234"/>
      <c r="AS336" s="252"/>
      <c r="AT336" s="234"/>
      <c r="AU336" s="234"/>
      <c r="AV336" s="252"/>
      <c r="AW336" s="234"/>
    </row>
    <row r="337" spans="1:49" s="240" customFormat="1" x14ac:dyDescent="0.25">
      <c r="A337" s="259"/>
      <c r="C337" s="242"/>
      <c r="E337" s="234"/>
      <c r="F337" s="234"/>
      <c r="G337" s="234"/>
      <c r="H337" s="234"/>
      <c r="I337" s="234"/>
      <c r="J337" s="234"/>
      <c r="K337" s="234"/>
      <c r="L337" s="234"/>
      <c r="M337" s="234"/>
      <c r="N337" s="234"/>
      <c r="O337" s="234"/>
      <c r="P337" s="234"/>
      <c r="Q337" s="234"/>
      <c r="R337" s="234"/>
      <c r="S337" s="252"/>
      <c r="T337" s="234"/>
      <c r="U337" s="234"/>
      <c r="V337" s="234"/>
      <c r="W337" s="234"/>
      <c r="X337" s="252"/>
      <c r="Y337" s="234"/>
      <c r="Z337" s="234"/>
      <c r="AA337" s="234"/>
      <c r="AB337" s="234"/>
      <c r="AC337" s="234"/>
      <c r="AD337" s="234"/>
      <c r="AE337" s="252"/>
      <c r="AF337" s="234"/>
      <c r="AG337" s="234"/>
      <c r="AH337" s="234"/>
      <c r="AI337" s="234"/>
      <c r="AJ337" s="252"/>
      <c r="AK337" s="234"/>
      <c r="AL337" s="234"/>
      <c r="AM337" s="234"/>
      <c r="AN337" s="234"/>
      <c r="AO337" s="252"/>
      <c r="AP337" s="234"/>
      <c r="AQ337" s="234"/>
      <c r="AR337" s="234"/>
      <c r="AS337" s="252"/>
      <c r="AT337" s="234"/>
      <c r="AU337" s="234"/>
      <c r="AV337" s="252"/>
      <c r="AW337" s="234"/>
    </row>
    <row r="338" spans="1:49" s="240" customFormat="1" x14ac:dyDescent="0.25">
      <c r="A338" s="240" t="s">
        <v>236</v>
      </c>
      <c r="C338" s="242"/>
      <c r="E338" s="234"/>
      <c r="F338" s="234"/>
      <c r="G338" s="234"/>
      <c r="H338" s="234"/>
      <c r="I338" s="234"/>
      <c r="J338" s="234"/>
      <c r="K338" s="234"/>
      <c r="L338" s="234"/>
      <c r="M338" s="234"/>
      <c r="N338" s="234"/>
      <c r="O338" s="234"/>
      <c r="P338" s="234"/>
      <c r="Q338" s="234"/>
      <c r="R338" s="234"/>
      <c r="S338" s="252"/>
      <c r="T338" s="234"/>
      <c r="U338" s="234"/>
      <c r="V338" s="234"/>
      <c r="W338" s="234"/>
      <c r="X338" s="252"/>
      <c r="Y338" s="234"/>
      <c r="Z338" s="234"/>
      <c r="AA338" s="234"/>
      <c r="AB338" s="234"/>
      <c r="AC338" s="234"/>
      <c r="AD338" s="234"/>
      <c r="AE338" s="252"/>
      <c r="AF338" s="234"/>
      <c r="AG338" s="234"/>
      <c r="AH338" s="234"/>
      <c r="AI338" s="234"/>
      <c r="AJ338" s="252"/>
      <c r="AK338" s="234"/>
      <c r="AL338" s="234"/>
      <c r="AM338" s="234"/>
      <c r="AN338" s="234"/>
      <c r="AO338" s="252"/>
      <c r="AP338" s="234"/>
      <c r="AQ338" s="234"/>
      <c r="AR338" s="234"/>
      <c r="AS338" s="252"/>
      <c r="AT338" s="234"/>
      <c r="AU338" s="234"/>
      <c r="AV338" s="252"/>
      <c r="AW338" s="234"/>
    </row>
    <row r="339" spans="1:49" s="240" customFormat="1" x14ac:dyDescent="0.25">
      <c r="C339" s="242"/>
      <c r="E339" s="234"/>
      <c r="F339" s="234"/>
      <c r="G339" s="234"/>
      <c r="H339" s="234"/>
      <c r="I339" s="234"/>
      <c r="J339" s="234"/>
      <c r="K339" s="234"/>
      <c r="L339" s="234"/>
      <c r="M339" s="234"/>
      <c r="N339" s="234"/>
      <c r="O339" s="234"/>
      <c r="P339" s="234"/>
      <c r="Q339" s="234"/>
      <c r="R339" s="234"/>
      <c r="S339" s="252"/>
      <c r="T339" s="234"/>
      <c r="U339" s="234"/>
      <c r="V339" s="234"/>
      <c r="W339" s="234"/>
      <c r="X339" s="252"/>
      <c r="Y339" s="234"/>
      <c r="Z339" s="234"/>
      <c r="AA339" s="234"/>
      <c r="AB339" s="234"/>
      <c r="AC339" s="234"/>
      <c r="AD339" s="234"/>
      <c r="AE339" s="252"/>
      <c r="AF339" s="234"/>
      <c r="AG339" s="234"/>
      <c r="AH339" s="234"/>
      <c r="AI339" s="234"/>
      <c r="AJ339" s="252"/>
      <c r="AK339" s="234"/>
      <c r="AL339" s="234"/>
      <c r="AM339" s="234"/>
      <c r="AN339" s="234"/>
      <c r="AO339" s="252"/>
      <c r="AP339" s="234"/>
      <c r="AQ339" s="234"/>
      <c r="AR339" s="234"/>
      <c r="AS339" s="252"/>
      <c r="AT339" s="234"/>
      <c r="AU339" s="234"/>
      <c r="AV339" s="252"/>
      <c r="AW339" s="234"/>
    </row>
    <row r="340" spans="1:49" s="240" customFormat="1" x14ac:dyDescent="0.25">
      <c r="C340" s="242"/>
      <c r="E340" s="234"/>
      <c r="F340" s="234"/>
      <c r="G340" s="234"/>
      <c r="H340" s="234"/>
      <c r="I340" s="234"/>
      <c r="J340" s="234"/>
      <c r="K340" s="234"/>
      <c r="L340" s="234"/>
      <c r="M340" s="234"/>
      <c r="N340" s="234"/>
      <c r="O340" s="234"/>
      <c r="P340" s="234"/>
      <c r="Q340" s="234"/>
      <c r="R340" s="234"/>
      <c r="S340" s="252"/>
      <c r="T340" s="234"/>
      <c r="U340" s="234"/>
      <c r="V340" s="234"/>
      <c r="W340" s="234"/>
      <c r="X340" s="252"/>
      <c r="Y340" s="234"/>
      <c r="Z340" s="234"/>
      <c r="AA340" s="234"/>
      <c r="AB340" s="234"/>
      <c r="AC340" s="234"/>
      <c r="AD340" s="234"/>
      <c r="AE340" s="252"/>
      <c r="AF340" s="234"/>
      <c r="AG340" s="234"/>
      <c r="AH340" s="234"/>
      <c r="AI340" s="234"/>
      <c r="AJ340" s="252"/>
      <c r="AK340" s="234"/>
      <c r="AL340" s="234"/>
      <c r="AM340" s="234"/>
      <c r="AN340" s="234"/>
      <c r="AO340" s="252"/>
      <c r="AP340" s="234"/>
      <c r="AQ340" s="234"/>
      <c r="AR340" s="234"/>
      <c r="AS340" s="252"/>
      <c r="AT340" s="234"/>
      <c r="AU340" s="234"/>
      <c r="AV340" s="252"/>
      <c r="AW340" s="234"/>
    </row>
    <row r="341" spans="1:49" s="240" customFormat="1" x14ac:dyDescent="0.25">
      <c r="C341" s="242"/>
      <c r="E341" s="234"/>
      <c r="F341" s="234"/>
      <c r="G341" s="234"/>
      <c r="H341" s="234"/>
      <c r="I341" s="234"/>
      <c r="J341" s="234"/>
      <c r="K341" s="234"/>
      <c r="L341" s="234"/>
      <c r="M341" s="234"/>
      <c r="N341" s="234"/>
      <c r="O341" s="234"/>
      <c r="P341" s="234"/>
      <c r="Q341" s="234"/>
      <c r="R341" s="234"/>
      <c r="S341" s="252"/>
      <c r="T341" s="234"/>
      <c r="U341" s="234"/>
      <c r="V341" s="234"/>
      <c r="W341" s="234"/>
      <c r="X341" s="252"/>
      <c r="Y341" s="234"/>
      <c r="Z341" s="234"/>
      <c r="AA341" s="234"/>
      <c r="AB341" s="234"/>
      <c r="AC341" s="234"/>
      <c r="AD341" s="234"/>
      <c r="AE341" s="252"/>
      <c r="AF341" s="234"/>
      <c r="AG341" s="234"/>
      <c r="AH341" s="234"/>
      <c r="AI341" s="234"/>
      <c r="AJ341" s="252"/>
      <c r="AK341" s="234"/>
      <c r="AL341" s="234"/>
      <c r="AM341" s="234"/>
      <c r="AN341" s="234"/>
      <c r="AO341" s="252"/>
      <c r="AP341" s="234"/>
      <c r="AQ341" s="234"/>
      <c r="AR341" s="234"/>
      <c r="AS341" s="252"/>
      <c r="AT341" s="234"/>
      <c r="AU341" s="234"/>
      <c r="AV341" s="252"/>
      <c r="AW341" s="234"/>
    </row>
    <row r="342" spans="1:49" s="240" customFormat="1" x14ac:dyDescent="0.25">
      <c r="C342" s="242"/>
      <c r="E342" s="234"/>
      <c r="F342" s="234"/>
      <c r="G342" s="234"/>
      <c r="H342" s="234"/>
      <c r="I342" s="234"/>
      <c r="J342" s="234"/>
      <c r="K342" s="234"/>
      <c r="L342" s="234"/>
      <c r="M342" s="234"/>
      <c r="N342" s="234"/>
      <c r="O342" s="234"/>
      <c r="P342" s="234"/>
      <c r="Q342" s="234"/>
      <c r="R342" s="234"/>
      <c r="S342" s="252"/>
      <c r="T342" s="234"/>
      <c r="U342" s="234"/>
      <c r="V342" s="234"/>
      <c r="W342" s="234"/>
      <c r="X342" s="252"/>
      <c r="Y342" s="234"/>
      <c r="Z342" s="234"/>
      <c r="AA342" s="234"/>
      <c r="AB342" s="234"/>
      <c r="AC342" s="234"/>
      <c r="AD342" s="234"/>
      <c r="AE342" s="252"/>
      <c r="AF342" s="234"/>
      <c r="AG342" s="234"/>
      <c r="AH342" s="234"/>
      <c r="AI342" s="234"/>
      <c r="AJ342" s="252"/>
      <c r="AK342" s="234"/>
      <c r="AL342" s="234"/>
      <c r="AM342" s="234"/>
      <c r="AN342" s="234"/>
      <c r="AO342" s="252"/>
      <c r="AP342" s="234"/>
      <c r="AQ342" s="234"/>
      <c r="AR342" s="234"/>
      <c r="AS342" s="252"/>
      <c r="AT342" s="234"/>
      <c r="AU342" s="234"/>
      <c r="AV342" s="252"/>
      <c r="AW342" s="234"/>
    </row>
    <row r="343" spans="1:49" s="240" customFormat="1" x14ac:dyDescent="0.25">
      <c r="C343" s="242"/>
      <c r="E343" s="234"/>
      <c r="F343" s="234"/>
      <c r="G343" s="234"/>
      <c r="H343" s="234"/>
      <c r="I343" s="234"/>
      <c r="J343" s="234"/>
      <c r="K343" s="234"/>
      <c r="L343" s="234"/>
      <c r="M343" s="234"/>
      <c r="N343" s="234"/>
      <c r="O343" s="234"/>
      <c r="P343" s="234"/>
      <c r="Q343" s="234"/>
      <c r="R343" s="234"/>
      <c r="S343" s="252"/>
      <c r="T343" s="234"/>
      <c r="U343" s="234"/>
      <c r="V343" s="234"/>
      <c r="W343" s="234"/>
      <c r="X343" s="252"/>
      <c r="Y343" s="234"/>
      <c r="Z343" s="234"/>
      <c r="AA343" s="234"/>
      <c r="AB343" s="234"/>
      <c r="AC343" s="234"/>
      <c r="AD343" s="234"/>
      <c r="AE343" s="252"/>
      <c r="AF343" s="234"/>
      <c r="AG343" s="234"/>
      <c r="AH343" s="234"/>
      <c r="AI343" s="234"/>
      <c r="AJ343" s="252"/>
      <c r="AK343" s="234"/>
      <c r="AL343" s="234"/>
      <c r="AM343" s="234"/>
      <c r="AN343" s="234"/>
      <c r="AO343" s="252"/>
      <c r="AP343" s="234"/>
      <c r="AQ343" s="234"/>
      <c r="AR343" s="234"/>
      <c r="AS343" s="252"/>
      <c r="AT343" s="234"/>
      <c r="AU343" s="234"/>
      <c r="AV343" s="252"/>
      <c r="AW343" s="234"/>
    </row>
    <row r="344" spans="1:49" s="240" customFormat="1" x14ac:dyDescent="0.25">
      <c r="C344" s="242"/>
      <c r="E344" s="234"/>
      <c r="F344" s="234"/>
      <c r="G344" s="234"/>
      <c r="H344" s="234"/>
      <c r="I344" s="234"/>
      <c r="J344" s="234"/>
      <c r="K344" s="234"/>
      <c r="L344" s="234"/>
      <c r="M344" s="234"/>
      <c r="N344" s="234"/>
      <c r="O344" s="234"/>
      <c r="P344" s="234"/>
      <c r="Q344" s="234"/>
      <c r="R344" s="234"/>
      <c r="S344" s="252"/>
      <c r="T344" s="234"/>
      <c r="U344" s="234"/>
      <c r="V344" s="234"/>
      <c r="W344" s="234"/>
      <c r="X344" s="252"/>
      <c r="Y344" s="234"/>
      <c r="Z344" s="234"/>
      <c r="AA344" s="234"/>
      <c r="AB344" s="234"/>
      <c r="AC344" s="234"/>
      <c r="AD344" s="234"/>
      <c r="AE344" s="252"/>
      <c r="AF344" s="234"/>
      <c r="AG344" s="234"/>
      <c r="AH344" s="234"/>
      <c r="AI344" s="234"/>
      <c r="AJ344" s="252"/>
      <c r="AK344" s="234"/>
      <c r="AL344" s="234"/>
      <c r="AM344" s="234"/>
      <c r="AN344" s="234"/>
      <c r="AO344" s="252"/>
      <c r="AP344" s="234"/>
      <c r="AQ344" s="234"/>
      <c r="AR344" s="234"/>
      <c r="AS344" s="252"/>
      <c r="AT344" s="234"/>
      <c r="AU344" s="234"/>
      <c r="AV344" s="252"/>
      <c r="AW344" s="234"/>
    </row>
    <row r="345" spans="1:49" s="240" customFormat="1" x14ac:dyDescent="0.25">
      <c r="C345" s="242"/>
      <c r="E345" s="234"/>
      <c r="F345" s="234"/>
      <c r="G345" s="234"/>
      <c r="H345" s="234"/>
      <c r="I345" s="234"/>
      <c r="J345" s="234"/>
      <c r="K345" s="234"/>
      <c r="L345" s="234"/>
      <c r="M345" s="234"/>
      <c r="N345" s="234"/>
      <c r="O345" s="234"/>
      <c r="P345" s="234"/>
      <c r="Q345" s="234"/>
      <c r="R345" s="234"/>
      <c r="S345" s="252"/>
      <c r="T345" s="234"/>
      <c r="U345" s="234"/>
      <c r="V345" s="234"/>
      <c r="W345" s="234"/>
      <c r="X345" s="252"/>
      <c r="Y345" s="234"/>
      <c r="Z345" s="234"/>
      <c r="AA345" s="234"/>
      <c r="AB345" s="234"/>
      <c r="AC345" s="234"/>
      <c r="AD345" s="234"/>
      <c r="AE345" s="252"/>
      <c r="AF345" s="234"/>
      <c r="AG345" s="234"/>
      <c r="AH345" s="234"/>
      <c r="AI345" s="234"/>
      <c r="AJ345" s="252"/>
      <c r="AK345" s="234"/>
      <c r="AL345" s="234"/>
      <c r="AM345" s="234"/>
      <c r="AN345" s="234"/>
      <c r="AO345" s="252"/>
      <c r="AP345" s="234"/>
      <c r="AQ345" s="234"/>
      <c r="AR345" s="234"/>
      <c r="AS345" s="252"/>
      <c r="AT345" s="234"/>
      <c r="AU345" s="234"/>
      <c r="AV345" s="252"/>
      <c r="AW345" s="234"/>
    </row>
    <row r="346" spans="1:49" s="240" customFormat="1" x14ac:dyDescent="0.25">
      <c r="C346" s="242"/>
      <c r="E346" s="234"/>
      <c r="F346" s="234"/>
      <c r="G346" s="234"/>
      <c r="H346" s="234"/>
      <c r="I346" s="234"/>
      <c r="J346" s="234"/>
      <c r="K346" s="234"/>
      <c r="L346" s="234"/>
      <c r="M346" s="234"/>
      <c r="N346" s="234"/>
      <c r="O346" s="234"/>
      <c r="P346" s="234"/>
      <c r="Q346" s="234"/>
      <c r="R346" s="234"/>
      <c r="S346" s="252"/>
      <c r="T346" s="234"/>
      <c r="U346" s="234"/>
      <c r="V346" s="234"/>
      <c r="W346" s="234"/>
      <c r="X346" s="252"/>
      <c r="Y346" s="234"/>
      <c r="Z346" s="234"/>
      <c r="AA346" s="234"/>
      <c r="AB346" s="234"/>
      <c r="AC346" s="234"/>
      <c r="AD346" s="234"/>
      <c r="AE346" s="252"/>
      <c r="AF346" s="234"/>
      <c r="AG346" s="234"/>
      <c r="AH346" s="234"/>
      <c r="AI346" s="234"/>
      <c r="AJ346" s="252"/>
      <c r="AK346" s="234"/>
      <c r="AL346" s="234"/>
      <c r="AM346" s="234"/>
      <c r="AN346" s="234"/>
      <c r="AO346" s="252"/>
      <c r="AP346" s="234"/>
      <c r="AQ346" s="234"/>
      <c r="AR346" s="234"/>
      <c r="AS346" s="252"/>
      <c r="AT346" s="234"/>
      <c r="AU346" s="234"/>
      <c r="AV346" s="252"/>
      <c r="AW346" s="234"/>
    </row>
    <row r="347" spans="1:49" s="240" customFormat="1" x14ac:dyDescent="0.25">
      <c r="C347" s="242"/>
      <c r="E347" s="234"/>
      <c r="F347" s="234"/>
      <c r="G347" s="234"/>
      <c r="H347" s="234"/>
      <c r="I347" s="234"/>
      <c r="J347" s="234"/>
      <c r="K347" s="234"/>
      <c r="L347" s="234"/>
      <c r="M347" s="234"/>
      <c r="N347" s="234"/>
      <c r="O347" s="234"/>
      <c r="P347" s="234"/>
      <c r="Q347" s="234"/>
      <c r="R347" s="234"/>
      <c r="S347" s="252"/>
      <c r="T347" s="234"/>
      <c r="U347" s="234"/>
      <c r="V347" s="234"/>
      <c r="W347" s="234"/>
      <c r="X347" s="252"/>
      <c r="Y347" s="234"/>
      <c r="Z347" s="234"/>
      <c r="AA347" s="234"/>
      <c r="AB347" s="234"/>
      <c r="AC347" s="234"/>
      <c r="AD347" s="234"/>
      <c r="AE347" s="252"/>
      <c r="AF347" s="234"/>
      <c r="AG347" s="234"/>
      <c r="AH347" s="234"/>
      <c r="AI347" s="234"/>
      <c r="AJ347" s="252"/>
      <c r="AK347" s="234"/>
      <c r="AL347" s="234"/>
      <c r="AM347" s="234"/>
      <c r="AN347" s="234"/>
      <c r="AO347" s="252"/>
      <c r="AP347" s="234"/>
      <c r="AQ347" s="234"/>
      <c r="AR347" s="234"/>
      <c r="AS347" s="252"/>
      <c r="AT347" s="234"/>
      <c r="AU347" s="234"/>
      <c r="AV347" s="252"/>
      <c r="AW347" s="234"/>
    </row>
    <row r="348" spans="1:49" s="240" customFormat="1" x14ac:dyDescent="0.25">
      <c r="C348" s="242"/>
      <c r="E348" s="234"/>
      <c r="F348" s="234"/>
      <c r="G348" s="234"/>
      <c r="H348" s="234"/>
      <c r="I348" s="234"/>
      <c r="J348" s="234"/>
      <c r="K348" s="234"/>
      <c r="L348" s="234"/>
      <c r="M348" s="234"/>
      <c r="N348" s="234"/>
      <c r="O348" s="234"/>
      <c r="P348" s="234"/>
      <c r="Q348" s="234"/>
      <c r="R348" s="234"/>
      <c r="S348" s="252"/>
      <c r="T348" s="234"/>
      <c r="U348" s="234"/>
      <c r="V348" s="234"/>
      <c r="W348" s="234"/>
      <c r="X348" s="252"/>
      <c r="Y348" s="234"/>
      <c r="Z348" s="234"/>
      <c r="AA348" s="234"/>
      <c r="AB348" s="234"/>
      <c r="AC348" s="234"/>
      <c r="AD348" s="234"/>
      <c r="AE348" s="252"/>
      <c r="AF348" s="234"/>
      <c r="AG348" s="234"/>
      <c r="AH348" s="234"/>
      <c r="AI348" s="234"/>
      <c r="AJ348" s="252"/>
      <c r="AK348" s="234"/>
      <c r="AL348" s="234"/>
      <c r="AM348" s="234"/>
      <c r="AN348" s="234"/>
      <c r="AO348" s="252"/>
      <c r="AP348" s="234"/>
      <c r="AQ348" s="234"/>
      <c r="AR348" s="234"/>
      <c r="AS348" s="252"/>
      <c r="AT348" s="234"/>
      <c r="AU348" s="234"/>
      <c r="AV348" s="252"/>
      <c r="AW348" s="234"/>
    </row>
    <row r="349" spans="1:49" s="240" customFormat="1" x14ac:dyDescent="0.25">
      <c r="C349" s="242"/>
      <c r="E349" s="234"/>
      <c r="F349" s="234"/>
      <c r="G349" s="234"/>
      <c r="H349" s="234"/>
      <c r="I349" s="234"/>
      <c r="J349" s="234"/>
      <c r="K349" s="234"/>
      <c r="L349" s="234"/>
      <c r="M349" s="234"/>
      <c r="N349" s="234"/>
      <c r="O349" s="234"/>
      <c r="P349" s="234"/>
      <c r="Q349" s="234"/>
      <c r="R349" s="234"/>
      <c r="S349" s="252"/>
      <c r="T349" s="234"/>
      <c r="U349" s="234"/>
      <c r="V349" s="234"/>
      <c r="W349" s="234"/>
      <c r="X349" s="252"/>
      <c r="Y349" s="234"/>
      <c r="Z349" s="234"/>
      <c r="AA349" s="234"/>
      <c r="AB349" s="234"/>
      <c r="AC349" s="234"/>
      <c r="AD349" s="234"/>
      <c r="AE349" s="252"/>
      <c r="AF349" s="234"/>
      <c r="AG349" s="234"/>
      <c r="AH349" s="234"/>
      <c r="AI349" s="234"/>
      <c r="AJ349" s="252"/>
      <c r="AK349" s="234"/>
      <c r="AL349" s="234"/>
      <c r="AM349" s="234"/>
      <c r="AN349" s="234"/>
      <c r="AO349" s="252"/>
      <c r="AP349" s="234"/>
      <c r="AQ349" s="234"/>
      <c r="AR349" s="234"/>
      <c r="AS349" s="252"/>
      <c r="AT349" s="234"/>
      <c r="AU349" s="234"/>
      <c r="AV349" s="252"/>
      <c r="AW349" s="234"/>
    </row>
    <row r="350" spans="1:49" s="240" customFormat="1" x14ac:dyDescent="0.25">
      <c r="C350" s="242"/>
      <c r="E350" s="234"/>
      <c r="F350" s="234"/>
      <c r="G350" s="234"/>
      <c r="H350" s="234"/>
      <c r="I350" s="234"/>
      <c r="J350" s="234"/>
      <c r="K350" s="234"/>
      <c r="L350" s="234"/>
      <c r="M350" s="234"/>
      <c r="N350" s="234"/>
      <c r="O350" s="234"/>
      <c r="P350" s="234"/>
      <c r="Q350" s="234"/>
      <c r="R350" s="234"/>
      <c r="S350" s="252"/>
      <c r="T350" s="234"/>
      <c r="U350" s="234"/>
      <c r="V350" s="234"/>
      <c r="W350" s="234"/>
      <c r="X350" s="252"/>
      <c r="Y350" s="234"/>
      <c r="Z350" s="234"/>
      <c r="AA350" s="234"/>
      <c r="AB350" s="234"/>
      <c r="AC350" s="234"/>
      <c r="AD350" s="234"/>
      <c r="AE350" s="252"/>
      <c r="AF350" s="234"/>
      <c r="AG350" s="234"/>
      <c r="AH350" s="234"/>
      <c r="AI350" s="234"/>
      <c r="AJ350" s="252"/>
      <c r="AK350" s="234"/>
      <c r="AL350" s="234"/>
      <c r="AM350" s="234"/>
      <c r="AN350" s="234"/>
      <c r="AO350" s="252"/>
      <c r="AP350" s="234"/>
      <c r="AQ350" s="234"/>
      <c r="AR350" s="234"/>
      <c r="AS350" s="252"/>
      <c r="AT350" s="234"/>
      <c r="AU350" s="234"/>
      <c r="AV350" s="252"/>
      <c r="AW350" s="234"/>
    </row>
    <row r="351" spans="1:49" s="240" customFormat="1" x14ac:dyDescent="0.25">
      <c r="C351" s="242"/>
      <c r="E351" s="234"/>
      <c r="F351" s="234"/>
      <c r="G351" s="234"/>
      <c r="H351" s="234"/>
      <c r="I351" s="234"/>
      <c r="J351" s="234"/>
      <c r="K351" s="234"/>
      <c r="L351" s="234"/>
      <c r="M351" s="234"/>
      <c r="N351" s="234"/>
      <c r="O351" s="234"/>
      <c r="P351" s="234"/>
      <c r="Q351" s="234"/>
      <c r="R351" s="234"/>
      <c r="S351" s="252"/>
      <c r="T351" s="234"/>
      <c r="U351" s="234"/>
      <c r="V351" s="234"/>
      <c r="W351" s="234"/>
      <c r="X351" s="252"/>
      <c r="Y351" s="234"/>
      <c r="Z351" s="234"/>
      <c r="AA351" s="234"/>
      <c r="AB351" s="234"/>
      <c r="AC351" s="234"/>
      <c r="AD351" s="234"/>
      <c r="AE351" s="252"/>
      <c r="AF351" s="234"/>
      <c r="AG351" s="234"/>
      <c r="AH351" s="234"/>
      <c r="AI351" s="234"/>
      <c r="AJ351" s="252"/>
      <c r="AK351" s="234"/>
      <c r="AL351" s="234"/>
      <c r="AM351" s="234"/>
      <c r="AN351" s="234"/>
      <c r="AO351" s="252"/>
      <c r="AP351" s="234"/>
      <c r="AQ351" s="234"/>
      <c r="AR351" s="234"/>
      <c r="AS351" s="252"/>
      <c r="AT351" s="234"/>
      <c r="AU351" s="234"/>
      <c r="AV351" s="252"/>
      <c r="AW351" s="234"/>
    </row>
    <row r="352" spans="1:49" s="240" customFormat="1" x14ac:dyDescent="0.25">
      <c r="C352" s="242"/>
      <c r="E352" s="234"/>
      <c r="F352" s="234"/>
      <c r="G352" s="234"/>
      <c r="H352" s="234"/>
      <c r="I352" s="234"/>
      <c r="J352" s="234"/>
      <c r="K352" s="234"/>
      <c r="L352" s="234"/>
      <c r="M352" s="234"/>
      <c r="N352" s="234"/>
      <c r="O352" s="234"/>
      <c r="P352" s="234"/>
      <c r="Q352" s="234"/>
      <c r="R352" s="234"/>
      <c r="S352" s="252"/>
      <c r="T352" s="234"/>
      <c r="U352" s="234"/>
      <c r="V352" s="234"/>
      <c r="W352" s="234"/>
      <c r="X352" s="252"/>
      <c r="Y352" s="234"/>
      <c r="Z352" s="234"/>
      <c r="AA352" s="234"/>
      <c r="AB352" s="234"/>
      <c r="AC352" s="234"/>
      <c r="AD352" s="234"/>
      <c r="AE352" s="252"/>
      <c r="AF352" s="234"/>
      <c r="AG352" s="234"/>
      <c r="AH352" s="234"/>
      <c r="AI352" s="234"/>
      <c r="AJ352" s="252"/>
      <c r="AK352" s="234"/>
      <c r="AL352" s="234"/>
      <c r="AM352" s="234"/>
      <c r="AN352" s="234"/>
      <c r="AO352" s="252"/>
      <c r="AP352" s="234"/>
      <c r="AQ352" s="234"/>
      <c r="AR352" s="234"/>
      <c r="AS352" s="252"/>
      <c r="AT352" s="234"/>
      <c r="AU352" s="234"/>
      <c r="AV352" s="252"/>
      <c r="AW352" s="234"/>
    </row>
    <row r="353" spans="3:49" s="240" customFormat="1" x14ac:dyDescent="0.25">
      <c r="C353" s="242"/>
      <c r="E353" s="234"/>
      <c r="F353" s="234"/>
      <c r="G353" s="234"/>
      <c r="H353" s="234"/>
      <c r="I353" s="234"/>
      <c r="J353" s="234"/>
      <c r="K353" s="234"/>
      <c r="L353" s="234"/>
      <c r="M353" s="234"/>
      <c r="N353" s="234"/>
      <c r="O353" s="234"/>
      <c r="P353" s="234"/>
      <c r="Q353" s="234"/>
      <c r="R353" s="234"/>
      <c r="S353" s="252"/>
      <c r="T353" s="234"/>
      <c r="U353" s="234"/>
      <c r="V353" s="234"/>
      <c r="W353" s="234"/>
      <c r="X353" s="252"/>
      <c r="Y353" s="234"/>
      <c r="Z353" s="234"/>
      <c r="AA353" s="234"/>
      <c r="AB353" s="234"/>
      <c r="AC353" s="234"/>
      <c r="AD353" s="234"/>
      <c r="AE353" s="252"/>
      <c r="AF353" s="234"/>
      <c r="AG353" s="234"/>
      <c r="AH353" s="234"/>
      <c r="AI353" s="234"/>
      <c r="AJ353" s="252"/>
      <c r="AK353" s="234"/>
      <c r="AL353" s="234"/>
      <c r="AM353" s="234"/>
      <c r="AN353" s="234"/>
      <c r="AO353" s="252"/>
      <c r="AP353" s="234"/>
      <c r="AQ353" s="234"/>
      <c r="AR353" s="234"/>
      <c r="AS353" s="252"/>
      <c r="AT353" s="234"/>
      <c r="AU353" s="234"/>
      <c r="AV353" s="252"/>
      <c r="AW353" s="234"/>
    </row>
    <row r="354" spans="3:49" s="240" customFormat="1" x14ac:dyDescent="0.25">
      <c r="C354" s="242"/>
      <c r="E354" s="234"/>
      <c r="F354" s="234"/>
      <c r="G354" s="234"/>
      <c r="H354" s="234"/>
      <c r="I354" s="234"/>
      <c r="J354" s="234"/>
      <c r="K354" s="234"/>
      <c r="L354" s="234"/>
      <c r="M354" s="234"/>
      <c r="N354" s="234"/>
      <c r="O354" s="234"/>
      <c r="P354" s="234"/>
      <c r="Q354" s="234"/>
      <c r="R354" s="234"/>
      <c r="S354" s="252"/>
      <c r="T354" s="234"/>
      <c r="U354" s="234"/>
      <c r="V354" s="234"/>
      <c r="W354" s="234"/>
      <c r="X354" s="252"/>
      <c r="Y354" s="234"/>
      <c r="Z354" s="234"/>
      <c r="AA354" s="234"/>
      <c r="AB354" s="234"/>
      <c r="AC354" s="234"/>
      <c r="AD354" s="234"/>
      <c r="AE354" s="252"/>
      <c r="AF354" s="234"/>
      <c r="AG354" s="234"/>
      <c r="AH354" s="234"/>
      <c r="AI354" s="234"/>
      <c r="AJ354" s="252"/>
      <c r="AK354" s="234"/>
      <c r="AL354" s="234"/>
      <c r="AM354" s="234"/>
      <c r="AN354" s="234"/>
      <c r="AO354" s="252"/>
      <c r="AP354" s="234"/>
      <c r="AQ354" s="234"/>
      <c r="AR354" s="234"/>
      <c r="AS354" s="252"/>
      <c r="AT354" s="234"/>
      <c r="AU354" s="234"/>
      <c r="AV354" s="252"/>
      <c r="AW354" s="234"/>
    </row>
    <row r="355" spans="3:49" s="240" customFormat="1" x14ac:dyDescent="0.25">
      <c r="C355" s="242"/>
      <c r="E355" s="234"/>
      <c r="F355" s="234"/>
      <c r="G355" s="234"/>
      <c r="H355" s="234"/>
      <c r="I355" s="234"/>
      <c r="J355" s="234"/>
      <c r="K355" s="234"/>
      <c r="L355" s="234"/>
      <c r="M355" s="234"/>
      <c r="N355" s="234"/>
      <c r="O355" s="234"/>
      <c r="P355" s="234"/>
      <c r="Q355" s="234"/>
      <c r="R355" s="234"/>
      <c r="S355" s="252"/>
      <c r="T355" s="234"/>
      <c r="U355" s="234"/>
      <c r="V355" s="234"/>
      <c r="W355" s="234"/>
      <c r="X355" s="252"/>
      <c r="Y355" s="234"/>
      <c r="Z355" s="234"/>
      <c r="AA355" s="234"/>
      <c r="AB355" s="234"/>
      <c r="AC355" s="234"/>
      <c r="AD355" s="234"/>
      <c r="AE355" s="252"/>
      <c r="AF355" s="234"/>
      <c r="AG355" s="234"/>
      <c r="AH355" s="234"/>
      <c r="AI355" s="234"/>
      <c r="AJ355" s="252"/>
      <c r="AK355" s="234"/>
      <c r="AL355" s="234"/>
      <c r="AM355" s="234"/>
      <c r="AN355" s="234"/>
      <c r="AO355" s="252"/>
      <c r="AP355" s="234"/>
      <c r="AQ355" s="234"/>
      <c r="AR355" s="234"/>
      <c r="AS355" s="252"/>
      <c r="AT355" s="234"/>
      <c r="AU355" s="234"/>
      <c r="AV355" s="252"/>
      <c r="AW355" s="234"/>
    </row>
    <row r="356" spans="3:49" s="240" customFormat="1" x14ac:dyDescent="0.25">
      <c r="C356" s="242"/>
      <c r="E356" s="234"/>
      <c r="F356" s="234"/>
      <c r="G356" s="234"/>
      <c r="H356" s="234"/>
      <c r="I356" s="234"/>
      <c r="J356" s="234"/>
      <c r="K356" s="234"/>
      <c r="L356" s="234"/>
      <c r="M356" s="234"/>
      <c r="N356" s="234"/>
      <c r="O356" s="234"/>
      <c r="P356" s="234"/>
      <c r="Q356" s="234"/>
      <c r="R356" s="234"/>
      <c r="S356" s="252"/>
      <c r="T356" s="234"/>
      <c r="U356" s="234"/>
      <c r="V356" s="234"/>
      <c r="W356" s="234"/>
      <c r="X356" s="252"/>
      <c r="Y356" s="234"/>
      <c r="Z356" s="234"/>
      <c r="AA356" s="234"/>
      <c r="AB356" s="234"/>
      <c r="AC356" s="234"/>
      <c r="AD356" s="234"/>
      <c r="AE356" s="252"/>
      <c r="AF356" s="234"/>
      <c r="AG356" s="234"/>
      <c r="AH356" s="234"/>
      <c r="AI356" s="234"/>
      <c r="AJ356" s="252"/>
      <c r="AK356" s="234"/>
      <c r="AL356" s="234"/>
      <c r="AM356" s="234"/>
      <c r="AN356" s="234"/>
      <c r="AO356" s="252"/>
      <c r="AP356" s="234"/>
      <c r="AQ356" s="234"/>
      <c r="AR356" s="234"/>
      <c r="AS356" s="252"/>
      <c r="AT356" s="234"/>
      <c r="AU356" s="234"/>
      <c r="AV356" s="252"/>
      <c r="AW356" s="234"/>
    </row>
    <row r="357" spans="3:49" s="240" customFormat="1" x14ac:dyDescent="0.25">
      <c r="C357" s="242"/>
      <c r="E357" s="234"/>
      <c r="F357" s="234"/>
      <c r="G357" s="234"/>
      <c r="H357" s="234"/>
      <c r="I357" s="234"/>
      <c r="J357" s="234"/>
      <c r="K357" s="234"/>
      <c r="L357" s="234"/>
      <c r="M357" s="234"/>
      <c r="N357" s="234"/>
      <c r="O357" s="234"/>
      <c r="P357" s="234"/>
      <c r="Q357" s="234"/>
      <c r="R357" s="234"/>
      <c r="S357" s="252"/>
      <c r="T357" s="234"/>
      <c r="U357" s="234"/>
      <c r="V357" s="234"/>
      <c r="W357" s="234"/>
      <c r="X357" s="252"/>
      <c r="Y357" s="234"/>
      <c r="Z357" s="234"/>
      <c r="AA357" s="234"/>
      <c r="AB357" s="234"/>
      <c r="AC357" s="234"/>
      <c r="AD357" s="234"/>
      <c r="AE357" s="252"/>
      <c r="AF357" s="234"/>
      <c r="AG357" s="234"/>
      <c r="AH357" s="234"/>
      <c r="AI357" s="234"/>
      <c r="AJ357" s="252"/>
      <c r="AK357" s="234"/>
      <c r="AL357" s="234"/>
      <c r="AM357" s="234"/>
      <c r="AN357" s="234"/>
      <c r="AO357" s="252"/>
      <c r="AP357" s="234"/>
      <c r="AQ357" s="234"/>
      <c r="AR357" s="234"/>
      <c r="AS357" s="252"/>
      <c r="AT357" s="234"/>
      <c r="AU357" s="234"/>
      <c r="AV357" s="252"/>
      <c r="AW357" s="234"/>
    </row>
    <row r="358" spans="3:49" s="240" customFormat="1" x14ac:dyDescent="0.25">
      <c r="C358" s="242"/>
      <c r="E358" s="234"/>
      <c r="F358" s="234"/>
      <c r="G358" s="234"/>
      <c r="H358" s="234"/>
      <c r="I358" s="234"/>
      <c r="J358" s="234"/>
      <c r="K358" s="234"/>
      <c r="L358" s="234"/>
      <c r="M358" s="234"/>
      <c r="N358" s="234"/>
      <c r="O358" s="234"/>
      <c r="P358" s="234"/>
      <c r="Q358" s="234"/>
      <c r="R358" s="234"/>
      <c r="S358" s="252"/>
      <c r="T358" s="234"/>
      <c r="U358" s="234"/>
      <c r="V358" s="234"/>
      <c r="W358" s="234"/>
      <c r="X358" s="252"/>
      <c r="Y358" s="234"/>
      <c r="Z358" s="234"/>
      <c r="AA358" s="234"/>
      <c r="AB358" s="234"/>
      <c r="AC358" s="234"/>
      <c r="AD358" s="234"/>
      <c r="AE358" s="252"/>
      <c r="AF358" s="234"/>
      <c r="AG358" s="234"/>
      <c r="AH358" s="234"/>
      <c r="AI358" s="234"/>
      <c r="AJ358" s="252"/>
      <c r="AK358" s="234"/>
      <c r="AL358" s="234"/>
      <c r="AM358" s="234"/>
      <c r="AN358" s="234"/>
      <c r="AO358" s="252"/>
      <c r="AP358" s="234"/>
      <c r="AQ358" s="234"/>
      <c r="AR358" s="234"/>
      <c r="AS358" s="252"/>
      <c r="AT358" s="234"/>
      <c r="AU358" s="234"/>
      <c r="AV358" s="252"/>
      <c r="AW358" s="234"/>
    </row>
    <row r="359" spans="3:49" s="240" customFormat="1" x14ac:dyDescent="0.25">
      <c r="C359" s="242"/>
      <c r="E359" s="234"/>
      <c r="F359" s="234"/>
      <c r="G359" s="234"/>
      <c r="H359" s="234"/>
      <c r="I359" s="234"/>
      <c r="J359" s="234"/>
      <c r="K359" s="234"/>
      <c r="L359" s="234"/>
      <c r="M359" s="234"/>
      <c r="N359" s="234"/>
      <c r="O359" s="234"/>
      <c r="P359" s="234"/>
      <c r="Q359" s="234"/>
      <c r="R359" s="234"/>
      <c r="S359" s="252"/>
      <c r="T359" s="234"/>
      <c r="U359" s="234"/>
      <c r="V359" s="234"/>
      <c r="W359" s="234"/>
      <c r="X359" s="252"/>
      <c r="Y359" s="234"/>
      <c r="Z359" s="234"/>
      <c r="AA359" s="234"/>
      <c r="AB359" s="234"/>
      <c r="AC359" s="234"/>
      <c r="AD359" s="234"/>
      <c r="AE359" s="252"/>
      <c r="AF359" s="234"/>
      <c r="AG359" s="234"/>
      <c r="AH359" s="234"/>
      <c r="AI359" s="234"/>
      <c r="AJ359" s="252"/>
      <c r="AK359" s="234"/>
      <c r="AL359" s="234"/>
      <c r="AM359" s="234"/>
      <c r="AN359" s="234"/>
      <c r="AO359" s="252"/>
      <c r="AP359" s="234"/>
      <c r="AQ359" s="234"/>
      <c r="AR359" s="234"/>
      <c r="AS359" s="252"/>
      <c r="AT359" s="234"/>
      <c r="AU359" s="234"/>
      <c r="AV359" s="252"/>
      <c r="AW359" s="234"/>
    </row>
    <row r="360" spans="3:49" s="240" customFormat="1" x14ac:dyDescent="0.25">
      <c r="C360" s="242"/>
      <c r="E360" s="234"/>
      <c r="F360" s="234"/>
      <c r="G360" s="234"/>
      <c r="H360" s="234"/>
      <c r="I360" s="234"/>
      <c r="J360" s="234"/>
      <c r="K360" s="234"/>
      <c r="L360" s="234"/>
      <c r="M360" s="234"/>
      <c r="N360" s="234"/>
      <c r="O360" s="234"/>
      <c r="P360" s="234"/>
      <c r="Q360" s="234"/>
      <c r="R360" s="234"/>
      <c r="S360" s="252"/>
      <c r="T360" s="234"/>
      <c r="U360" s="234"/>
      <c r="V360" s="234"/>
      <c r="W360" s="234"/>
      <c r="X360" s="252"/>
      <c r="Y360" s="234"/>
      <c r="Z360" s="234"/>
      <c r="AA360" s="234"/>
      <c r="AB360" s="234"/>
      <c r="AC360" s="234"/>
      <c r="AD360" s="234"/>
      <c r="AE360" s="252"/>
      <c r="AF360" s="234"/>
      <c r="AG360" s="234"/>
      <c r="AH360" s="234"/>
      <c r="AI360" s="234"/>
      <c r="AJ360" s="252"/>
      <c r="AK360" s="234"/>
      <c r="AL360" s="234"/>
      <c r="AM360" s="234"/>
      <c r="AN360" s="234"/>
      <c r="AO360" s="252"/>
      <c r="AP360" s="234"/>
      <c r="AQ360" s="234"/>
      <c r="AR360" s="234"/>
      <c r="AS360" s="252"/>
      <c r="AT360" s="234"/>
      <c r="AU360" s="234"/>
      <c r="AV360" s="252"/>
      <c r="AW360" s="234"/>
    </row>
    <row r="361" spans="3:49" s="240" customFormat="1" x14ac:dyDescent="0.25">
      <c r="C361" s="242"/>
      <c r="E361" s="234"/>
      <c r="F361" s="234"/>
      <c r="G361" s="234"/>
      <c r="H361" s="234"/>
      <c r="I361" s="234"/>
      <c r="J361" s="234"/>
      <c r="K361" s="234"/>
      <c r="L361" s="234"/>
      <c r="M361" s="234"/>
      <c r="N361" s="234"/>
      <c r="O361" s="234"/>
      <c r="P361" s="234"/>
      <c r="Q361" s="234"/>
      <c r="R361" s="234"/>
      <c r="S361" s="252"/>
      <c r="T361" s="234"/>
      <c r="U361" s="234"/>
      <c r="V361" s="234"/>
      <c r="W361" s="234"/>
      <c r="X361" s="252"/>
      <c r="Y361" s="234"/>
      <c r="Z361" s="234"/>
      <c r="AA361" s="234"/>
      <c r="AB361" s="234"/>
      <c r="AC361" s="234"/>
      <c r="AD361" s="234"/>
      <c r="AE361" s="252"/>
      <c r="AF361" s="234"/>
      <c r="AG361" s="234"/>
      <c r="AH361" s="234"/>
      <c r="AI361" s="234"/>
      <c r="AJ361" s="252"/>
      <c r="AK361" s="234"/>
      <c r="AL361" s="234"/>
      <c r="AM361" s="234"/>
      <c r="AN361" s="234"/>
      <c r="AO361" s="252"/>
      <c r="AP361" s="234"/>
      <c r="AQ361" s="234"/>
      <c r="AR361" s="234"/>
      <c r="AS361" s="252"/>
      <c r="AT361" s="234"/>
      <c r="AU361" s="234"/>
      <c r="AV361" s="252"/>
      <c r="AW361" s="234"/>
    </row>
    <row r="362" spans="3:49" s="240" customFormat="1" x14ac:dyDescent="0.25">
      <c r="C362" s="242"/>
      <c r="E362" s="234"/>
      <c r="F362" s="234"/>
      <c r="G362" s="234"/>
      <c r="H362" s="234"/>
      <c r="I362" s="234"/>
      <c r="J362" s="234"/>
      <c r="K362" s="234"/>
      <c r="L362" s="234"/>
      <c r="M362" s="234"/>
      <c r="N362" s="234"/>
      <c r="O362" s="234"/>
      <c r="P362" s="234"/>
      <c r="Q362" s="234"/>
      <c r="R362" s="234"/>
      <c r="S362" s="252"/>
      <c r="T362" s="234"/>
      <c r="U362" s="234"/>
      <c r="V362" s="234"/>
      <c r="W362" s="234"/>
      <c r="X362" s="252"/>
      <c r="Y362" s="234"/>
      <c r="Z362" s="234"/>
      <c r="AA362" s="234"/>
      <c r="AB362" s="234"/>
      <c r="AC362" s="234"/>
      <c r="AD362" s="234"/>
      <c r="AE362" s="252"/>
      <c r="AF362" s="234"/>
      <c r="AG362" s="234"/>
      <c r="AH362" s="234"/>
      <c r="AI362" s="234"/>
      <c r="AJ362" s="252"/>
      <c r="AK362" s="234"/>
      <c r="AL362" s="234"/>
      <c r="AM362" s="234"/>
      <c r="AN362" s="234"/>
      <c r="AO362" s="252"/>
      <c r="AP362" s="234"/>
      <c r="AQ362" s="234"/>
      <c r="AR362" s="234"/>
      <c r="AS362" s="252"/>
      <c r="AT362" s="234"/>
      <c r="AU362" s="234"/>
      <c r="AV362" s="252"/>
      <c r="AW362" s="234"/>
    </row>
    <row r="363" spans="3:49" s="240" customFormat="1" x14ac:dyDescent="0.25">
      <c r="C363" s="242"/>
      <c r="E363" s="234"/>
      <c r="F363" s="234"/>
      <c r="G363" s="234"/>
      <c r="H363" s="234"/>
      <c r="I363" s="234"/>
      <c r="J363" s="234"/>
      <c r="K363" s="234"/>
      <c r="L363" s="234"/>
      <c r="M363" s="234"/>
      <c r="N363" s="234"/>
      <c r="O363" s="234"/>
      <c r="P363" s="234"/>
      <c r="Q363" s="234"/>
      <c r="R363" s="234"/>
      <c r="S363" s="252"/>
      <c r="T363" s="234"/>
      <c r="U363" s="234"/>
      <c r="V363" s="234"/>
      <c r="W363" s="234"/>
      <c r="X363" s="252"/>
      <c r="Y363" s="234"/>
      <c r="Z363" s="234"/>
      <c r="AA363" s="234"/>
      <c r="AB363" s="234"/>
      <c r="AC363" s="234"/>
      <c r="AD363" s="234"/>
      <c r="AE363" s="252"/>
      <c r="AF363" s="234"/>
      <c r="AG363" s="234"/>
      <c r="AH363" s="234"/>
      <c r="AI363" s="234"/>
      <c r="AJ363" s="252"/>
      <c r="AK363" s="234"/>
      <c r="AL363" s="234"/>
      <c r="AM363" s="234"/>
      <c r="AN363" s="234"/>
      <c r="AO363" s="252"/>
      <c r="AP363" s="234"/>
      <c r="AQ363" s="234"/>
      <c r="AR363" s="234"/>
      <c r="AS363" s="252"/>
      <c r="AT363" s="234"/>
      <c r="AU363" s="234"/>
      <c r="AV363" s="252"/>
      <c r="AW363" s="234"/>
    </row>
    <row r="364" spans="3:49" s="240" customFormat="1" x14ac:dyDescent="0.25">
      <c r="C364" s="242"/>
      <c r="E364" s="234"/>
      <c r="F364" s="234"/>
      <c r="G364" s="234"/>
      <c r="H364" s="234"/>
      <c r="I364" s="234"/>
      <c r="J364" s="234"/>
      <c r="K364" s="234"/>
      <c r="L364" s="234"/>
      <c r="M364" s="234"/>
      <c r="N364" s="234"/>
      <c r="O364" s="234"/>
      <c r="P364" s="234"/>
      <c r="Q364" s="234"/>
      <c r="R364" s="234"/>
      <c r="S364" s="252"/>
      <c r="T364" s="234"/>
      <c r="U364" s="234"/>
      <c r="V364" s="234"/>
      <c r="W364" s="234"/>
      <c r="X364" s="252"/>
      <c r="Y364" s="234"/>
      <c r="Z364" s="234"/>
      <c r="AA364" s="234"/>
      <c r="AB364" s="234"/>
      <c r="AC364" s="234"/>
      <c r="AD364" s="234"/>
      <c r="AE364" s="252"/>
      <c r="AF364" s="234"/>
      <c r="AG364" s="234"/>
      <c r="AH364" s="234"/>
      <c r="AI364" s="234"/>
      <c r="AJ364" s="252"/>
      <c r="AK364" s="234"/>
      <c r="AL364" s="234"/>
      <c r="AM364" s="234"/>
      <c r="AN364" s="234"/>
      <c r="AO364" s="252"/>
      <c r="AP364" s="234"/>
      <c r="AQ364" s="234"/>
      <c r="AR364" s="234"/>
      <c r="AS364" s="252"/>
      <c r="AT364" s="234"/>
      <c r="AU364" s="234"/>
      <c r="AV364" s="252"/>
      <c r="AW364" s="234"/>
    </row>
    <row r="365" spans="3:49" s="240" customFormat="1" x14ac:dyDescent="0.25">
      <c r="C365" s="242"/>
      <c r="E365" s="234"/>
      <c r="F365" s="234"/>
      <c r="G365" s="234"/>
      <c r="H365" s="234"/>
      <c r="I365" s="234"/>
      <c r="J365" s="234"/>
      <c r="K365" s="234"/>
      <c r="L365" s="234"/>
      <c r="M365" s="234"/>
      <c r="N365" s="234"/>
      <c r="O365" s="234"/>
      <c r="P365" s="234"/>
      <c r="Q365" s="234"/>
      <c r="R365" s="234"/>
      <c r="S365" s="252"/>
      <c r="T365" s="234"/>
      <c r="U365" s="234"/>
      <c r="V365" s="234"/>
      <c r="W365" s="234"/>
      <c r="X365" s="252"/>
      <c r="Y365" s="234"/>
      <c r="Z365" s="234"/>
      <c r="AA365" s="234"/>
      <c r="AB365" s="234"/>
      <c r="AC365" s="234"/>
      <c r="AD365" s="234"/>
      <c r="AE365" s="252"/>
      <c r="AF365" s="234"/>
      <c r="AG365" s="234"/>
      <c r="AH365" s="234"/>
      <c r="AI365" s="234"/>
      <c r="AJ365" s="252"/>
      <c r="AK365" s="234"/>
      <c r="AL365" s="234"/>
      <c r="AM365" s="234"/>
      <c r="AN365" s="234"/>
      <c r="AO365" s="252"/>
      <c r="AP365" s="234"/>
      <c r="AQ365" s="234"/>
      <c r="AR365" s="234"/>
      <c r="AS365" s="252"/>
      <c r="AT365" s="234"/>
      <c r="AU365" s="234"/>
      <c r="AV365" s="252"/>
      <c r="AW365" s="234"/>
    </row>
    <row r="366" spans="3:49" s="240" customFormat="1" x14ac:dyDescent="0.25">
      <c r="C366" s="242"/>
      <c r="E366" s="234"/>
      <c r="F366" s="234"/>
      <c r="G366" s="234"/>
      <c r="H366" s="234"/>
      <c r="I366" s="234"/>
      <c r="J366" s="234"/>
      <c r="K366" s="234"/>
      <c r="L366" s="234"/>
      <c r="M366" s="234"/>
      <c r="N366" s="234"/>
      <c r="O366" s="234"/>
      <c r="P366" s="234"/>
      <c r="Q366" s="234"/>
      <c r="R366" s="234"/>
      <c r="S366" s="252"/>
      <c r="T366" s="234"/>
      <c r="U366" s="234"/>
      <c r="V366" s="234"/>
      <c r="W366" s="234"/>
      <c r="X366" s="252"/>
      <c r="Y366" s="234"/>
      <c r="Z366" s="234"/>
      <c r="AA366" s="234"/>
      <c r="AB366" s="234"/>
      <c r="AC366" s="234"/>
      <c r="AD366" s="234"/>
      <c r="AE366" s="252"/>
      <c r="AF366" s="234"/>
      <c r="AG366" s="234"/>
      <c r="AH366" s="234"/>
      <c r="AI366" s="234"/>
      <c r="AJ366" s="252"/>
      <c r="AK366" s="234"/>
      <c r="AL366" s="234"/>
      <c r="AM366" s="234"/>
      <c r="AN366" s="234"/>
      <c r="AO366" s="252"/>
      <c r="AP366" s="234"/>
      <c r="AQ366" s="234"/>
      <c r="AR366" s="234"/>
      <c r="AS366" s="252"/>
      <c r="AT366" s="234"/>
      <c r="AU366" s="234"/>
      <c r="AV366" s="252"/>
      <c r="AW366" s="234"/>
    </row>
    <row r="367" spans="3:49" s="240" customFormat="1" x14ac:dyDescent="0.25">
      <c r="C367" s="242"/>
      <c r="E367" s="234"/>
      <c r="F367" s="234"/>
      <c r="G367" s="234"/>
      <c r="H367" s="234"/>
      <c r="I367" s="234"/>
      <c r="J367" s="234"/>
      <c r="K367" s="234"/>
      <c r="L367" s="234"/>
      <c r="M367" s="234"/>
      <c r="N367" s="234"/>
      <c r="O367" s="234"/>
      <c r="P367" s="234"/>
      <c r="Q367" s="234"/>
      <c r="R367" s="234"/>
      <c r="S367" s="252"/>
      <c r="T367" s="234"/>
      <c r="U367" s="234"/>
      <c r="V367" s="234"/>
      <c r="W367" s="234"/>
      <c r="X367" s="252"/>
      <c r="Y367" s="234"/>
      <c r="Z367" s="234"/>
      <c r="AA367" s="234"/>
      <c r="AB367" s="234"/>
      <c r="AC367" s="234"/>
      <c r="AD367" s="234"/>
      <c r="AE367" s="252"/>
      <c r="AF367" s="234"/>
      <c r="AG367" s="234"/>
      <c r="AH367" s="234"/>
      <c r="AI367" s="234"/>
      <c r="AJ367" s="252"/>
      <c r="AK367" s="234"/>
      <c r="AL367" s="234"/>
      <c r="AM367" s="234"/>
      <c r="AN367" s="234"/>
      <c r="AO367" s="252"/>
      <c r="AP367" s="234"/>
      <c r="AQ367" s="234"/>
      <c r="AR367" s="234"/>
      <c r="AS367" s="252"/>
      <c r="AT367" s="234"/>
      <c r="AU367" s="234"/>
      <c r="AV367" s="252"/>
      <c r="AW367" s="234"/>
    </row>
    <row r="368" spans="3:49" s="240" customFormat="1" x14ac:dyDescent="0.25">
      <c r="C368" s="242"/>
      <c r="E368" s="234"/>
      <c r="F368" s="234"/>
      <c r="G368" s="234"/>
      <c r="H368" s="234"/>
      <c r="I368" s="234"/>
      <c r="J368" s="234"/>
      <c r="K368" s="234"/>
      <c r="L368" s="234"/>
      <c r="M368" s="234"/>
      <c r="N368" s="234"/>
      <c r="O368" s="234"/>
      <c r="P368" s="234"/>
      <c r="Q368" s="234"/>
      <c r="R368" s="234"/>
      <c r="S368" s="252"/>
      <c r="T368" s="234"/>
      <c r="U368" s="234"/>
      <c r="V368" s="234"/>
      <c r="W368" s="234"/>
      <c r="X368" s="252"/>
      <c r="Y368" s="234"/>
      <c r="Z368" s="234"/>
      <c r="AA368" s="234"/>
      <c r="AB368" s="234"/>
      <c r="AC368" s="234"/>
      <c r="AD368" s="234"/>
      <c r="AE368" s="252"/>
      <c r="AF368" s="234"/>
      <c r="AG368" s="234"/>
      <c r="AH368" s="234"/>
      <c r="AI368" s="234"/>
      <c r="AJ368" s="252"/>
      <c r="AK368" s="234"/>
      <c r="AL368" s="234"/>
      <c r="AM368" s="234"/>
      <c r="AN368" s="234"/>
      <c r="AO368" s="252"/>
      <c r="AP368" s="234"/>
      <c r="AQ368" s="234"/>
      <c r="AR368" s="234"/>
      <c r="AS368" s="252"/>
      <c r="AT368" s="234"/>
      <c r="AU368" s="234"/>
      <c r="AV368" s="252"/>
      <c r="AW368" s="234"/>
    </row>
    <row r="369" spans="3:49" s="240" customFormat="1" x14ac:dyDescent="0.25">
      <c r="C369" s="242"/>
      <c r="E369" s="234"/>
      <c r="F369" s="234"/>
      <c r="G369" s="234"/>
      <c r="H369" s="234"/>
      <c r="I369" s="234"/>
      <c r="J369" s="234"/>
      <c r="K369" s="234"/>
      <c r="L369" s="234"/>
      <c r="M369" s="234"/>
      <c r="N369" s="234"/>
      <c r="O369" s="234"/>
      <c r="P369" s="234"/>
      <c r="Q369" s="234"/>
      <c r="R369" s="234"/>
      <c r="S369" s="252"/>
      <c r="T369" s="234"/>
      <c r="U369" s="234"/>
      <c r="V369" s="234"/>
      <c r="W369" s="234"/>
      <c r="X369" s="252"/>
      <c r="Y369" s="234"/>
      <c r="Z369" s="234"/>
      <c r="AA369" s="234"/>
      <c r="AB369" s="234"/>
      <c r="AC369" s="234"/>
      <c r="AD369" s="234"/>
      <c r="AE369" s="252"/>
      <c r="AF369" s="234"/>
      <c r="AG369" s="234"/>
      <c r="AH369" s="234"/>
      <c r="AI369" s="234"/>
      <c r="AJ369" s="252"/>
      <c r="AK369" s="234"/>
      <c r="AL369" s="234"/>
      <c r="AM369" s="234"/>
      <c r="AN369" s="234"/>
      <c r="AO369" s="252"/>
      <c r="AP369" s="234"/>
      <c r="AQ369" s="234"/>
      <c r="AR369" s="234"/>
      <c r="AS369" s="252"/>
      <c r="AT369" s="234"/>
      <c r="AU369" s="234"/>
      <c r="AV369" s="252"/>
      <c r="AW369" s="234"/>
    </row>
    <row r="370" spans="3:49" s="240" customFormat="1" x14ac:dyDescent="0.25">
      <c r="C370" s="242"/>
      <c r="E370" s="234"/>
      <c r="F370" s="234"/>
      <c r="G370" s="234"/>
      <c r="H370" s="234"/>
      <c r="I370" s="234"/>
      <c r="J370" s="234"/>
      <c r="K370" s="234"/>
      <c r="L370" s="234"/>
      <c r="M370" s="234"/>
      <c r="N370" s="234"/>
      <c r="O370" s="234"/>
      <c r="P370" s="234"/>
      <c r="Q370" s="234"/>
      <c r="R370" s="234"/>
      <c r="S370" s="252"/>
      <c r="T370" s="234"/>
      <c r="U370" s="234"/>
      <c r="V370" s="234"/>
      <c r="W370" s="234"/>
      <c r="X370" s="252"/>
      <c r="Y370" s="234"/>
      <c r="Z370" s="234"/>
      <c r="AA370" s="234"/>
      <c r="AB370" s="234"/>
      <c r="AC370" s="234"/>
      <c r="AD370" s="234"/>
      <c r="AE370" s="252"/>
      <c r="AF370" s="234"/>
      <c r="AG370" s="234"/>
      <c r="AH370" s="234"/>
      <c r="AI370" s="234"/>
      <c r="AJ370" s="252"/>
      <c r="AK370" s="234"/>
      <c r="AL370" s="234"/>
      <c r="AM370" s="234"/>
      <c r="AN370" s="234"/>
      <c r="AO370" s="252"/>
      <c r="AP370" s="234"/>
      <c r="AQ370" s="234"/>
      <c r="AR370" s="234"/>
      <c r="AS370" s="252"/>
      <c r="AT370" s="234"/>
      <c r="AU370" s="234"/>
      <c r="AV370" s="252"/>
      <c r="AW370" s="234"/>
    </row>
    <row r="371" spans="3:49" s="240" customFormat="1" x14ac:dyDescent="0.25">
      <c r="C371" s="242"/>
      <c r="E371" s="234"/>
      <c r="F371" s="234"/>
      <c r="G371" s="234"/>
      <c r="H371" s="234"/>
      <c r="I371" s="234"/>
      <c r="J371" s="234"/>
      <c r="K371" s="234"/>
      <c r="L371" s="234"/>
      <c r="M371" s="234"/>
      <c r="N371" s="234"/>
      <c r="O371" s="234"/>
      <c r="P371" s="234"/>
      <c r="Q371" s="234"/>
      <c r="R371" s="234"/>
      <c r="S371" s="252"/>
      <c r="T371" s="234"/>
      <c r="U371" s="234"/>
      <c r="V371" s="234"/>
      <c r="W371" s="234"/>
      <c r="X371" s="252"/>
      <c r="Y371" s="234"/>
      <c r="Z371" s="234"/>
      <c r="AA371" s="234"/>
      <c r="AB371" s="234"/>
      <c r="AC371" s="234"/>
      <c r="AD371" s="234"/>
      <c r="AE371" s="252"/>
      <c r="AF371" s="234"/>
      <c r="AG371" s="234"/>
      <c r="AH371" s="234"/>
      <c r="AI371" s="234"/>
      <c r="AJ371" s="252"/>
      <c r="AK371" s="234"/>
      <c r="AL371" s="234"/>
      <c r="AM371" s="234"/>
      <c r="AN371" s="234"/>
      <c r="AO371" s="252"/>
      <c r="AP371" s="234"/>
      <c r="AQ371" s="234"/>
      <c r="AR371" s="234"/>
      <c r="AS371" s="252"/>
      <c r="AT371" s="234"/>
      <c r="AU371" s="234"/>
      <c r="AV371" s="252"/>
      <c r="AW371" s="234"/>
    </row>
    <row r="372" spans="3:49" s="240" customFormat="1" x14ac:dyDescent="0.25">
      <c r="C372" s="242"/>
      <c r="E372" s="234"/>
      <c r="F372" s="234"/>
      <c r="G372" s="234"/>
      <c r="H372" s="234"/>
      <c r="I372" s="234"/>
      <c r="J372" s="234"/>
      <c r="K372" s="234"/>
      <c r="L372" s="234"/>
      <c r="M372" s="234"/>
      <c r="N372" s="234"/>
      <c r="O372" s="234"/>
      <c r="P372" s="234"/>
      <c r="Q372" s="234"/>
      <c r="R372" s="234"/>
      <c r="S372" s="252"/>
      <c r="T372" s="234"/>
      <c r="U372" s="234"/>
      <c r="V372" s="234"/>
      <c r="W372" s="234"/>
      <c r="X372" s="252"/>
      <c r="Y372" s="234"/>
      <c r="Z372" s="234"/>
      <c r="AA372" s="234"/>
      <c r="AB372" s="234"/>
      <c r="AC372" s="234"/>
      <c r="AD372" s="234"/>
      <c r="AE372" s="252"/>
      <c r="AF372" s="234"/>
      <c r="AG372" s="234"/>
      <c r="AH372" s="234"/>
      <c r="AI372" s="234"/>
      <c r="AJ372" s="252"/>
      <c r="AK372" s="234"/>
      <c r="AL372" s="234"/>
      <c r="AM372" s="234"/>
      <c r="AN372" s="234"/>
      <c r="AO372" s="252"/>
      <c r="AP372" s="234"/>
      <c r="AQ372" s="234"/>
      <c r="AR372" s="234"/>
      <c r="AS372" s="252"/>
      <c r="AT372" s="234"/>
      <c r="AU372" s="234"/>
      <c r="AV372" s="252"/>
      <c r="AW372" s="234"/>
    </row>
    <row r="373" spans="3:49" s="240" customFormat="1" x14ac:dyDescent="0.25">
      <c r="C373" s="242"/>
      <c r="E373" s="234"/>
      <c r="F373" s="234"/>
      <c r="G373" s="234"/>
      <c r="H373" s="234"/>
      <c r="I373" s="234"/>
      <c r="J373" s="234"/>
      <c r="K373" s="234"/>
      <c r="L373" s="234"/>
      <c r="M373" s="234"/>
      <c r="N373" s="234"/>
      <c r="O373" s="234"/>
      <c r="P373" s="234"/>
      <c r="Q373" s="234"/>
      <c r="R373" s="234"/>
      <c r="S373" s="252"/>
      <c r="T373" s="234"/>
      <c r="U373" s="234"/>
      <c r="V373" s="234"/>
      <c r="W373" s="234"/>
      <c r="X373" s="252"/>
      <c r="Y373" s="234"/>
      <c r="Z373" s="234"/>
      <c r="AA373" s="234"/>
      <c r="AB373" s="234"/>
      <c r="AC373" s="234"/>
      <c r="AD373" s="234"/>
      <c r="AE373" s="252"/>
      <c r="AF373" s="234"/>
      <c r="AG373" s="234"/>
      <c r="AH373" s="234"/>
      <c r="AI373" s="234"/>
      <c r="AJ373" s="252"/>
      <c r="AK373" s="234"/>
      <c r="AL373" s="234"/>
      <c r="AM373" s="234"/>
      <c r="AN373" s="234"/>
      <c r="AO373" s="252"/>
      <c r="AP373" s="234"/>
      <c r="AQ373" s="234"/>
      <c r="AR373" s="234"/>
      <c r="AS373" s="252"/>
      <c r="AT373" s="234"/>
      <c r="AU373" s="234"/>
      <c r="AV373" s="252"/>
      <c r="AW373" s="234"/>
    </row>
    <row r="374" spans="3:49" s="240" customFormat="1" x14ac:dyDescent="0.25">
      <c r="C374" s="242"/>
      <c r="E374" s="234"/>
      <c r="F374" s="234"/>
      <c r="G374" s="234"/>
      <c r="H374" s="234"/>
      <c r="I374" s="234"/>
      <c r="J374" s="234"/>
      <c r="K374" s="234"/>
      <c r="L374" s="234"/>
      <c r="M374" s="234"/>
      <c r="N374" s="234"/>
      <c r="O374" s="234"/>
      <c r="P374" s="234"/>
      <c r="Q374" s="234"/>
      <c r="R374" s="234"/>
      <c r="S374" s="252"/>
      <c r="T374" s="234"/>
      <c r="U374" s="234"/>
      <c r="V374" s="234"/>
      <c r="W374" s="234"/>
      <c r="X374" s="252"/>
      <c r="Y374" s="234"/>
      <c r="Z374" s="234"/>
      <c r="AA374" s="234"/>
      <c r="AB374" s="234"/>
      <c r="AC374" s="234"/>
      <c r="AD374" s="234"/>
      <c r="AE374" s="252"/>
      <c r="AF374" s="234"/>
      <c r="AG374" s="234"/>
      <c r="AH374" s="234"/>
      <c r="AI374" s="234"/>
      <c r="AJ374" s="252"/>
      <c r="AK374" s="234"/>
      <c r="AL374" s="234"/>
      <c r="AM374" s="234"/>
      <c r="AN374" s="234"/>
      <c r="AO374" s="252"/>
      <c r="AP374" s="234"/>
      <c r="AQ374" s="234"/>
      <c r="AR374" s="234"/>
      <c r="AS374" s="252"/>
      <c r="AT374" s="234"/>
      <c r="AU374" s="234"/>
      <c r="AV374" s="252"/>
      <c r="AW374" s="234"/>
    </row>
    <row r="375" spans="3:49" s="240" customFormat="1" x14ac:dyDescent="0.25">
      <c r="C375" s="242"/>
      <c r="E375" s="234"/>
      <c r="F375" s="234"/>
      <c r="G375" s="234"/>
      <c r="H375" s="234"/>
      <c r="I375" s="234"/>
      <c r="J375" s="234"/>
      <c r="K375" s="234"/>
      <c r="L375" s="234"/>
      <c r="M375" s="234"/>
      <c r="N375" s="234"/>
      <c r="O375" s="234"/>
      <c r="P375" s="234"/>
      <c r="Q375" s="234"/>
      <c r="R375" s="234"/>
      <c r="S375" s="252"/>
      <c r="T375" s="234"/>
      <c r="U375" s="234"/>
      <c r="V375" s="234"/>
      <c r="W375" s="234"/>
      <c r="X375" s="252"/>
      <c r="Y375" s="234"/>
      <c r="Z375" s="234"/>
      <c r="AA375" s="234"/>
      <c r="AB375" s="234"/>
      <c r="AC375" s="234"/>
      <c r="AD375" s="234"/>
      <c r="AE375" s="252"/>
      <c r="AF375" s="234"/>
      <c r="AG375" s="234"/>
      <c r="AH375" s="234"/>
      <c r="AI375" s="234"/>
      <c r="AJ375" s="252"/>
      <c r="AK375" s="234"/>
      <c r="AL375" s="234"/>
      <c r="AM375" s="234"/>
      <c r="AN375" s="234"/>
      <c r="AO375" s="252"/>
      <c r="AP375" s="234"/>
      <c r="AQ375" s="234"/>
      <c r="AR375" s="234"/>
      <c r="AS375" s="252"/>
      <c r="AT375" s="234"/>
      <c r="AU375" s="234"/>
      <c r="AV375" s="252"/>
      <c r="AW375" s="234"/>
    </row>
    <row r="376" spans="3:49" s="240" customFormat="1" x14ac:dyDescent="0.25">
      <c r="C376" s="242"/>
      <c r="E376" s="234"/>
      <c r="F376" s="234"/>
      <c r="G376" s="234"/>
      <c r="H376" s="234"/>
      <c r="I376" s="234"/>
      <c r="J376" s="234"/>
      <c r="K376" s="234"/>
      <c r="L376" s="234"/>
      <c r="M376" s="234"/>
      <c r="N376" s="234"/>
      <c r="O376" s="234"/>
      <c r="P376" s="234"/>
      <c r="Q376" s="234"/>
      <c r="R376" s="234"/>
      <c r="S376" s="252"/>
      <c r="T376" s="234"/>
      <c r="U376" s="234"/>
      <c r="V376" s="234"/>
      <c r="W376" s="234"/>
      <c r="X376" s="252"/>
      <c r="Y376" s="234"/>
      <c r="Z376" s="234"/>
      <c r="AA376" s="234"/>
      <c r="AB376" s="234"/>
      <c r="AC376" s="234"/>
      <c r="AD376" s="234"/>
      <c r="AE376" s="252"/>
      <c r="AF376" s="234"/>
      <c r="AG376" s="234"/>
      <c r="AH376" s="234"/>
      <c r="AI376" s="234"/>
      <c r="AJ376" s="252"/>
      <c r="AK376" s="234"/>
      <c r="AL376" s="234"/>
      <c r="AM376" s="234"/>
      <c r="AN376" s="234"/>
      <c r="AO376" s="252"/>
      <c r="AP376" s="234"/>
      <c r="AQ376" s="234"/>
      <c r="AR376" s="234"/>
      <c r="AS376" s="252"/>
      <c r="AT376" s="234"/>
      <c r="AU376" s="234"/>
      <c r="AV376" s="252"/>
      <c r="AW376" s="234"/>
    </row>
    <row r="377" spans="3:49" s="240" customFormat="1" x14ac:dyDescent="0.25">
      <c r="C377" s="242"/>
      <c r="E377" s="234"/>
      <c r="F377" s="234"/>
      <c r="G377" s="234"/>
      <c r="H377" s="234"/>
      <c r="I377" s="234"/>
      <c r="J377" s="234"/>
      <c r="K377" s="234"/>
      <c r="L377" s="234"/>
      <c r="M377" s="234"/>
      <c r="N377" s="234"/>
      <c r="O377" s="234"/>
      <c r="P377" s="234"/>
      <c r="Q377" s="234"/>
      <c r="R377" s="234"/>
      <c r="S377" s="252"/>
      <c r="T377" s="234"/>
      <c r="U377" s="234"/>
      <c r="V377" s="234"/>
      <c r="W377" s="234"/>
      <c r="X377" s="252"/>
      <c r="Y377" s="234"/>
      <c r="Z377" s="234"/>
      <c r="AA377" s="234"/>
      <c r="AB377" s="234"/>
      <c r="AC377" s="234"/>
      <c r="AD377" s="234"/>
      <c r="AE377" s="252"/>
      <c r="AF377" s="234"/>
      <c r="AG377" s="234"/>
      <c r="AH377" s="234"/>
      <c r="AI377" s="234"/>
      <c r="AJ377" s="252"/>
      <c r="AK377" s="234"/>
      <c r="AL377" s="234"/>
      <c r="AM377" s="234"/>
      <c r="AN377" s="234"/>
      <c r="AO377" s="252"/>
      <c r="AP377" s="234"/>
      <c r="AQ377" s="234"/>
      <c r="AR377" s="234"/>
      <c r="AS377" s="252"/>
      <c r="AT377" s="234"/>
      <c r="AU377" s="234"/>
      <c r="AV377" s="252"/>
      <c r="AW377" s="234"/>
    </row>
    <row r="378" spans="3:49" s="240" customFormat="1" x14ac:dyDescent="0.25">
      <c r="C378" s="242"/>
      <c r="E378" s="234"/>
      <c r="F378" s="234"/>
      <c r="G378" s="234"/>
      <c r="H378" s="234"/>
      <c r="I378" s="234"/>
      <c r="J378" s="234"/>
      <c r="K378" s="234"/>
      <c r="L378" s="234"/>
      <c r="M378" s="234"/>
      <c r="N378" s="234"/>
      <c r="O378" s="234"/>
      <c r="P378" s="234"/>
      <c r="Q378" s="234"/>
      <c r="R378" s="234"/>
      <c r="S378" s="252"/>
      <c r="T378" s="234"/>
      <c r="U378" s="234"/>
      <c r="V378" s="234"/>
      <c r="W378" s="234"/>
      <c r="X378" s="252"/>
      <c r="Y378" s="234"/>
      <c r="Z378" s="234"/>
      <c r="AA378" s="234"/>
      <c r="AB378" s="234"/>
      <c r="AC378" s="234"/>
      <c r="AD378" s="234"/>
      <c r="AE378" s="252"/>
      <c r="AF378" s="234"/>
      <c r="AG378" s="234"/>
      <c r="AH378" s="234"/>
      <c r="AI378" s="234"/>
      <c r="AJ378" s="252"/>
      <c r="AK378" s="234"/>
      <c r="AL378" s="234"/>
      <c r="AM378" s="234"/>
      <c r="AN378" s="234"/>
      <c r="AO378" s="252"/>
      <c r="AP378" s="234"/>
      <c r="AQ378" s="234"/>
      <c r="AR378" s="234"/>
      <c r="AS378" s="252"/>
      <c r="AT378" s="234"/>
      <c r="AU378" s="234"/>
      <c r="AV378" s="252"/>
      <c r="AW378" s="234"/>
    </row>
    <row r="379" spans="3:49" s="240" customFormat="1" x14ac:dyDescent="0.25">
      <c r="C379" s="242"/>
      <c r="E379" s="234"/>
      <c r="F379" s="234"/>
      <c r="G379" s="234"/>
      <c r="H379" s="234"/>
      <c r="I379" s="234"/>
      <c r="J379" s="234"/>
      <c r="K379" s="234"/>
      <c r="L379" s="234"/>
      <c r="M379" s="234"/>
      <c r="N379" s="234"/>
      <c r="O379" s="234"/>
      <c r="P379" s="234"/>
      <c r="Q379" s="234"/>
      <c r="R379" s="234"/>
      <c r="S379" s="252"/>
      <c r="T379" s="234"/>
      <c r="U379" s="234"/>
      <c r="V379" s="234"/>
      <c r="W379" s="234"/>
      <c r="X379" s="252"/>
      <c r="Y379" s="234"/>
      <c r="Z379" s="234"/>
      <c r="AA379" s="234"/>
      <c r="AB379" s="234"/>
      <c r="AC379" s="234"/>
      <c r="AD379" s="234"/>
      <c r="AE379" s="252"/>
      <c r="AF379" s="234"/>
      <c r="AG379" s="234"/>
      <c r="AH379" s="234"/>
      <c r="AI379" s="234"/>
      <c r="AJ379" s="252"/>
      <c r="AK379" s="234"/>
      <c r="AL379" s="234"/>
      <c r="AM379" s="234"/>
      <c r="AN379" s="234"/>
      <c r="AO379" s="252"/>
      <c r="AP379" s="234"/>
      <c r="AQ379" s="234"/>
      <c r="AR379" s="234"/>
      <c r="AS379" s="252"/>
      <c r="AT379" s="234"/>
      <c r="AU379" s="234"/>
      <c r="AV379" s="252"/>
      <c r="AW379" s="234"/>
    </row>
    <row r="380" spans="3:49" s="240" customFormat="1" x14ac:dyDescent="0.25">
      <c r="C380" s="242"/>
      <c r="E380" s="234"/>
      <c r="F380" s="234"/>
      <c r="G380" s="234"/>
      <c r="H380" s="234"/>
      <c r="I380" s="234"/>
      <c r="J380" s="234"/>
      <c r="K380" s="234"/>
      <c r="L380" s="234"/>
      <c r="M380" s="234"/>
      <c r="N380" s="234"/>
      <c r="O380" s="234"/>
      <c r="P380" s="234"/>
      <c r="Q380" s="234"/>
      <c r="R380" s="234"/>
      <c r="S380" s="252"/>
      <c r="T380" s="234"/>
      <c r="U380" s="234"/>
      <c r="V380" s="234"/>
      <c r="W380" s="234"/>
      <c r="X380" s="252"/>
      <c r="Y380" s="234"/>
      <c r="Z380" s="234"/>
      <c r="AA380" s="234"/>
      <c r="AB380" s="234"/>
      <c r="AC380" s="234"/>
      <c r="AD380" s="234"/>
      <c r="AE380" s="252"/>
      <c r="AF380" s="234"/>
      <c r="AG380" s="234"/>
      <c r="AH380" s="234"/>
      <c r="AI380" s="234"/>
      <c r="AJ380" s="252"/>
      <c r="AK380" s="234"/>
      <c r="AL380" s="234"/>
      <c r="AM380" s="234"/>
      <c r="AN380" s="234"/>
      <c r="AO380" s="252"/>
      <c r="AP380" s="234"/>
      <c r="AQ380" s="234"/>
      <c r="AR380" s="234"/>
      <c r="AS380" s="252"/>
      <c r="AT380" s="234"/>
      <c r="AU380" s="234"/>
      <c r="AV380" s="252"/>
      <c r="AW380" s="234"/>
    </row>
    <row r="381" spans="3:49" s="240" customFormat="1" x14ac:dyDescent="0.25">
      <c r="C381" s="242"/>
      <c r="E381" s="234"/>
      <c r="F381" s="234"/>
      <c r="G381" s="234"/>
      <c r="H381" s="234"/>
      <c r="I381" s="234"/>
      <c r="J381" s="234"/>
      <c r="K381" s="234"/>
      <c r="L381" s="234"/>
      <c r="M381" s="234"/>
      <c r="N381" s="234"/>
      <c r="O381" s="234"/>
      <c r="P381" s="234"/>
      <c r="Q381" s="234"/>
      <c r="R381" s="234"/>
      <c r="S381" s="252"/>
      <c r="T381" s="234"/>
      <c r="U381" s="234"/>
      <c r="V381" s="234"/>
      <c r="W381" s="234"/>
      <c r="X381" s="252"/>
      <c r="Y381" s="234"/>
      <c r="Z381" s="234"/>
      <c r="AA381" s="234"/>
      <c r="AB381" s="234"/>
      <c r="AC381" s="234"/>
      <c r="AD381" s="234"/>
      <c r="AE381" s="252"/>
      <c r="AF381" s="234"/>
      <c r="AG381" s="234"/>
      <c r="AH381" s="234"/>
      <c r="AI381" s="234"/>
      <c r="AJ381" s="252"/>
      <c r="AK381" s="234"/>
      <c r="AL381" s="234"/>
      <c r="AM381" s="234"/>
      <c r="AN381" s="234"/>
      <c r="AO381" s="252"/>
      <c r="AP381" s="234"/>
      <c r="AQ381" s="234"/>
      <c r="AR381" s="234"/>
      <c r="AS381" s="252"/>
      <c r="AT381" s="234"/>
      <c r="AU381" s="234"/>
      <c r="AV381" s="252"/>
      <c r="AW381" s="234"/>
    </row>
    <row r="382" spans="3:49" s="240" customFormat="1" x14ac:dyDescent="0.25">
      <c r="C382" s="242"/>
      <c r="E382" s="234"/>
      <c r="F382" s="234"/>
      <c r="G382" s="234"/>
      <c r="H382" s="234"/>
      <c r="I382" s="234"/>
      <c r="J382" s="234"/>
      <c r="K382" s="234"/>
      <c r="L382" s="234"/>
      <c r="M382" s="234"/>
      <c r="N382" s="234"/>
      <c r="O382" s="234"/>
      <c r="P382" s="234"/>
      <c r="Q382" s="234"/>
      <c r="R382" s="234"/>
      <c r="S382" s="252"/>
      <c r="T382" s="234"/>
      <c r="U382" s="234"/>
      <c r="V382" s="234"/>
      <c r="W382" s="234"/>
      <c r="X382" s="252"/>
      <c r="Y382" s="234"/>
      <c r="Z382" s="234"/>
      <c r="AA382" s="234"/>
      <c r="AB382" s="234"/>
      <c r="AC382" s="234"/>
      <c r="AD382" s="234"/>
      <c r="AE382" s="252"/>
      <c r="AF382" s="234"/>
      <c r="AG382" s="234"/>
      <c r="AH382" s="234"/>
      <c r="AI382" s="234"/>
      <c r="AJ382" s="252"/>
      <c r="AK382" s="234"/>
      <c r="AL382" s="234"/>
      <c r="AM382" s="234"/>
      <c r="AN382" s="234"/>
      <c r="AO382" s="252"/>
      <c r="AP382" s="234"/>
      <c r="AQ382" s="234"/>
      <c r="AR382" s="234"/>
      <c r="AS382" s="252"/>
      <c r="AT382" s="234"/>
      <c r="AU382" s="234"/>
      <c r="AV382" s="252"/>
      <c r="AW382" s="234"/>
    </row>
    <row r="383" spans="3:49" s="240" customFormat="1" x14ac:dyDescent="0.25">
      <c r="C383" s="242"/>
      <c r="E383" s="234"/>
      <c r="F383" s="234"/>
      <c r="G383" s="234"/>
      <c r="H383" s="234"/>
      <c r="I383" s="234"/>
      <c r="J383" s="234"/>
      <c r="K383" s="234"/>
      <c r="L383" s="234"/>
      <c r="M383" s="234"/>
      <c r="N383" s="234"/>
      <c r="O383" s="234"/>
      <c r="P383" s="234"/>
      <c r="Q383" s="234"/>
      <c r="R383" s="234"/>
      <c r="S383" s="252"/>
      <c r="T383" s="234"/>
      <c r="U383" s="234"/>
      <c r="V383" s="234"/>
      <c r="W383" s="234"/>
      <c r="X383" s="252"/>
      <c r="Y383" s="234"/>
      <c r="Z383" s="234"/>
      <c r="AA383" s="234"/>
      <c r="AB383" s="234"/>
      <c r="AC383" s="234"/>
      <c r="AD383" s="234"/>
      <c r="AE383" s="252"/>
      <c r="AF383" s="234"/>
      <c r="AG383" s="234"/>
      <c r="AH383" s="234"/>
      <c r="AI383" s="234"/>
      <c r="AJ383" s="252"/>
      <c r="AK383" s="234"/>
      <c r="AL383" s="234"/>
      <c r="AM383" s="234"/>
      <c r="AN383" s="234"/>
      <c r="AO383" s="252"/>
      <c r="AP383" s="234"/>
      <c r="AQ383" s="234"/>
      <c r="AR383" s="234"/>
      <c r="AS383" s="252"/>
      <c r="AT383" s="234"/>
      <c r="AU383" s="234"/>
      <c r="AV383" s="252"/>
      <c r="AW383" s="234"/>
    </row>
    <row r="384" spans="3:49" s="240" customFormat="1" x14ac:dyDescent="0.25">
      <c r="C384" s="242"/>
      <c r="E384" s="234"/>
      <c r="F384" s="234"/>
      <c r="G384" s="234"/>
      <c r="H384" s="234"/>
      <c r="I384" s="234"/>
      <c r="J384" s="234"/>
      <c r="K384" s="234"/>
      <c r="L384" s="234"/>
      <c r="M384" s="234"/>
      <c r="N384" s="234"/>
      <c r="O384" s="234"/>
      <c r="P384" s="234"/>
      <c r="Q384" s="234"/>
      <c r="R384" s="234"/>
      <c r="S384" s="252"/>
      <c r="T384" s="234"/>
      <c r="U384" s="234"/>
      <c r="V384" s="234"/>
      <c r="W384" s="234"/>
      <c r="X384" s="252"/>
      <c r="Y384" s="234"/>
      <c r="Z384" s="234"/>
      <c r="AA384" s="234"/>
      <c r="AB384" s="234"/>
      <c r="AC384" s="234"/>
      <c r="AD384" s="234"/>
      <c r="AE384" s="252"/>
      <c r="AF384" s="234"/>
      <c r="AG384" s="234"/>
      <c r="AH384" s="234"/>
      <c r="AI384" s="234"/>
      <c r="AJ384" s="252"/>
      <c r="AK384" s="234"/>
      <c r="AL384" s="234"/>
      <c r="AM384" s="234"/>
      <c r="AN384" s="234"/>
      <c r="AO384" s="252"/>
      <c r="AP384" s="234"/>
      <c r="AQ384" s="234"/>
      <c r="AR384" s="234"/>
      <c r="AS384" s="252"/>
      <c r="AT384" s="234"/>
      <c r="AU384" s="234"/>
      <c r="AV384" s="252"/>
      <c r="AW384" s="234"/>
    </row>
    <row r="385" spans="3:49" s="240" customFormat="1" x14ac:dyDescent="0.25">
      <c r="C385" s="242"/>
      <c r="E385" s="234"/>
      <c r="F385" s="234"/>
      <c r="G385" s="234"/>
      <c r="H385" s="234"/>
      <c r="I385" s="234"/>
      <c r="J385" s="234"/>
      <c r="K385" s="234"/>
      <c r="L385" s="234"/>
      <c r="M385" s="234"/>
      <c r="N385" s="234"/>
      <c r="O385" s="234"/>
      <c r="P385" s="234"/>
      <c r="Q385" s="234"/>
      <c r="R385" s="234"/>
      <c r="S385" s="252"/>
      <c r="T385" s="234"/>
      <c r="U385" s="234"/>
      <c r="V385" s="234"/>
      <c r="W385" s="234"/>
      <c r="X385" s="252"/>
      <c r="Y385" s="234"/>
      <c r="Z385" s="234"/>
      <c r="AA385" s="234"/>
      <c r="AB385" s="234"/>
      <c r="AC385" s="234"/>
      <c r="AD385" s="234"/>
      <c r="AE385" s="252"/>
      <c r="AF385" s="234"/>
      <c r="AG385" s="234"/>
      <c r="AH385" s="234"/>
      <c r="AI385" s="234"/>
      <c r="AJ385" s="252"/>
      <c r="AK385" s="234"/>
      <c r="AL385" s="234"/>
      <c r="AM385" s="234"/>
      <c r="AN385" s="234"/>
      <c r="AO385" s="252"/>
      <c r="AP385" s="234"/>
      <c r="AQ385" s="234"/>
      <c r="AR385" s="234"/>
      <c r="AS385" s="252"/>
      <c r="AT385" s="234"/>
      <c r="AU385" s="234"/>
      <c r="AV385" s="252"/>
      <c r="AW385" s="234"/>
    </row>
    <row r="386" spans="3:49" s="240" customFormat="1" x14ac:dyDescent="0.25">
      <c r="C386" s="242"/>
      <c r="E386" s="234"/>
      <c r="F386" s="234"/>
      <c r="G386" s="234"/>
      <c r="H386" s="234"/>
      <c r="I386" s="234"/>
      <c r="J386" s="234"/>
      <c r="K386" s="234"/>
      <c r="L386" s="234"/>
      <c r="M386" s="234"/>
      <c r="N386" s="234"/>
      <c r="O386" s="234"/>
      <c r="P386" s="234"/>
      <c r="Q386" s="234"/>
      <c r="R386" s="234"/>
      <c r="S386" s="252"/>
      <c r="T386" s="234"/>
      <c r="U386" s="234"/>
      <c r="V386" s="234"/>
      <c r="W386" s="234"/>
      <c r="X386" s="252"/>
      <c r="Y386" s="234"/>
      <c r="Z386" s="234"/>
      <c r="AA386" s="234"/>
      <c r="AB386" s="234"/>
      <c r="AC386" s="234"/>
      <c r="AD386" s="234"/>
      <c r="AE386" s="252"/>
      <c r="AF386" s="234"/>
      <c r="AG386" s="234"/>
      <c r="AH386" s="234"/>
      <c r="AI386" s="234"/>
      <c r="AJ386" s="252"/>
      <c r="AK386" s="234"/>
      <c r="AL386" s="234"/>
      <c r="AM386" s="234"/>
      <c r="AN386" s="234"/>
      <c r="AO386" s="252"/>
      <c r="AP386" s="234"/>
      <c r="AQ386" s="234"/>
      <c r="AR386" s="234"/>
      <c r="AS386" s="252"/>
      <c r="AT386" s="234"/>
      <c r="AU386" s="234"/>
      <c r="AV386" s="252"/>
      <c r="AW386" s="234"/>
    </row>
    <row r="387" spans="3:49" s="240" customFormat="1" x14ac:dyDescent="0.25">
      <c r="C387" s="242"/>
      <c r="E387" s="234"/>
      <c r="F387" s="234"/>
      <c r="G387" s="234"/>
      <c r="H387" s="234"/>
      <c r="I387" s="234"/>
      <c r="J387" s="234"/>
      <c r="K387" s="234"/>
      <c r="L387" s="234"/>
      <c r="M387" s="234"/>
      <c r="N387" s="234"/>
      <c r="O387" s="234"/>
      <c r="P387" s="234"/>
      <c r="Q387" s="234"/>
      <c r="R387" s="234"/>
      <c r="S387" s="252"/>
      <c r="T387" s="234"/>
      <c r="U387" s="234"/>
      <c r="V387" s="234"/>
      <c r="W387" s="234"/>
      <c r="X387" s="252"/>
      <c r="Y387" s="234"/>
      <c r="Z387" s="234"/>
      <c r="AA387" s="234"/>
      <c r="AB387" s="234"/>
      <c r="AC387" s="234"/>
      <c r="AD387" s="234"/>
      <c r="AE387" s="252"/>
      <c r="AF387" s="234"/>
      <c r="AG387" s="234"/>
      <c r="AH387" s="234"/>
      <c r="AI387" s="234"/>
      <c r="AJ387" s="252"/>
      <c r="AK387" s="234"/>
      <c r="AL387" s="234"/>
      <c r="AM387" s="234"/>
      <c r="AN387" s="234"/>
      <c r="AO387" s="252"/>
      <c r="AP387" s="234"/>
      <c r="AQ387" s="234"/>
      <c r="AR387" s="234"/>
      <c r="AS387" s="252"/>
      <c r="AT387" s="234"/>
      <c r="AU387" s="234"/>
      <c r="AV387" s="252"/>
      <c r="AW387" s="234"/>
    </row>
    <row r="388" spans="3:49" s="240" customFormat="1" x14ac:dyDescent="0.25">
      <c r="C388" s="242"/>
      <c r="E388" s="234"/>
      <c r="F388" s="234"/>
      <c r="G388" s="234"/>
      <c r="H388" s="234"/>
      <c r="I388" s="234"/>
      <c r="J388" s="234"/>
      <c r="K388" s="234"/>
      <c r="L388" s="234"/>
      <c r="M388" s="234"/>
      <c r="N388" s="234"/>
      <c r="O388" s="234"/>
      <c r="P388" s="234"/>
      <c r="Q388" s="234"/>
      <c r="R388" s="234"/>
      <c r="S388" s="252"/>
      <c r="T388" s="234"/>
      <c r="U388" s="234"/>
      <c r="V388" s="234"/>
      <c r="W388" s="234"/>
      <c r="X388" s="252"/>
      <c r="Y388" s="234"/>
      <c r="Z388" s="234"/>
      <c r="AA388" s="234"/>
      <c r="AB388" s="234"/>
      <c r="AC388" s="234"/>
      <c r="AD388" s="234"/>
      <c r="AE388" s="252"/>
      <c r="AF388" s="234"/>
      <c r="AG388" s="234"/>
      <c r="AH388" s="234"/>
      <c r="AI388" s="234"/>
      <c r="AJ388" s="252"/>
      <c r="AK388" s="234"/>
      <c r="AL388" s="234"/>
      <c r="AM388" s="234"/>
      <c r="AN388" s="234"/>
      <c r="AO388" s="252"/>
      <c r="AP388" s="234"/>
      <c r="AQ388" s="234"/>
      <c r="AR388" s="234"/>
      <c r="AS388" s="252"/>
      <c r="AT388" s="234"/>
      <c r="AU388" s="234"/>
      <c r="AV388" s="252"/>
      <c r="AW388" s="234"/>
    </row>
    <row r="389" spans="3:49" s="240" customFormat="1" x14ac:dyDescent="0.25">
      <c r="C389" s="242"/>
      <c r="E389" s="234"/>
      <c r="F389" s="234"/>
      <c r="G389" s="234"/>
      <c r="H389" s="234"/>
      <c r="I389" s="234"/>
      <c r="J389" s="234"/>
      <c r="K389" s="234"/>
      <c r="L389" s="234"/>
      <c r="M389" s="234"/>
      <c r="N389" s="234"/>
      <c r="O389" s="234"/>
      <c r="P389" s="234"/>
      <c r="Q389" s="234"/>
      <c r="R389" s="234"/>
      <c r="S389" s="252"/>
      <c r="T389" s="234"/>
      <c r="U389" s="234"/>
      <c r="V389" s="234"/>
      <c r="W389" s="234"/>
      <c r="X389" s="252"/>
      <c r="Y389" s="234"/>
      <c r="Z389" s="234"/>
      <c r="AA389" s="234"/>
      <c r="AB389" s="234"/>
      <c r="AC389" s="234"/>
      <c r="AD389" s="234"/>
      <c r="AE389" s="252"/>
      <c r="AF389" s="234"/>
      <c r="AG389" s="234"/>
      <c r="AH389" s="234"/>
      <c r="AI389" s="234"/>
      <c r="AJ389" s="252"/>
      <c r="AK389" s="234"/>
      <c r="AL389" s="234"/>
      <c r="AM389" s="234"/>
      <c r="AN389" s="234"/>
      <c r="AO389" s="252"/>
      <c r="AP389" s="234"/>
      <c r="AQ389" s="234"/>
      <c r="AR389" s="234"/>
      <c r="AS389" s="252"/>
      <c r="AT389" s="234"/>
      <c r="AU389" s="234"/>
      <c r="AV389" s="252"/>
      <c r="AW389" s="234"/>
    </row>
    <row r="390" spans="3:49" s="240" customFormat="1" x14ac:dyDescent="0.25">
      <c r="C390" s="242"/>
      <c r="E390" s="234"/>
      <c r="F390" s="234"/>
      <c r="G390" s="234"/>
      <c r="H390" s="234"/>
      <c r="I390" s="234"/>
      <c r="J390" s="234"/>
      <c r="K390" s="234"/>
      <c r="L390" s="234"/>
      <c r="M390" s="234"/>
      <c r="N390" s="234"/>
      <c r="O390" s="234"/>
      <c r="P390" s="234"/>
      <c r="Q390" s="234"/>
      <c r="R390" s="234"/>
      <c r="S390" s="252"/>
      <c r="T390" s="234"/>
      <c r="U390" s="234"/>
      <c r="V390" s="234"/>
      <c r="W390" s="234"/>
      <c r="X390" s="252"/>
      <c r="Y390" s="234"/>
      <c r="Z390" s="234"/>
      <c r="AA390" s="234"/>
      <c r="AB390" s="234"/>
      <c r="AC390" s="234"/>
      <c r="AD390" s="234"/>
      <c r="AE390" s="252"/>
      <c r="AF390" s="234"/>
      <c r="AG390" s="234"/>
      <c r="AH390" s="234"/>
      <c r="AI390" s="234"/>
      <c r="AJ390" s="252"/>
      <c r="AK390" s="234"/>
      <c r="AL390" s="234"/>
      <c r="AM390" s="234"/>
      <c r="AN390" s="234"/>
      <c r="AO390" s="252"/>
      <c r="AP390" s="234"/>
      <c r="AQ390" s="234"/>
      <c r="AR390" s="234"/>
      <c r="AS390" s="252"/>
      <c r="AT390" s="234"/>
      <c r="AU390" s="234"/>
      <c r="AV390" s="252"/>
      <c r="AW390" s="234"/>
    </row>
    <row r="391" spans="3:49" s="240" customFormat="1" x14ac:dyDescent="0.25">
      <c r="C391" s="242"/>
      <c r="E391" s="234"/>
      <c r="F391" s="234"/>
      <c r="G391" s="234"/>
      <c r="H391" s="234"/>
      <c r="I391" s="234"/>
      <c r="J391" s="234"/>
      <c r="K391" s="234"/>
      <c r="L391" s="234"/>
      <c r="M391" s="234"/>
      <c r="N391" s="234"/>
      <c r="O391" s="234"/>
      <c r="P391" s="234"/>
      <c r="Q391" s="234"/>
      <c r="R391" s="234"/>
      <c r="S391" s="252"/>
      <c r="T391" s="234"/>
      <c r="U391" s="234"/>
      <c r="V391" s="234"/>
      <c r="W391" s="234"/>
      <c r="X391" s="252"/>
      <c r="Y391" s="234"/>
      <c r="Z391" s="234"/>
      <c r="AA391" s="234"/>
      <c r="AB391" s="234"/>
      <c r="AC391" s="234"/>
      <c r="AD391" s="234"/>
      <c r="AE391" s="252"/>
      <c r="AF391" s="234"/>
      <c r="AG391" s="234"/>
      <c r="AH391" s="234"/>
      <c r="AI391" s="234"/>
      <c r="AJ391" s="252"/>
      <c r="AK391" s="234"/>
      <c r="AL391" s="234"/>
      <c r="AM391" s="234"/>
      <c r="AN391" s="234"/>
      <c r="AO391" s="252"/>
      <c r="AP391" s="234"/>
      <c r="AQ391" s="234"/>
      <c r="AR391" s="234"/>
      <c r="AS391" s="252"/>
      <c r="AT391" s="234"/>
      <c r="AU391" s="234"/>
      <c r="AV391" s="252"/>
      <c r="AW391" s="234"/>
    </row>
    <row r="392" spans="3:49" s="240" customFormat="1" x14ac:dyDescent="0.25">
      <c r="C392" s="242"/>
      <c r="E392" s="234"/>
      <c r="F392" s="234"/>
      <c r="G392" s="234"/>
      <c r="H392" s="234"/>
      <c r="I392" s="234"/>
      <c r="J392" s="234"/>
      <c r="K392" s="234"/>
      <c r="L392" s="234"/>
      <c r="M392" s="234"/>
      <c r="N392" s="234"/>
      <c r="O392" s="234"/>
      <c r="P392" s="234"/>
      <c r="Q392" s="234"/>
      <c r="R392" s="234"/>
      <c r="S392" s="252"/>
      <c r="T392" s="234"/>
      <c r="U392" s="234"/>
      <c r="V392" s="234"/>
      <c r="W392" s="234"/>
      <c r="X392" s="252"/>
      <c r="Y392" s="234"/>
      <c r="Z392" s="234"/>
      <c r="AA392" s="234"/>
      <c r="AB392" s="234"/>
      <c r="AC392" s="234"/>
      <c r="AD392" s="234"/>
      <c r="AE392" s="252"/>
      <c r="AF392" s="234"/>
      <c r="AG392" s="234"/>
      <c r="AH392" s="234"/>
      <c r="AI392" s="234"/>
      <c r="AJ392" s="252"/>
      <c r="AK392" s="234"/>
      <c r="AL392" s="234"/>
      <c r="AM392" s="234"/>
      <c r="AN392" s="234"/>
      <c r="AO392" s="252"/>
      <c r="AP392" s="234"/>
      <c r="AQ392" s="234"/>
      <c r="AR392" s="234"/>
      <c r="AS392" s="252"/>
      <c r="AT392" s="234"/>
      <c r="AU392" s="234"/>
      <c r="AV392" s="252"/>
      <c r="AW392" s="234"/>
    </row>
    <row r="393" spans="3:49" s="240" customFormat="1" x14ac:dyDescent="0.25">
      <c r="C393" s="242"/>
      <c r="E393" s="234"/>
      <c r="F393" s="234"/>
      <c r="G393" s="234"/>
      <c r="H393" s="234"/>
      <c r="I393" s="234"/>
      <c r="J393" s="234"/>
      <c r="K393" s="234"/>
      <c r="L393" s="234"/>
      <c r="M393" s="234"/>
      <c r="N393" s="234"/>
      <c r="O393" s="234"/>
      <c r="P393" s="234"/>
      <c r="Q393" s="234"/>
      <c r="R393" s="234"/>
      <c r="S393" s="252"/>
      <c r="T393" s="234"/>
      <c r="U393" s="234"/>
      <c r="V393" s="234"/>
      <c r="W393" s="234"/>
      <c r="X393" s="252"/>
      <c r="Y393" s="234"/>
      <c r="Z393" s="234"/>
      <c r="AA393" s="234"/>
      <c r="AB393" s="234"/>
      <c r="AC393" s="234"/>
      <c r="AD393" s="234"/>
      <c r="AE393" s="252"/>
      <c r="AF393" s="234"/>
      <c r="AG393" s="234"/>
      <c r="AH393" s="234"/>
      <c r="AI393" s="234"/>
      <c r="AJ393" s="252"/>
      <c r="AK393" s="234"/>
      <c r="AL393" s="234"/>
      <c r="AM393" s="234"/>
      <c r="AN393" s="234"/>
      <c r="AO393" s="252"/>
      <c r="AP393" s="234"/>
      <c r="AQ393" s="234"/>
      <c r="AR393" s="234"/>
      <c r="AS393" s="252"/>
      <c r="AT393" s="234"/>
      <c r="AU393" s="234"/>
      <c r="AV393" s="252"/>
      <c r="AW393" s="234"/>
    </row>
    <row r="394" spans="3:49" s="240" customFormat="1" x14ac:dyDescent="0.25">
      <c r="C394" s="242"/>
      <c r="E394" s="234"/>
      <c r="F394" s="234"/>
      <c r="G394" s="234"/>
      <c r="H394" s="234"/>
      <c r="I394" s="234"/>
      <c r="J394" s="234"/>
      <c r="K394" s="234"/>
      <c r="L394" s="234"/>
      <c r="M394" s="234"/>
      <c r="N394" s="234"/>
      <c r="O394" s="234"/>
      <c r="P394" s="234"/>
      <c r="Q394" s="234"/>
      <c r="R394" s="234"/>
      <c r="S394" s="252"/>
      <c r="T394" s="234"/>
      <c r="U394" s="234"/>
      <c r="V394" s="234"/>
      <c r="W394" s="234"/>
      <c r="X394" s="252"/>
      <c r="Y394" s="234"/>
      <c r="Z394" s="234"/>
      <c r="AA394" s="234"/>
      <c r="AB394" s="234"/>
      <c r="AC394" s="234"/>
      <c r="AD394" s="234"/>
      <c r="AE394" s="252"/>
      <c r="AF394" s="234"/>
      <c r="AG394" s="234"/>
      <c r="AH394" s="234"/>
      <c r="AI394" s="234"/>
      <c r="AJ394" s="252"/>
      <c r="AK394" s="234"/>
      <c r="AL394" s="234"/>
      <c r="AM394" s="234"/>
      <c r="AN394" s="234"/>
      <c r="AO394" s="252"/>
      <c r="AP394" s="234"/>
      <c r="AQ394" s="234"/>
      <c r="AR394" s="234"/>
      <c r="AS394" s="252"/>
      <c r="AT394" s="234"/>
      <c r="AU394" s="234"/>
      <c r="AV394" s="252"/>
      <c r="AW394" s="234"/>
    </row>
  </sheetData>
  <sheetProtection password="D1CE" sheet="1" objects="1" scenarios="1"/>
  <pageMargins left="0.19685039370078741" right="0.19685039370078741" top="0.39370078740157483" bottom="0.39370078740157483" header="0.19685039370078741" footer="0.19685039370078741"/>
  <pageSetup paperSize="9" scale="73" fitToHeight="5" orientation="landscape" horizontalDpi="4294967292" verticalDpi="300" r:id="rId1"/>
  <headerFooter alignWithMargins="0">
    <oddHeader>&amp;R&amp;F/&amp;A</oddHeader>
  </headerFooter>
  <rowBreaks count="1" manualBreakCount="1">
    <brk id="300" max="65535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O323"/>
  <sheetViews>
    <sheetView workbookViewId="0">
      <pane xSplit="3" ySplit="7" topLeftCell="D230" activePane="bottomRight" state="frozen"/>
      <selection pane="topRight"/>
      <selection pane="bottomLeft"/>
      <selection pane="bottomRight"/>
    </sheetView>
  </sheetViews>
  <sheetFormatPr baseColWidth="10" defaultColWidth="0" defaultRowHeight="13.5" x14ac:dyDescent="0.25"/>
  <cols>
    <col min="1" max="1" width="23.5703125" style="25" customWidth="1"/>
    <col min="2" max="2" width="5.7109375" style="25" customWidth="1"/>
    <col min="3" max="4" width="9.7109375" style="25" customWidth="1"/>
    <col min="5" max="5" width="12.42578125" style="25" customWidth="1"/>
    <col min="6" max="7" width="10.85546875" style="25" customWidth="1"/>
    <col min="8" max="8" width="10" style="16" customWidth="1"/>
    <col min="9" max="9" width="11.140625" style="25" customWidth="1"/>
    <col min="10" max="11" width="9.85546875" style="25" customWidth="1"/>
    <col min="12" max="12" width="9.7109375" style="16" customWidth="1"/>
    <col min="13" max="13" width="10.7109375" style="25" customWidth="1"/>
    <col min="14" max="15" width="9.85546875" style="25" customWidth="1"/>
    <col min="16" max="16" width="10" style="16" customWidth="1"/>
    <col min="17" max="17" width="10" style="25" customWidth="1"/>
    <col min="18" max="19" width="11.140625" style="25" customWidth="1"/>
    <col min="20" max="21" width="10.7109375" style="25" customWidth="1"/>
    <col min="22" max="22" width="10" style="16" customWidth="1"/>
    <col min="23" max="23" width="11.140625" style="25" customWidth="1"/>
    <col min="24" max="25" width="10.5703125" style="25" customWidth="1"/>
    <col min="26" max="26" width="10.7109375" style="16" customWidth="1"/>
    <col min="27" max="28" width="9.85546875" style="25" customWidth="1"/>
    <col min="29" max="29" width="10.5703125" style="25" customWidth="1"/>
    <col min="30" max="30" width="9.28515625" style="16" customWidth="1"/>
    <col min="31" max="32" width="10.42578125" style="25" customWidth="1"/>
    <col min="33" max="33" width="9.28515625" style="16" customWidth="1"/>
    <col min="34" max="34" width="9.85546875" style="16" customWidth="1"/>
    <col min="35" max="35" width="10" style="36" customWidth="1"/>
    <col min="36" max="37" width="11.5703125" style="25" customWidth="1"/>
    <col min="38" max="39" width="10.85546875" style="25" customWidth="1"/>
    <col min="40" max="40" width="13.42578125" style="16" customWidth="1"/>
    <col min="41" max="55" width="14.5703125" style="25" hidden="1"/>
    <col min="56" max="93" width="14.5703125" style="27" hidden="1"/>
    <col min="94" max="16384" width="11.42578125" style="27" hidden="1"/>
  </cols>
  <sheetData>
    <row r="1" spans="1:55" s="25" customFormat="1" ht="40.15" customHeight="1" x14ac:dyDescent="0.25">
      <c r="A1" s="28" t="s">
        <v>47</v>
      </c>
      <c r="B1" s="28"/>
      <c r="C1" s="28"/>
      <c r="D1" s="28"/>
      <c r="H1" s="16"/>
      <c r="L1" s="49" t="s">
        <v>237</v>
      </c>
      <c r="M1" s="50"/>
      <c r="P1" s="16"/>
      <c r="V1" s="16"/>
      <c r="Z1" s="16"/>
      <c r="AD1" s="16"/>
      <c r="AG1" s="16"/>
      <c r="AH1" s="16"/>
      <c r="AI1" s="36"/>
      <c r="AN1" s="16"/>
    </row>
    <row r="2" spans="1:55" s="25" customFormat="1" ht="16.899999999999999" customHeight="1" x14ac:dyDescent="0.25">
      <c r="A2" s="415" t="s">
        <v>238</v>
      </c>
      <c r="B2" s="29"/>
      <c r="C2" s="29"/>
      <c r="D2" s="29"/>
      <c r="H2" s="16"/>
      <c r="L2" s="16"/>
      <c r="P2" s="16"/>
      <c r="V2" s="16"/>
      <c r="Z2" s="16"/>
      <c r="AD2" s="16"/>
      <c r="AG2" s="16"/>
      <c r="AH2" s="16"/>
      <c r="AI2" s="36"/>
      <c r="AN2" s="16"/>
    </row>
    <row r="3" spans="1:55" s="25" customFormat="1" x14ac:dyDescent="0.25">
      <c r="A3" s="416"/>
      <c r="B3" s="416"/>
      <c r="C3" s="416"/>
      <c r="D3" s="416"/>
      <c r="E3" s="416"/>
      <c r="F3" s="416"/>
      <c r="G3" s="416"/>
      <c r="H3" s="417"/>
      <c r="I3" s="416"/>
      <c r="L3" s="16"/>
      <c r="P3" s="16"/>
      <c r="V3" s="16"/>
      <c r="Z3" s="16"/>
      <c r="AD3" s="16"/>
      <c r="AG3" s="16"/>
      <c r="AH3" s="16"/>
      <c r="AI3" s="36"/>
      <c r="AN3" s="16"/>
    </row>
    <row r="4" spans="1:55" s="25" customFormat="1" x14ac:dyDescent="0.25">
      <c r="A4" s="416"/>
      <c r="B4" s="416"/>
      <c r="C4" s="416"/>
      <c r="D4" s="416"/>
      <c r="E4" s="416"/>
      <c r="F4" s="416"/>
      <c r="G4" s="416"/>
      <c r="H4" s="417"/>
      <c r="I4" s="416"/>
      <c r="L4" s="16"/>
      <c r="P4" s="16"/>
      <c r="V4" s="16"/>
      <c r="Z4" s="16"/>
      <c r="AD4" s="16"/>
      <c r="AG4" s="16"/>
      <c r="AH4" s="16"/>
      <c r="AI4" s="36"/>
      <c r="AN4" s="16"/>
    </row>
    <row r="5" spans="1:55" s="31" customFormat="1" ht="51" x14ac:dyDescent="0.3">
      <c r="A5" s="60" t="s">
        <v>2</v>
      </c>
      <c r="B5" s="60"/>
      <c r="C5" s="60"/>
      <c r="D5" s="60" t="s">
        <v>55</v>
      </c>
      <c r="E5" s="52" t="s">
        <v>239</v>
      </c>
      <c r="F5" s="78" t="s">
        <v>240</v>
      </c>
      <c r="G5" s="127"/>
      <c r="H5" s="53"/>
      <c r="I5" s="82"/>
      <c r="J5"/>
      <c r="K5" s="55" t="s">
        <v>241</v>
      </c>
      <c r="L5" s="54"/>
      <c r="M5" s="55"/>
      <c r="N5"/>
      <c r="O5" s="32" t="s">
        <v>242</v>
      </c>
      <c r="P5" s="37"/>
      <c r="Q5" s="32"/>
      <c r="R5" s="87"/>
      <c r="S5" s="114" t="s">
        <v>243</v>
      </c>
      <c r="T5"/>
      <c r="U5" s="55" t="s">
        <v>244</v>
      </c>
      <c r="V5" s="54"/>
      <c r="W5" s="55"/>
      <c r="X5"/>
      <c r="Y5" s="100" t="s">
        <v>245</v>
      </c>
      <c r="Z5" s="88"/>
      <c r="AA5" s="27"/>
      <c r="AB5" s="55" t="s">
        <v>246</v>
      </c>
      <c r="AC5" s="55"/>
      <c r="AD5" s="54"/>
      <c r="AE5" s="27"/>
      <c r="AF5" s="100" t="s">
        <v>247</v>
      </c>
      <c r="AG5" s="54"/>
      <c r="AH5" s="54"/>
      <c r="AI5" s="93" t="s">
        <v>21</v>
      </c>
      <c r="AJ5" s="94" t="s">
        <v>248</v>
      </c>
      <c r="AK5" s="94" t="s">
        <v>248</v>
      </c>
      <c r="AL5" s="94" t="s">
        <v>249</v>
      </c>
      <c r="AM5" s="94" t="s">
        <v>249</v>
      </c>
      <c r="AN5" s="145" t="s">
        <v>250</v>
      </c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</row>
    <row r="6" spans="1:55" s="47" customFormat="1" ht="35.450000000000003" hidden="1" customHeight="1" x14ac:dyDescent="0.25">
      <c r="A6" s="57" t="s">
        <v>251</v>
      </c>
      <c r="B6" s="57"/>
      <c r="C6" s="76"/>
      <c r="D6" s="76" t="s">
        <v>252</v>
      </c>
      <c r="E6" s="76" t="s">
        <v>253</v>
      </c>
      <c r="F6" s="331">
        <v>3.6</v>
      </c>
      <c r="G6" s="128" t="s">
        <v>254</v>
      </c>
      <c r="H6" s="38">
        <v>30</v>
      </c>
      <c r="I6" s="83" t="s">
        <v>255</v>
      </c>
      <c r="J6" s="332">
        <v>31</v>
      </c>
      <c r="K6" s="58" t="s">
        <v>254</v>
      </c>
      <c r="L6" s="58"/>
      <c r="M6" s="77" t="s">
        <v>255</v>
      </c>
      <c r="N6" s="332">
        <v>310</v>
      </c>
      <c r="O6" s="58" t="s">
        <v>254</v>
      </c>
      <c r="P6" s="58"/>
      <c r="Q6" s="148"/>
      <c r="R6" s="83"/>
      <c r="S6" s="332">
        <v>311</v>
      </c>
      <c r="T6" s="332">
        <v>32</v>
      </c>
      <c r="U6" s="58" t="s">
        <v>77</v>
      </c>
      <c r="V6" s="58"/>
      <c r="W6" s="77" t="s">
        <v>255</v>
      </c>
      <c r="X6" s="332">
        <v>322</v>
      </c>
      <c r="Y6" s="58" t="s">
        <v>78</v>
      </c>
      <c r="Z6" s="89"/>
      <c r="AA6" s="341">
        <v>33</v>
      </c>
      <c r="AB6" s="58" t="s">
        <v>78</v>
      </c>
      <c r="AC6" s="58"/>
      <c r="AD6" s="58"/>
      <c r="AE6" s="341" t="s">
        <v>256</v>
      </c>
      <c r="AF6" s="58" t="s">
        <v>78</v>
      </c>
      <c r="AG6" s="58"/>
      <c r="AH6" s="58" t="s">
        <v>257</v>
      </c>
      <c r="AI6" s="95" t="s">
        <v>258</v>
      </c>
      <c r="AJ6" s="333">
        <v>461</v>
      </c>
      <c r="AK6" s="95" t="s">
        <v>254</v>
      </c>
      <c r="AL6" s="333">
        <v>444</v>
      </c>
      <c r="AM6" s="130" t="s">
        <v>78</v>
      </c>
      <c r="AN6" s="146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</row>
    <row r="7" spans="1:55" s="26" customFormat="1" ht="14.45" customHeight="1" x14ac:dyDescent="0.25">
      <c r="C7" s="26" t="s">
        <v>81</v>
      </c>
      <c r="E7" s="26" t="s">
        <v>85</v>
      </c>
      <c r="F7" s="79" t="s">
        <v>85</v>
      </c>
      <c r="G7" s="129" t="s">
        <v>85</v>
      </c>
      <c r="H7" s="17" t="s">
        <v>80</v>
      </c>
      <c r="I7" s="84" t="s">
        <v>83</v>
      </c>
      <c r="J7" s="26" t="s">
        <v>85</v>
      </c>
      <c r="K7" s="26" t="s">
        <v>85</v>
      </c>
      <c r="L7" s="17" t="s">
        <v>80</v>
      </c>
      <c r="M7" s="26" t="s">
        <v>83</v>
      </c>
      <c r="N7" s="26" t="s">
        <v>85</v>
      </c>
      <c r="O7" s="26" t="s">
        <v>85</v>
      </c>
      <c r="P7" s="17" t="s">
        <v>80</v>
      </c>
      <c r="Q7" s="26" t="s">
        <v>82</v>
      </c>
      <c r="R7" s="84" t="s">
        <v>83</v>
      </c>
      <c r="S7" s="26" t="s">
        <v>85</v>
      </c>
      <c r="T7" s="26" t="s">
        <v>85</v>
      </c>
      <c r="U7" s="26" t="s">
        <v>85</v>
      </c>
      <c r="V7" s="17" t="s">
        <v>80</v>
      </c>
      <c r="W7" s="26" t="s">
        <v>83</v>
      </c>
      <c r="X7" s="26" t="s">
        <v>85</v>
      </c>
      <c r="Y7" s="26" t="s">
        <v>85</v>
      </c>
      <c r="Z7" s="90" t="s">
        <v>80</v>
      </c>
      <c r="AA7" s="26" t="s">
        <v>85</v>
      </c>
      <c r="AB7" s="26" t="s">
        <v>85</v>
      </c>
      <c r="AC7" s="26" t="s">
        <v>83</v>
      </c>
      <c r="AD7" s="17" t="s">
        <v>80</v>
      </c>
      <c r="AE7" s="26" t="s">
        <v>85</v>
      </c>
      <c r="AF7" s="26" t="s">
        <v>85</v>
      </c>
      <c r="AG7" s="17" t="s">
        <v>80</v>
      </c>
      <c r="AH7" s="17" t="s">
        <v>259</v>
      </c>
      <c r="AI7" s="112" t="s">
        <v>80</v>
      </c>
      <c r="AJ7" s="113" t="s">
        <v>85</v>
      </c>
      <c r="AK7" s="113" t="s">
        <v>85</v>
      </c>
      <c r="AL7" s="113" t="s">
        <v>85</v>
      </c>
      <c r="AM7" s="113" t="s">
        <v>85</v>
      </c>
      <c r="AN7" s="147" t="s">
        <v>80</v>
      </c>
    </row>
    <row r="8" spans="1:55" s="25" customFormat="1" ht="25.9" customHeight="1" x14ac:dyDescent="0.25">
      <c r="A8" t="str">
        <f>Funktional!A8</f>
        <v>Aadorf</v>
      </c>
      <c r="B8" t="str">
        <f>Funktional!B8</f>
        <v>PSG</v>
      </c>
      <c r="C8" s="43">
        <f>Funktional!D8</f>
        <v>323</v>
      </c>
      <c r="D8" s="43">
        <f>Funktional!J8-'KiGa - PS'!H9</f>
        <v>3137986.9099999997</v>
      </c>
      <c r="E8" s="43">
        <f>'KiGa - PS'!F9+'KiGa - PS'!K9*Artengliederung!D8</f>
        <v>4571010.9354945738</v>
      </c>
      <c r="F8" s="365">
        <v>2323105.9</v>
      </c>
      <c r="G8" s="43">
        <f>F8*'KiGa - PS'!L9</f>
        <v>1992167.4794184878</v>
      </c>
      <c r="H8" s="42">
        <f>G8/$E8</f>
        <v>0.43582645229505218</v>
      </c>
      <c r="I8" s="85">
        <f>G8/C8</f>
        <v>6167.701174670241</v>
      </c>
      <c r="J8" s="365">
        <v>811466.35</v>
      </c>
      <c r="K8" s="43">
        <f>J8*'KiGa - PS'!L9</f>
        <v>695868.78200964513</v>
      </c>
      <c r="L8" s="42">
        <f>K8/$E8</f>
        <v>0.15223520394714471</v>
      </c>
      <c r="M8" s="43">
        <f>K8/C8</f>
        <v>2154.3925139617495</v>
      </c>
      <c r="N8" s="365">
        <v>117961.3</v>
      </c>
      <c r="O8" s="43">
        <f>N8*'KiGa - PS'!L9</f>
        <v>101157.1042413211</v>
      </c>
      <c r="P8" s="42">
        <f>O8/$E8</f>
        <v>2.2130138314879377E-2</v>
      </c>
      <c r="Q8" s="43">
        <f>O8/Funktional!C8</f>
        <v>6526.2647897626512</v>
      </c>
      <c r="R8" s="85">
        <f>O8/C8</f>
        <v>313.17988929201579</v>
      </c>
      <c r="S8" s="365">
        <v>22804.3</v>
      </c>
      <c r="T8" s="365">
        <v>601555.5</v>
      </c>
      <c r="U8" s="43">
        <f>T8*'KiGa - PS'!L9</f>
        <v>515860.8155423858</v>
      </c>
      <c r="V8" s="42">
        <f>U8/$E8</f>
        <v>0.11285486357878746</v>
      </c>
      <c r="W8" s="43">
        <f>U8/C8</f>
        <v>1597.0923081807609</v>
      </c>
      <c r="X8" s="365">
        <v>592974.69999999995</v>
      </c>
      <c r="Y8" s="43">
        <f>X8*'KiGa - PS'!L9</f>
        <v>508502.3947715573</v>
      </c>
      <c r="Z8" s="91">
        <f>Y8/$E8</f>
        <v>0.11124506196713756</v>
      </c>
      <c r="AA8" s="365">
        <v>1150664.96</v>
      </c>
      <c r="AB8" s="43">
        <f>AA8*'KiGa - PS'!L9</f>
        <v>986746.80005693028</v>
      </c>
      <c r="AC8" s="43">
        <f>AB8/C8</f>
        <v>3054.9436534270289</v>
      </c>
      <c r="AD8" s="42">
        <f>AB8/$E8</f>
        <v>0.21587058398716483</v>
      </c>
      <c r="AE8" s="365">
        <v>525885.6</v>
      </c>
      <c r="AF8" s="43">
        <f>AE8*'KiGa - PS'!L9</f>
        <v>450970.48318566929</v>
      </c>
      <c r="AG8" s="42">
        <f>AF8/$E8</f>
        <v>9.8658806454348422E-2</v>
      </c>
      <c r="AH8" s="42">
        <f>AE8/'Kennzahlen Revision'!F8</f>
        <v>6.1493967208224608E-2</v>
      </c>
      <c r="AI8" s="97">
        <f>1-H8-L8-V8-AD8</f>
        <v>8.3212896191850821E-2</v>
      </c>
      <c r="AJ8" s="365">
        <v>78859</v>
      </c>
      <c r="AK8" s="43">
        <f>AJ8*'KiGa - PS'!$L9</f>
        <v>67625.128608843239</v>
      </c>
      <c r="AL8" s="365">
        <v>1326504</v>
      </c>
      <c r="AM8" s="43">
        <f>AL8*'KiGa - PS'!$L9</f>
        <v>1137536.6616384306</v>
      </c>
      <c r="AN8" s="97">
        <f>(AK8+AM8)/Funktional!E8</f>
        <v>0.28504499792276156</v>
      </c>
      <c r="AO8" s="16"/>
    </row>
    <row r="9" spans="1:55" s="25" customFormat="1" x14ac:dyDescent="0.25">
      <c r="A9" t="str">
        <f>Funktional!A9</f>
        <v>Affeltrangen</v>
      </c>
      <c r="B9" t="str">
        <f>Funktional!B9</f>
        <v>PSG</v>
      </c>
      <c r="C9" s="43">
        <f>Funktional!D9</f>
        <v>56</v>
      </c>
      <c r="D9" s="43">
        <f>Funktional!J9-'KiGa - PS'!H10</f>
        <v>925368.07999999984</v>
      </c>
      <c r="E9" s="43">
        <f>'KiGa - PS'!F10+'KiGa - PS'!K10*Artengliederung!D9</f>
        <v>1131408.8801519782</v>
      </c>
      <c r="F9" s="365">
        <v>734880.25</v>
      </c>
      <c r="G9" s="43">
        <f>F9*'KiGa - PS'!L10</f>
        <v>547210.5028360507</v>
      </c>
      <c r="H9" s="42">
        <f t="shared" ref="H9:H24" si="0">G9/$E9</f>
        <v>0.48365406391590793</v>
      </c>
      <c r="I9" s="85">
        <f t="shared" ref="I9:I24" si="1">G9/C9</f>
        <v>9771.6161220723334</v>
      </c>
      <c r="J9" s="365">
        <v>139706.45000000001</v>
      </c>
      <c r="K9" s="43">
        <f>J9*'KiGa - PS'!L10</f>
        <v>104028.97173238712</v>
      </c>
      <c r="L9" s="42">
        <f t="shared" ref="L9:L24" si="2">K9/$E9</f>
        <v>9.1946398474805388E-2</v>
      </c>
      <c r="M9" s="43">
        <f t="shared" ref="M9:M24" si="3">K9/C9</f>
        <v>1857.6602095069127</v>
      </c>
      <c r="N9" s="365">
        <v>28755.95</v>
      </c>
      <c r="O9" s="43">
        <f>N9*'KiGa - PS'!L10</f>
        <v>21412.410877865248</v>
      </c>
      <c r="P9" s="42">
        <f t="shared" ref="P9:P24" si="4">O9/$E9</f>
        <v>1.8925440000956147E-2</v>
      </c>
      <c r="Q9" s="43">
        <f>O9/Funktional!C9</f>
        <v>7137.4702926217496</v>
      </c>
      <c r="R9" s="85">
        <f t="shared" ref="R9:R24" si="5">O9/C9</f>
        <v>382.36447996187945</v>
      </c>
      <c r="S9" s="365">
        <v>10410.6</v>
      </c>
      <c r="T9" s="365">
        <v>132287.35</v>
      </c>
      <c r="U9" s="43">
        <f>T9*'KiGa - PS'!L10</f>
        <v>98504.521399709178</v>
      </c>
      <c r="V9" s="42">
        <f t="shared" ref="V9:V24" si="6">U9/$E9</f>
        <v>8.7063592241274801E-2</v>
      </c>
      <c r="W9" s="43">
        <f t="shared" ref="W9:W24" si="7">U9/C9</f>
        <v>1759.0093107090925</v>
      </c>
      <c r="X9" s="365">
        <v>124021.45</v>
      </c>
      <c r="Y9" s="43">
        <f>X9*'KiGa - PS'!L10</f>
        <v>92349.522275168114</v>
      </c>
      <c r="Z9" s="91">
        <f t="shared" ref="Z9:Z24" si="8">Y9/$E9</f>
        <v>8.1623473083190859E-2</v>
      </c>
      <c r="AA9" s="365">
        <v>386428.08</v>
      </c>
      <c r="AB9" s="43">
        <f>AA9*'KiGa - PS'!L10</f>
        <v>287744.16507556109</v>
      </c>
      <c r="AC9" s="43">
        <f t="shared" ref="AC9:AC24" si="9">AB9/C9</f>
        <v>5138.2886620635909</v>
      </c>
      <c r="AD9" s="42">
        <f t="shared" ref="AD9:AD24" si="10">AB9/$E9</f>
        <v>0.25432376404621237</v>
      </c>
      <c r="AE9" s="365">
        <v>110400</v>
      </c>
      <c r="AF9" s="43">
        <f>AE9*'KiGa - PS'!L10</f>
        <v>82206.644569778538</v>
      </c>
      <c r="AG9" s="42">
        <f t="shared" ref="AG9:AG24" si="11">AF9/$E9</f>
        <v>7.2658652421692158E-2</v>
      </c>
      <c r="AH9" s="42">
        <f>AE9/'Kennzahlen Revision'!F9</f>
        <v>4.046946040352891E-2</v>
      </c>
      <c r="AI9" s="97">
        <f t="shared" ref="AI9:AI14" si="12">1-H9-L9-V9-AD9</f>
        <v>8.3012181321799494E-2</v>
      </c>
      <c r="AJ9" s="365">
        <v>56977.55</v>
      </c>
      <c r="AK9" s="43">
        <f>AJ9*'KiGa - PS'!$L10</f>
        <v>42426.931171257114</v>
      </c>
      <c r="AL9" s="365">
        <v>329442</v>
      </c>
      <c r="AM9" s="43">
        <f>AL9*'KiGa - PS'!$L10</f>
        <v>245310.88224961032</v>
      </c>
      <c r="AN9" s="97">
        <f>(AK9+AM9)/Funktional!E9</f>
        <v>0.274209435083484</v>
      </c>
      <c r="AO9" s="16"/>
    </row>
    <row r="10" spans="1:55" s="25" customFormat="1" x14ac:dyDescent="0.25">
      <c r="A10" t="str">
        <f>Funktional!A10</f>
        <v>Alterswilen</v>
      </c>
      <c r="B10" t="str">
        <f>Funktional!B10</f>
        <v>PSG</v>
      </c>
      <c r="C10" s="43">
        <f>Funktional!D10</f>
        <v>57</v>
      </c>
      <c r="D10" s="43">
        <f>Funktional!J10-'KiGa - PS'!H11</f>
        <v>626997.25</v>
      </c>
      <c r="E10" s="43">
        <f>'KiGa - PS'!F11+'KiGa - PS'!K11*Artengliederung!D10</f>
        <v>991315.54467509803</v>
      </c>
      <c r="F10" s="365">
        <v>656550.94999999995</v>
      </c>
      <c r="G10" s="43">
        <f>F10*'KiGa - PS'!L11</f>
        <v>556587.22067444155</v>
      </c>
      <c r="H10" s="42">
        <f t="shared" si="0"/>
        <v>0.5614632229507327</v>
      </c>
      <c r="I10" s="85">
        <f t="shared" si="1"/>
        <v>9764.6880820077458</v>
      </c>
      <c r="J10" s="365">
        <v>197095.85</v>
      </c>
      <c r="K10" s="43">
        <f>J10*'KiGa - PS'!L11</f>
        <v>167086.85191601148</v>
      </c>
      <c r="L10" s="42">
        <f t="shared" si="2"/>
        <v>0.16855062226505679</v>
      </c>
      <c r="M10" s="43">
        <f t="shared" si="3"/>
        <v>2931.3482792282716</v>
      </c>
      <c r="N10" s="365">
        <v>18282.3</v>
      </c>
      <c r="O10" s="43">
        <f>N10*'KiGa - PS'!L11</f>
        <v>15498.712696305358</v>
      </c>
      <c r="P10" s="42">
        <f t="shared" si="4"/>
        <v>1.5634489723839684E-2</v>
      </c>
      <c r="Q10" s="43">
        <f>O10/Funktional!C10</f>
        <v>5166.237565435119</v>
      </c>
      <c r="R10" s="85">
        <f t="shared" si="5"/>
        <v>271.90724028605894</v>
      </c>
      <c r="S10" s="365">
        <v>20912.95</v>
      </c>
      <c r="T10" s="365">
        <v>77983.7</v>
      </c>
      <c r="U10" s="43">
        <f>T10*'KiGa - PS'!L11</f>
        <v>66110.224714333977</v>
      </c>
      <c r="V10" s="42">
        <f t="shared" si="6"/>
        <v>6.6689385705135384E-2</v>
      </c>
      <c r="W10" s="43">
        <f t="shared" si="7"/>
        <v>1159.8285037602452</v>
      </c>
      <c r="X10" s="365">
        <v>77666.3</v>
      </c>
      <c r="Y10" s="43">
        <f>X10*'KiGa - PS'!L11</f>
        <v>65841.150724201056</v>
      </c>
      <c r="Z10" s="91">
        <f t="shared" si="8"/>
        <v>6.6417954482677233E-2</v>
      </c>
      <c r="AA10" s="365">
        <v>191310.4</v>
      </c>
      <c r="AB10" s="43">
        <f>AA10*'KiGa - PS'!L11</f>
        <v>162182.27057948161</v>
      </c>
      <c r="AC10" s="43">
        <f t="shared" si="9"/>
        <v>2845.3029926224845</v>
      </c>
      <c r="AD10" s="42">
        <f t="shared" si="10"/>
        <v>0.16360307416811121</v>
      </c>
      <c r="AE10" s="365">
        <v>97546.25</v>
      </c>
      <c r="AF10" s="43">
        <f>AE10*'KiGa - PS'!L11</f>
        <v>82694.261846265319</v>
      </c>
      <c r="AG10" s="42">
        <f t="shared" si="11"/>
        <v>8.3418707888181273E-2</v>
      </c>
      <c r="AH10" s="42">
        <f>AE10/'Kennzahlen Revision'!F10</f>
        <v>6.382976565428744E-2</v>
      </c>
      <c r="AI10" s="97">
        <f t="shared" si="12"/>
        <v>3.9693694910963917E-2</v>
      </c>
      <c r="AJ10" s="365">
        <v>103245.85</v>
      </c>
      <c r="AK10" s="43">
        <f>AJ10*'KiGa - PS'!$L11</f>
        <v>87526.064348349973</v>
      </c>
      <c r="AL10" s="365">
        <v>76227</v>
      </c>
      <c r="AM10" s="43">
        <f>AL10*'KiGa - PS'!$L11</f>
        <v>64620.992583059488</v>
      </c>
      <c r="AN10" s="97">
        <f>(AK10+AM10)/Funktional!E10</f>
        <v>0.15821759735755153</v>
      </c>
      <c r="AO10" s="16"/>
    </row>
    <row r="11" spans="1:55" s="25" customFormat="1" x14ac:dyDescent="0.25">
      <c r="A11" t="str">
        <f>Funktional!A11</f>
        <v>Altishausen-Graltshausen</v>
      </c>
      <c r="B11" t="str">
        <f>Funktional!B11</f>
        <v>PSG</v>
      </c>
      <c r="C11" s="43">
        <f>Funktional!D11</f>
        <v>27</v>
      </c>
      <c r="D11" s="43">
        <f>Funktional!J11-'KiGa - PS'!H12</f>
        <v>88716.449999999953</v>
      </c>
      <c r="E11" s="43">
        <f>'KiGa - PS'!F12+'KiGa - PS'!K12*Artengliederung!D11</f>
        <v>338076.57672315999</v>
      </c>
      <c r="F11" s="365">
        <v>230511.35</v>
      </c>
      <c r="G11" s="43">
        <f>F11*'KiGa - PS'!L12</f>
        <v>230511.35</v>
      </c>
      <c r="H11" s="42">
        <f t="shared" si="0"/>
        <v>0.68183176792149758</v>
      </c>
      <c r="I11" s="85">
        <f t="shared" si="1"/>
        <v>8537.457407407408</v>
      </c>
      <c r="J11" s="365">
        <v>70793.850000000006</v>
      </c>
      <c r="K11" s="43">
        <f>J11*'KiGa - PS'!L12</f>
        <v>70793.850000000006</v>
      </c>
      <c r="L11" s="42">
        <f t="shared" si="2"/>
        <v>0.20940181862398236</v>
      </c>
      <c r="M11" s="43">
        <f t="shared" si="3"/>
        <v>2621.9944444444445</v>
      </c>
      <c r="N11" s="365">
        <v>21699.599999999999</v>
      </c>
      <c r="O11" s="43">
        <f>N11*'KiGa - PS'!L12</f>
        <v>21699.599999999999</v>
      </c>
      <c r="P11" s="42">
        <f t="shared" si="4"/>
        <v>6.4185458248321947E-2</v>
      </c>
      <c r="Q11" s="43">
        <f>O11/Funktional!C11</f>
        <v>21699.599999999999</v>
      </c>
      <c r="R11" s="85">
        <f t="shared" si="5"/>
        <v>803.68888888888887</v>
      </c>
      <c r="S11" s="365">
        <v>11805.45</v>
      </c>
      <c r="T11" s="365">
        <v>22788</v>
      </c>
      <c r="U11" s="43">
        <f>T11*'KiGa - PS'!L12</f>
        <v>22788</v>
      </c>
      <c r="V11" s="42">
        <f t="shared" si="6"/>
        <v>6.7404847212057403E-2</v>
      </c>
      <c r="W11" s="43">
        <f t="shared" si="7"/>
        <v>844</v>
      </c>
      <c r="X11" s="365">
        <v>13894.2</v>
      </c>
      <c r="Y11" s="43">
        <f>X11*'KiGa - PS'!L12</f>
        <v>13894.2</v>
      </c>
      <c r="Z11" s="91">
        <f t="shared" si="8"/>
        <v>4.1097789544223627E-2</v>
      </c>
      <c r="AA11" s="365">
        <v>5651.15</v>
      </c>
      <c r="AB11" s="43">
        <f>AA11*'KiGa - PS'!L12</f>
        <v>5651.15</v>
      </c>
      <c r="AC11" s="43">
        <f t="shared" si="9"/>
        <v>209.30185185185184</v>
      </c>
      <c r="AD11" s="42">
        <f t="shared" si="10"/>
        <v>1.671559164132079E-2</v>
      </c>
      <c r="AE11" s="365">
        <v>3043</v>
      </c>
      <c r="AF11" s="43">
        <f>AE11*'KiGa - PS'!L12</f>
        <v>3043</v>
      </c>
      <c r="AG11" s="42">
        <f t="shared" si="11"/>
        <v>9.0009193464231467E-3</v>
      </c>
      <c r="AH11" s="42">
        <f>AE11/'Kennzahlen Revision'!F11</f>
        <v>6.3840053707044847E-2</v>
      </c>
      <c r="AI11" s="97">
        <f t="shared" si="12"/>
        <v>2.4645974601141873E-2</v>
      </c>
      <c r="AJ11" s="365">
        <v>4725</v>
      </c>
      <c r="AK11" s="43">
        <f>AJ11*'KiGa - PS'!$L12</f>
        <v>4725</v>
      </c>
      <c r="AL11" s="365">
        <v>52715</v>
      </c>
      <c r="AM11" s="43">
        <f>AL11*'KiGa - PS'!$L12</f>
        <v>52715</v>
      </c>
      <c r="AN11" s="97">
        <f>(AK11+AM11)/Funktional!E11</f>
        <v>0.17201779054468158</v>
      </c>
      <c r="AO11" s="16"/>
    </row>
    <row r="12" spans="1:55" s="25" customFormat="1" x14ac:dyDescent="0.25">
      <c r="A12" t="str">
        <f>Funktional!A12</f>
        <v>Altnau</v>
      </c>
      <c r="B12" t="str">
        <f>Funktional!B12</f>
        <v>PSG</v>
      </c>
      <c r="C12" s="43">
        <f>Funktional!D12</f>
        <v>174</v>
      </c>
      <c r="D12" s="43">
        <f>Funktional!J12-'KiGa - PS'!H13</f>
        <v>1204901.7999999998</v>
      </c>
      <c r="E12" s="43">
        <f>'KiGa - PS'!F13+'KiGa - PS'!K13*Artengliederung!D12</f>
        <v>2193734.7588863163</v>
      </c>
      <c r="F12" s="365">
        <v>1381525.3</v>
      </c>
      <c r="G12" s="43">
        <f>F12*'KiGa - PS'!L13</f>
        <v>1175960.4658493714</v>
      </c>
      <c r="H12" s="42">
        <f t="shared" si="0"/>
        <v>0.53605407904753544</v>
      </c>
      <c r="I12" s="85">
        <f t="shared" si="1"/>
        <v>6758.3934818929392</v>
      </c>
      <c r="J12" s="365">
        <v>239591.25</v>
      </c>
      <c r="K12" s="43">
        <f>J12*'KiGa - PS'!L13</f>
        <v>203941.13518111696</v>
      </c>
      <c r="L12" s="42">
        <f t="shared" si="2"/>
        <v>9.2965265903272129E-2</v>
      </c>
      <c r="M12" s="43">
        <f t="shared" si="3"/>
        <v>1172.0754895466491</v>
      </c>
      <c r="N12" s="365">
        <v>66732</v>
      </c>
      <c r="O12" s="43">
        <f>N12*'KiGa - PS'!L13</f>
        <v>56802.574521842085</v>
      </c>
      <c r="P12" s="42">
        <f t="shared" si="4"/>
        <v>2.5893091355619857E-2</v>
      </c>
      <c r="Q12" s="43">
        <f>O12/Funktional!C12</f>
        <v>6682.6558260990687</v>
      </c>
      <c r="R12" s="85">
        <f t="shared" si="5"/>
        <v>326.45157771173615</v>
      </c>
      <c r="S12" s="365">
        <v>12903.05</v>
      </c>
      <c r="T12" s="365">
        <v>278598.09999999998</v>
      </c>
      <c r="U12" s="43">
        <f>T12*'KiGa - PS'!L13</f>
        <v>237143.93899319085</v>
      </c>
      <c r="V12" s="42">
        <f t="shared" si="6"/>
        <v>0.10810055228079656</v>
      </c>
      <c r="W12" s="43">
        <f t="shared" si="7"/>
        <v>1362.8962011102922</v>
      </c>
      <c r="X12" s="365">
        <v>267316.55</v>
      </c>
      <c r="Y12" s="43">
        <f>X12*'KiGa - PS'!L13</f>
        <v>227541.03357155077</v>
      </c>
      <c r="Z12" s="91">
        <f t="shared" si="8"/>
        <v>0.10372312908378474</v>
      </c>
      <c r="AA12" s="365">
        <v>507286.05</v>
      </c>
      <c r="AB12" s="43">
        <f>AA12*'KiGa - PS'!L13</f>
        <v>431804.1368311441</v>
      </c>
      <c r="AC12" s="43">
        <f t="shared" si="9"/>
        <v>2481.6329702939315</v>
      </c>
      <c r="AD12" s="42">
        <f t="shared" si="10"/>
        <v>0.19683516208238239</v>
      </c>
      <c r="AE12" s="365">
        <v>349562</v>
      </c>
      <c r="AF12" s="43">
        <f>AE12*'KiGa - PS'!L13</f>
        <v>297548.72557399992</v>
      </c>
      <c r="AG12" s="42">
        <f t="shared" si="11"/>
        <v>0.13563568903154691</v>
      </c>
      <c r="AH12" s="42">
        <f>AE12/'Kennzahlen Revision'!F12</f>
        <v>6.0670025402260311E-2</v>
      </c>
      <c r="AI12" s="97">
        <f t="shared" si="12"/>
        <v>6.6044940686013465E-2</v>
      </c>
      <c r="AJ12" s="365">
        <v>206151.85</v>
      </c>
      <c r="AK12" s="43">
        <f>AJ12*'KiGa - PS'!$L13</f>
        <v>175477.36951448498</v>
      </c>
      <c r="AL12" s="365">
        <v>290484</v>
      </c>
      <c r="AM12" s="43">
        <f>AL12*'KiGa - PS'!$L13</f>
        <v>247261.26981662135</v>
      </c>
      <c r="AN12" s="97">
        <f>(AK12+AM12)/Funktional!E12</f>
        <v>0.19499776147656755</v>
      </c>
      <c r="AO12" s="16"/>
    </row>
    <row r="13" spans="1:55" s="25" customFormat="1" x14ac:dyDescent="0.25">
      <c r="A13" t="str">
        <f>Funktional!A13</f>
        <v>Amlikon</v>
      </c>
      <c r="B13" t="str">
        <f>Funktional!B13</f>
        <v>PSG</v>
      </c>
      <c r="C13" s="43">
        <f>Funktional!D13</f>
        <v>49</v>
      </c>
      <c r="D13" s="43">
        <f>Funktional!J13-'KiGa - PS'!H14</f>
        <v>630080.65</v>
      </c>
      <c r="E13" s="43">
        <f>'KiGa - PS'!F14+'KiGa - PS'!K14*Artengliederung!D13</f>
        <v>749159.65498842206</v>
      </c>
      <c r="F13" s="365">
        <v>489556.55</v>
      </c>
      <c r="G13" s="43">
        <f>F13*'KiGa - PS'!L14</f>
        <v>360854.74198676739</v>
      </c>
      <c r="H13" s="42">
        <f t="shared" si="0"/>
        <v>0.4816793584437542</v>
      </c>
      <c r="I13" s="85">
        <f t="shared" si="1"/>
        <v>7364.3824895258649</v>
      </c>
      <c r="J13" s="365">
        <v>204103.2</v>
      </c>
      <c r="K13" s="43">
        <f>J13*'KiGa - PS'!L14</f>
        <v>150445.55644219977</v>
      </c>
      <c r="L13" s="42">
        <f t="shared" si="2"/>
        <v>0.20081908501135828</v>
      </c>
      <c r="M13" s="43">
        <f t="shared" si="3"/>
        <v>3070.3174784122402</v>
      </c>
      <c r="N13" s="365">
        <v>17970.45</v>
      </c>
      <c r="O13" s="43">
        <f>N13*'KiGa - PS'!L14</f>
        <v>13246.114464480364</v>
      </c>
      <c r="P13" s="42">
        <f t="shared" si="4"/>
        <v>1.768129713910592E-2</v>
      </c>
      <c r="Q13" s="43">
        <f>O13/Funktional!C13</f>
        <v>5298.4457857921461</v>
      </c>
      <c r="R13" s="85">
        <f t="shared" si="5"/>
        <v>270.32886662204828</v>
      </c>
      <c r="S13" s="365">
        <v>20012.5</v>
      </c>
      <c r="T13" s="365">
        <v>87627.15</v>
      </c>
      <c r="U13" s="43">
        <f>T13*'KiGa - PS'!L14</f>
        <v>64590.439254230718</v>
      </c>
      <c r="V13" s="42">
        <f t="shared" si="6"/>
        <v>8.6217188584760254E-2</v>
      </c>
      <c r="W13" s="43">
        <f t="shared" si="7"/>
        <v>1318.1722296781779</v>
      </c>
      <c r="X13" s="365">
        <v>77106.3</v>
      </c>
      <c r="Y13" s="43">
        <f>X13*'KiGa - PS'!L14</f>
        <v>56835.464650721726</v>
      </c>
      <c r="Z13" s="91">
        <f t="shared" si="8"/>
        <v>7.5865623932458159E-2</v>
      </c>
      <c r="AA13" s="365">
        <v>168005.5</v>
      </c>
      <c r="AB13" s="43">
        <f>AA13*'KiGa - PS'!L14</f>
        <v>123837.74939760861</v>
      </c>
      <c r="AC13" s="43">
        <f t="shared" si="9"/>
        <v>2527.3010081144616</v>
      </c>
      <c r="AD13" s="42">
        <f t="shared" si="10"/>
        <v>0.16530221371774548</v>
      </c>
      <c r="AE13" s="365">
        <v>136193.70000000001</v>
      </c>
      <c r="AF13" s="43">
        <f>AE13*'KiGa - PS'!L14</f>
        <v>100389.10208375969</v>
      </c>
      <c r="AG13" s="42">
        <f t="shared" si="11"/>
        <v>0.13400228030874295</v>
      </c>
      <c r="AH13" s="42">
        <f>AE13/'Kennzahlen Revision'!F13</f>
        <v>5.3728750519165251E-2</v>
      </c>
      <c r="AI13" s="97">
        <f t="shared" si="12"/>
        <v>6.5982154242381824E-2</v>
      </c>
      <c r="AJ13" s="365">
        <v>94632</v>
      </c>
      <c r="AK13" s="43">
        <f>AJ13*'KiGa - PS'!$L14</f>
        <v>69753.751520006772</v>
      </c>
      <c r="AL13" s="365">
        <v>86269</v>
      </c>
      <c r="AM13" s="43">
        <f>AL13*'KiGa - PS'!$L14</f>
        <v>63589.339651275091</v>
      </c>
      <c r="AN13" s="97">
        <f>(AK13+AM13)/Funktional!E13</f>
        <v>0.19195397883700516</v>
      </c>
      <c r="AO13" s="16"/>
    </row>
    <row r="14" spans="1:55" s="25" customFormat="1" x14ac:dyDescent="0.25">
      <c r="A14" t="str">
        <f>Funktional!A14</f>
        <v>Amriswil</v>
      </c>
      <c r="B14" t="str">
        <f>Funktional!B14</f>
        <v>PSG</v>
      </c>
      <c r="C14" s="43">
        <f>Funktional!D14</f>
        <v>960</v>
      </c>
      <c r="D14" s="43">
        <f>Funktional!J14-'KiGa - PS'!H15</f>
        <v>6538149.6500000004</v>
      </c>
      <c r="E14" s="43">
        <f>'KiGa - PS'!F15+'KiGa - PS'!K15*Artengliederung!D14</f>
        <v>11862314.988933995</v>
      </c>
      <c r="F14" s="365">
        <v>8721197.1500000004</v>
      </c>
      <c r="G14" s="43">
        <f>F14*'KiGa - PS'!L15</f>
        <v>7628734.4613169758</v>
      </c>
      <c r="H14" s="42">
        <f t="shared" si="0"/>
        <v>0.64310671807599085</v>
      </c>
      <c r="I14" s="85">
        <f t="shared" si="1"/>
        <v>7946.5983972051827</v>
      </c>
      <c r="J14" s="365">
        <v>1477814.45</v>
      </c>
      <c r="K14" s="43">
        <f>J14*'KiGa - PS'!L15</f>
        <v>1292695.6962722936</v>
      </c>
      <c r="L14" s="42">
        <f t="shared" si="2"/>
        <v>0.10897499328572975</v>
      </c>
      <c r="M14" s="43">
        <f t="shared" si="3"/>
        <v>1346.5580169503057</v>
      </c>
      <c r="N14" s="365">
        <v>142439.20000000001</v>
      </c>
      <c r="O14" s="43">
        <f>N14*'KiGa - PS'!L15</f>
        <v>124596.52212797654</v>
      </c>
      <c r="P14" s="42">
        <f t="shared" si="4"/>
        <v>1.0503558727298084E-2</v>
      </c>
      <c r="Q14" s="43">
        <f>O14/Funktional!C14</f>
        <v>2542.7861658770721</v>
      </c>
      <c r="R14" s="85">
        <f t="shared" si="5"/>
        <v>129.78804388330889</v>
      </c>
      <c r="S14" s="365">
        <v>97268.4</v>
      </c>
      <c r="T14" s="365">
        <v>941652.55</v>
      </c>
      <c r="U14" s="43">
        <f>T14*'KiGa - PS'!L15</f>
        <v>823696.23518624459</v>
      </c>
      <c r="V14" s="42">
        <f t="shared" si="6"/>
        <v>6.9438068029271396E-2</v>
      </c>
      <c r="W14" s="43">
        <f t="shared" si="7"/>
        <v>858.01691165233808</v>
      </c>
      <c r="X14" s="365">
        <v>916881.05</v>
      </c>
      <c r="Y14" s="43">
        <f>X14*'KiGa - PS'!L15</f>
        <v>802027.7426091088</v>
      </c>
      <c r="Z14" s="91">
        <f t="shared" si="8"/>
        <v>6.7611401598869775E-2</v>
      </c>
      <c r="AA14" s="365">
        <v>1375953.55</v>
      </c>
      <c r="AB14" s="43">
        <f>AA14*'KiGa - PS'!L15</f>
        <v>1203594.4244255996</v>
      </c>
      <c r="AC14" s="43">
        <f t="shared" si="9"/>
        <v>1253.7441921099996</v>
      </c>
      <c r="AD14" s="42">
        <f t="shared" si="10"/>
        <v>0.10146370464352004</v>
      </c>
      <c r="AE14" s="365">
        <v>821000</v>
      </c>
      <c r="AF14" s="43">
        <f>AE14*'KiGa - PS'!L15</f>
        <v>718157.25353040977</v>
      </c>
      <c r="AG14" s="42">
        <f t="shared" si="11"/>
        <v>6.0541070962991418E-2</v>
      </c>
      <c r="AH14" s="42">
        <f>AE14/'Kennzahlen Revision'!F14</f>
        <v>6.0445304163347389E-2</v>
      </c>
      <c r="AI14" s="97">
        <f t="shared" si="12"/>
        <v>7.7016515965487989E-2</v>
      </c>
      <c r="AJ14" s="365">
        <v>1012155.7</v>
      </c>
      <c r="AK14" s="43">
        <f>AJ14*'KiGa - PS'!$L15</f>
        <v>885367.79251784319</v>
      </c>
      <c r="AL14" s="365">
        <v>2511219</v>
      </c>
      <c r="AM14" s="43">
        <f>AL14*'KiGa - PS'!$L15</f>
        <v>2196650.5968981511</v>
      </c>
      <c r="AN14" s="97">
        <f>(AK14+AM14)/Funktional!E14</f>
        <v>0.2754143345052662</v>
      </c>
      <c r="AO14" s="16"/>
    </row>
    <row r="15" spans="1:55" s="25" customFormat="1" x14ac:dyDescent="0.25">
      <c r="A15" t="str">
        <f>Funktional!A15</f>
        <v>Au</v>
      </c>
      <c r="B15" t="str">
        <f>Funktional!B15</f>
        <v>PSG</v>
      </c>
      <c r="C15" s="43">
        <f>Funktional!D15</f>
        <v>20</v>
      </c>
      <c r="D15" s="43">
        <f>Funktional!J15-'KiGa - PS'!H16</f>
        <v>80769.25</v>
      </c>
      <c r="E15" s="43">
        <f>'KiGa - PS'!F16+'KiGa - PS'!K16*Artengliederung!D15</f>
        <v>221694.51431164477</v>
      </c>
      <c r="F15" s="365">
        <v>136651.4</v>
      </c>
      <c r="G15" s="43">
        <f>F15*'KiGa - PS'!L16</f>
        <v>136651.4</v>
      </c>
      <c r="H15" s="42">
        <f t="shared" si="0"/>
        <v>0.61639504443444959</v>
      </c>
      <c r="I15" s="85">
        <f t="shared" si="1"/>
        <v>6832.57</v>
      </c>
      <c r="J15" s="365">
        <v>65561.100000000006</v>
      </c>
      <c r="K15" s="43">
        <f>J15*'KiGa - PS'!L16</f>
        <v>65561.100000000006</v>
      </c>
      <c r="L15" s="42">
        <f t="shared" si="2"/>
        <v>0.29572720914437317</v>
      </c>
      <c r="M15" s="43">
        <f t="shared" si="3"/>
        <v>3278.0550000000003</v>
      </c>
      <c r="N15" s="365">
        <v>8256.35</v>
      </c>
      <c r="O15" s="43">
        <f>N15*'KiGa - PS'!L16</f>
        <v>8256.35</v>
      </c>
      <c r="P15" s="42">
        <f t="shared" si="4"/>
        <v>3.7242013072067814E-2</v>
      </c>
      <c r="Q15" s="43">
        <f>O15/Funktional!C15</f>
        <v>8256.35</v>
      </c>
      <c r="R15" s="85">
        <f t="shared" si="5"/>
        <v>412.8175</v>
      </c>
      <c r="S15" s="365">
        <v>5118.8999999999996</v>
      </c>
      <c r="T15" s="365">
        <v>8314.85</v>
      </c>
      <c r="U15" s="43">
        <f>T15*'KiGa - PS'!L16</f>
        <v>8314.85</v>
      </c>
      <c r="V15" s="42">
        <f t="shared" si="6"/>
        <v>3.7505889696086418E-2</v>
      </c>
      <c r="W15" s="43">
        <f t="shared" si="7"/>
        <v>415.74250000000001</v>
      </c>
      <c r="X15" s="365">
        <v>0</v>
      </c>
      <c r="Y15" s="43">
        <f>X15*'KiGa - PS'!L16</f>
        <v>0</v>
      </c>
      <c r="Z15" s="91">
        <f t="shared" si="8"/>
        <v>0</v>
      </c>
      <c r="AA15" s="365">
        <v>13079.75</v>
      </c>
      <c r="AB15" s="43">
        <f>AA15*'KiGa - PS'!L16</f>
        <v>13079.75</v>
      </c>
      <c r="AC15" s="43">
        <f t="shared" si="9"/>
        <v>653.98749999999995</v>
      </c>
      <c r="AD15" s="42">
        <f t="shared" si="10"/>
        <v>5.8998979025765501E-2</v>
      </c>
      <c r="AE15" s="365">
        <v>9358</v>
      </c>
      <c r="AF15" s="43">
        <f>AE15*'KiGa - PS'!L16</f>
        <v>9358</v>
      </c>
      <c r="AG15" s="42">
        <f t="shared" si="11"/>
        <v>4.2211238419932615E-2</v>
      </c>
      <c r="AH15" s="42">
        <f>AE15/'Kennzahlen Revision'!F15</f>
        <v>5.2106127676160248E-2</v>
      </c>
      <c r="AI15" s="97">
        <f t="shared" ref="AI15:AI23" si="13">1-H15-L15-V15-AD15</f>
        <v>-8.6271223006746806E-3</v>
      </c>
      <c r="AJ15" s="365">
        <v>81346</v>
      </c>
      <c r="AK15" s="43">
        <f>AJ15*'KiGa - PS'!$L16</f>
        <v>81346</v>
      </c>
      <c r="AL15" s="365">
        <v>68797</v>
      </c>
      <c r="AM15" s="43">
        <f>AL15*'KiGa - PS'!$L16</f>
        <v>68797</v>
      </c>
      <c r="AN15" s="97">
        <f>(AK15+AM15)/Funktional!E15</f>
        <v>0.66738364302667152</v>
      </c>
    </row>
    <row r="16" spans="1:55" s="25" customFormat="1" x14ac:dyDescent="0.25">
      <c r="A16" t="str">
        <f>Funktional!A16</f>
        <v>Balterswil</v>
      </c>
      <c r="B16" t="str">
        <f>Funktional!B16</f>
        <v>PSG</v>
      </c>
      <c r="C16" s="43">
        <f>Funktional!D16</f>
        <v>100</v>
      </c>
      <c r="D16" s="43">
        <f>Funktional!J16-'KiGa - PS'!H17</f>
        <v>711029.25</v>
      </c>
      <c r="E16" s="43">
        <f>'KiGa - PS'!F17+'KiGa - PS'!K17*Artengliederung!D16</f>
        <v>1453622.1159762545</v>
      </c>
      <c r="F16" s="365">
        <v>1042190.5</v>
      </c>
      <c r="G16" s="43">
        <f>F16*'KiGa - PS'!L17</f>
        <v>877989.39155277482</v>
      </c>
      <c r="H16" s="42">
        <f t="shared" si="0"/>
        <v>0.60400112374674209</v>
      </c>
      <c r="I16" s="85">
        <f t="shared" si="1"/>
        <v>8779.8939155277476</v>
      </c>
      <c r="J16" s="365">
        <v>127708.95</v>
      </c>
      <c r="K16" s="43">
        <f>J16*'KiGa - PS'!L17</f>
        <v>107587.91536321213</v>
      </c>
      <c r="L16" s="42">
        <f t="shared" si="2"/>
        <v>7.401367534295937E-2</v>
      </c>
      <c r="M16" s="43">
        <f t="shared" si="3"/>
        <v>1075.8791536321214</v>
      </c>
      <c r="N16" s="365">
        <v>44462.55</v>
      </c>
      <c r="O16" s="43">
        <f>N16*'KiGa - PS'!L17</f>
        <v>37457.304803090061</v>
      </c>
      <c r="P16" s="42">
        <f t="shared" si="4"/>
        <v>2.5768254618177496E-2</v>
      </c>
      <c r="Q16" s="43">
        <f>O16/Funktional!C16</f>
        <v>7491.460960618012</v>
      </c>
      <c r="R16" s="85">
        <f t="shared" si="5"/>
        <v>374.57304803090062</v>
      </c>
      <c r="S16" s="365">
        <v>791.35</v>
      </c>
      <c r="T16" s="365">
        <v>172221.4</v>
      </c>
      <c r="U16" s="43">
        <f>T16*'KiGa - PS'!L17</f>
        <v>145087.25823001366</v>
      </c>
      <c r="V16" s="42">
        <f t="shared" si="6"/>
        <v>9.98108494879172E-2</v>
      </c>
      <c r="W16" s="43">
        <f t="shared" si="7"/>
        <v>1450.8725823001366</v>
      </c>
      <c r="X16" s="365">
        <v>160739.45000000001</v>
      </c>
      <c r="Y16" s="43">
        <f>X16*'KiGa - PS'!L17</f>
        <v>135414.33346785227</v>
      </c>
      <c r="Z16" s="91">
        <f t="shared" si="8"/>
        <v>9.3156489557747149E-2</v>
      </c>
      <c r="AA16" s="365">
        <v>244471.55</v>
      </c>
      <c r="AB16" s="43">
        <f>AA16*'KiGa - PS'!L17</f>
        <v>205954.12013107369</v>
      </c>
      <c r="AC16" s="43">
        <f t="shared" si="9"/>
        <v>2059.5412013107371</v>
      </c>
      <c r="AD16" s="42">
        <f t="shared" si="10"/>
        <v>0.14168339754018852</v>
      </c>
      <c r="AE16" s="365">
        <v>239038.3</v>
      </c>
      <c r="AF16" s="43">
        <f>AE16*'KiGa - PS'!L17</f>
        <v>201376.8994965984</v>
      </c>
      <c r="AG16" s="42">
        <f t="shared" si="11"/>
        <v>0.13853455948649585</v>
      </c>
      <c r="AH16" s="42">
        <f>AE16/'Kennzahlen Revision'!F16</f>
        <v>7.5066119829039962E-2</v>
      </c>
      <c r="AI16" s="97">
        <f t="shared" si="13"/>
        <v>8.0490953882192823E-2</v>
      </c>
      <c r="AJ16" s="365">
        <v>150148</v>
      </c>
      <c r="AK16" s="43">
        <f>AJ16*'KiGa - PS'!$L17</f>
        <v>126491.60701701467</v>
      </c>
      <c r="AL16" s="365">
        <v>199307</v>
      </c>
      <c r="AM16" s="43">
        <f>AL16*'KiGa - PS'!$L17</f>
        <v>167905.41811905682</v>
      </c>
      <c r="AN16" s="97">
        <f>(AK16+AM16)/Funktional!E16</f>
        <v>0.21634405995316089</v>
      </c>
    </row>
    <row r="17" spans="1:40" x14ac:dyDescent="0.25">
      <c r="A17" t="str">
        <f>Funktional!A17</f>
        <v xml:space="preserve">Basadingen-Willisdorf </v>
      </c>
      <c r="B17" t="str">
        <f>Funktional!B17</f>
        <v>PSG</v>
      </c>
      <c r="C17" s="43">
        <f>Funktional!D17</f>
        <v>96</v>
      </c>
      <c r="D17" s="43">
        <f>Funktional!J17-'KiGa - PS'!H18</f>
        <v>420890.05000000016</v>
      </c>
      <c r="E17" s="43">
        <f>'KiGa - PS'!F18+'KiGa - PS'!K18*Artengliederung!D17</f>
        <v>1126928.7102428288</v>
      </c>
      <c r="F17" s="365">
        <v>957267.9</v>
      </c>
      <c r="G17" s="43">
        <f>F17*'KiGa - PS'!L18</f>
        <v>795125.7878426119</v>
      </c>
      <c r="H17" s="42">
        <f t="shared" si="0"/>
        <v>0.70556884443140988</v>
      </c>
      <c r="I17" s="85">
        <f t="shared" si="1"/>
        <v>8282.5602900272079</v>
      </c>
      <c r="J17" s="365">
        <v>140300.4</v>
      </c>
      <c r="K17" s="43">
        <f>J17*'KiGa - PS'!L18</f>
        <v>116536.30721831744</v>
      </c>
      <c r="L17" s="42">
        <f t="shared" si="2"/>
        <v>0.10341054066606074</v>
      </c>
      <c r="M17" s="43">
        <f t="shared" si="3"/>
        <v>1213.9198668574734</v>
      </c>
      <c r="N17" s="365">
        <v>43710.8</v>
      </c>
      <c r="O17" s="43">
        <f>N17*'KiGa - PS'!L18</f>
        <v>36307.061259685863</v>
      </c>
      <c r="P17" s="42">
        <f t="shared" si="4"/>
        <v>3.2217709008285425E-2</v>
      </c>
      <c r="Q17" s="43">
        <f>O17/Funktional!C17</f>
        <v>7261.4122519371722</v>
      </c>
      <c r="R17" s="85">
        <f t="shared" si="5"/>
        <v>378.1985547883944</v>
      </c>
      <c r="S17" s="365">
        <v>10176.950000000001</v>
      </c>
      <c r="T17" s="365">
        <v>87655.5</v>
      </c>
      <c r="U17" s="43">
        <f>T17*'KiGa - PS'!L18</f>
        <v>72808.404518983734</v>
      </c>
      <c r="V17" s="42">
        <f t="shared" si="6"/>
        <v>6.4607817563983344E-2</v>
      </c>
      <c r="W17" s="43">
        <f t="shared" si="7"/>
        <v>758.42088040608053</v>
      </c>
      <c r="X17" s="365">
        <v>68240.95</v>
      </c>
      <c r="Y17" s="43">
        <f>X17*'KiGa - PS'!L18</f>
        <v>56682.292524253957</v>
      </c>
      <c r="Z17" s="91">
        <f t="shared" si="8"/>
        <v>5.0298028623336918E-2</v>
      </c>
      <c r="AA17" s="365">
        <v>76250.350000000006</v>
      </c>
      <c r="AB17" s="43">
        <f>AA17*'KiGa - PS'!L18</f>
        <v>63335.059722596889</v>
      </c>
      <c r="AC17" s="43">
        <f t="shared" si="9"/>
        <v>659.74020544371763</v>
      </c>
      <c r="AD17" s="42">
        <f t="shared" si="10"/>
        <v>5.6201478538025311E-2</v>
      </c>
      <c r="AE17" s="365">
        <v>42300</v>
      </c>
      <c r="AF17" s="43">
        <f>AE17*'KiGa - PS'!L18</f>
        <v>35135.22267459557</v>
      </c>
      <c r="AG17" s="42">
        <f t="shared" si="11"/>
        <v>3.1177857441421195E-2</v>
      </c>
      <c r="AH17" s="42">
        <f>AE17/'Kennzahlen Revision'!F17</f>
        <v>6.5520446096654278E-2</v>
      </c>
      <c r="AI17" s="97">
        <f t="shared" si="13"/>
        <v>7.02113188005207E-2</v>
      </c>
      <c r="AJ17" s="365">
        <v>129740</v>
      </c>
      <c r="AK17" s="43">
        <f>AJ17*'KiGa - PS'!$L18</f>
        <v>107764.62860052078</v>
      </c>
      <c r="AL17" s="365">
        <v>0</v>
      </c>
      <c r="AM17" s="43">
        <f>AL17*'KiGa - PS'!$L18</f>
        <v>0</v>
      </c>
      <c r="AN17" s="97">
        <f>(AK17+AM17)/Funktional!E17</f>
        <v>0.10064919272349933</v>
      </c>
    </row>
    <row r="18" spans="1:40" x14ac:dyDescent="0.25">
      <c r="A18" t="str">
        <f>Funktional!A18</f>
        <v>Berg</v>
      </c>
      <c r="B18" t="str">
        <f>Funktional!B18</f>
        <v>PSG</v>
      </c>
      <c r="C18" s="43">
        <f>Funktional!D18</f>
        <v>190</v>
      </c>
      <c r="D18" s="43">
        <f>Funktional!J18-'KiGa - PS'!H19</f>
        <v>876189.3</v>
      </c>
      <c r="E18" s="43">
        <f>'KiGa - PS'!F19+'KiGa - PS'!K19*Artengliederung!D18</f>
        <v>2054881.5733305276</v>
      </c>
      <c r="F18" s="365">
        <v>1555750.35</v>
      </c>
      <c r="G18" s="43">
        <f>F18*'KiGa - PS'!L19</f>
        <v>1305043.4521186277</v>
      </c>
      <c r="H18" s="42">
        <f t="shared" si="0"/>
        <v>0.63509424049359142</v>
      </c>
      <c r="I18" s="85">
        <f t="shared" si="1"/>
        <v>6868.6497479927775</v>
      </c>
      <c r="J18" s="365">
        <v>259474.1</v>
      </c>
      <c r="K18" s="43">
        <f>J18*'KiGa - PS'!L19</f>
        <v>217660.2275547449</v>
      </c>
      <c r="L18" s="42">
        <f t="shared" si="2"/>
        <v>0.10592348988850184</v>
      </c>
      <c r="M18" s="43">
        <f t="shared" si="3"/>
        <v>1145.580145024973</v>
      </c>
      <c r="N18" s="365">
        <v>76715.75</v>
      </c>
      <c r="O18" s="43">
        <f>N18*'KiGa - PS'!L19</f>
        <v>64353.118874033753</v>
      </c>
      <c r="P18" s="42">
        <f t="shared" si="4"/>
        <v>3.1317191077698453E-2</v>
      </c>
      <c r="Q18" s="43">
        <f>O18/Funktional!C18</f>
        <v>7150.3465415593055</v>
      </c>
      <c r="R18" s="85">
        <f t="shared" si="5"/>
        <v>338.70062565280921</v>
      </c>
      <c r="S18" s="365">
        <v>41302.15</v>
      </c>
      <c r="T18" s="365">
        <v>72203.600000000006</v>
      </c>
      <c r="U18" s="43">
        <f>T18*'KiGa - PS'!L19</f>
        <v>60568.095259880582</v>
      </c>
      <c r="V18" s="42">
        <f t="shared" si="6"/>
        <v>2.9475224288333334E-2</v>
      </c>
      <c r="W18" s="43">
        <f t="shared" si="7"/>
        <v>318.77944873621357</v>
      </c>
      <c r="X18" s="365">
        <v>61303.8</v>
      </c>
      <c r="Y18" s="43">
        <f>X18*'KiGa - PS'!L19</f>
        <v>51424.782118795556</v>
      </c>
      <c r="Z18" s="91">
        <f t="shared" si="8"/>
        <v>2.5025667068222759E-2</v>
      </c>
      <c r="AA18" s="365">
        <v>309763.75</v>
      </c>
      <c r="AB18" s="43">
        <f>AA18*'KiGa - PS'!L19</f>
        <v>259845.77386803195</v>
      </c>
      <c r="AC18" s="43">
        <f t="shared" si="9"/>
        <v>1367.6093361475366</v>
      </c>
      <c r="AD18" s="42">
        <f t="shared" si="10"/>
        <v>0.12645291935090791</v>
      </c>
      <c r="AE18" s="365">
        <v>278800.8</v>
      </c>
      <c r="AF18" s="43">
        <f>AE18*'KiGa - PS'!L19</f>
        <v>233872.45806207601</v>
      </c>
      <c r="AG18" s="42">
        <f t="shared" si="11"/>
        <v>0.11381310781964836</v>
      </c>
      <c r="AH18" s="42">
        <f>AE18/'Kennzahlen Revision'!F18</f>
        <v>9.3445748111675664E-2</v>
      </c>
      <c r="AI18" s="97">
        <f t="shared" si="13"/>
        <v>0.10305412597866548</v>
      </c>
      <c r="AJ18" s="365">
        <v>80614</v>
      </c>
      <c r="AK18" s="43">
        <f>AJ18*'KiGa - PS'!$L19</f>
        <v>67623.171577040659</v>
      </c>
      <c r="AL18" s="365">
        <v>0</v>
      </c>
      <c r="AM18" s="43">
        <f>AL18*'KiGa - PS'!$L19</f>
        <v>0</v>
      </c>
      <c r="AN18" s="97">
        <f>(AK18+AM18)/Funktional!E18</f>
        <v>3.5446833289736024E-2</v>
      </c>
    </row>
    <row r="19" spans="1:40" x14ac:dyDescent="0.25">
      <c r="A19" t="str">
        <f>Funktional!A19</f>
        <v>Berlingen</v>
      </c>
      <c r="B19" t="str">
        <f>Funktional!B19</f>
        <v>PSG</v>
      </c>
      <c r="C19" s="43">
        <f>Funktional!D19</f>
        <v>73</v>
      </c>
      <c r="D19" s="43">
        <f>Funktional!J19-'KiGa - PS'!H20</f>
        <v>453087.19999999995</v>
      </c>
      <c r="E19" s="43">
        <f>'KiGa - PS'!F20+'KiGa - PS'!K20*Artengliederung!D19</f>
        <v>930677.21432695305</v>
      </c>
      <c r="F19" s="365">
        <v>537487.5</v>
      </c>
      <c r="G19" s="43">
        <f>F19*'KiGa - PS'!L20</f>
        <v>440502.09139914607</v>
      </c>
      <c r="H19" s="42">
        <f t="shared" si="0"/>
        <v>0.47331350184360993</v>
      </c>
      <c r="I19" s="85">
        <f t="shared" si="1"/>
        <v>6034.2752246458367</v>
      </c>
      <c r="J19" s="365">
        <v>237210.45</v>
      </c>
      <c r="K19" s="43">
        <f>J19*'KiGa - PS'!L20</f>
        <v>194407.68264700589</v>
      </c>
      <c r="L19" s="42">
        <f t="shared" si="2"/>
        <v>0.20888840905769632</v>
      </c>
      <c r="M19" s="43">
        <f t="shared" si="3"/>
        <v>2663.1189403699436</v>
      </c>
      <c r="N19" s="365">
        <v>27327.85</v>
      </c>
      <c r="O19" s="43">
        <f>N19*'KiGa - PS'!L20</f>
        <v>22396.75355881235</v>
      </c>
      <c r="P19" s="42">
        <f t="shared" si="4"/>
        <v>2.4065006872451722E-2</v>
      </c>
      <c r="Q19" s="43">
        <f>O19/Funktional!C19</f>
        <v>7465.5845196041164</v>
      </c>
      <c r="R19" s="85">
        <f t="shared" si="5"/>
        <v>306.80484327140204</v>
      </c>
      <c r="S19" s="365">
        <v>8280.65</v>
      </c>
      <c r="T19" s="365">
        <v>53537</v>
      </c>
      <c r="U19" s="43">
        <f>T19*'KiGa - PS'!L20</f>
        <v>43876.667768526866</v>
      </c>
      <c r="V19" s="42">
        <f t="shared" si="6"/>
        <v>4.7144882342754664E-2</v>
      </c>
      <c r="W19" s="43">
        <f t="shared" si="7"/>
        <v>601.05024340447767</v>
      </c>
      <c r="X19" s="365">
        <v>51309.599999999999</v>
      </c>
      <c r="Y19" s="43">
        <f>X19*'KiGa - PS'!L20</f>
        <v>42051.184648672992</v>
      </c>
      <c r="Z19" s="91">
        <f t="shared" si="8"/>
        <v>4.5183425575841089E-2</v>
      </c>
      <c r="AA19" s="365">
        <v>204583.65</v>
      </c>
      <c r="AB19" s="43">
        <f>AA19*'KiGa - PS'!L20</f>
        <v>167668.13310276222</v>
      </c>
      <c r="AC19" s="43">
        <f t="shared" si="9"/>
        <v>2296.8237411337291</v>
      </c>
      <c r="AD19" s="42">
        <f t="shared" si="10"/>
        <v>0.18015712700564657</v>
      </c>
      <c r="AE19" s="365">
        <v>4135</v>
      </c>
      <c r="AF19" s="43">
        <f>AE19*'KiGa - PS'!L20</f>
        <v>3388.8716443367875</v>
      </c>
      <c r="AG19" s="42">
        <f t="shared" si="11"/>
        <v>3.6412964582866157E-3</v>
      </c>
      <c r="AH19" s="42">
        <f>AE19/'Kennzahlen Revision'!F19</f>
        <v>0.24996977390883812</v>
      </c>
      <c r="AI19" s="97">
        <f t="shared" si="13"/>
        <v>9.0496079750292557E-2</v>
      </c>
      <c r="AJ19" s="365">
        <v>19379</v>
      </c>
      <c r="AK19" s="43">
        <f>AJ19*'KiGa - PS'!$L20</f>
        <v>15882.211268585877</v>
      </c>
      <c r="AL19" s="365">
        <v>0</v>
      </c>
      <c r="AM19" s="43">
        <f>AL19*'KiGa - PS'!$L20</f>
        <v>0</v>
      </c>
      <c r="AN19" s="97">
        <f>(AK19+AM19)/Funktional!E19</f>
        <v>1.8266347457241299E-2</v>
      </c>
    </row>
    <row r="20" spans="1:40" x14ac:dyDescent="0.25">
      <c r="A20" t="str">
        <f>Funktional!A20</f>
        <v>Bettwiesen</v>
      </c>
      <c r="B20" t="str">
        <f>Funktional!B20</f>
        <v>PSG</v>
      </c>
      <c r="C20" s="43">
        <f>Funktional!D20</f>
        <v>115</v>
      </c>
      <c r="D20" s="43">
        <f>Funktional!J20-'KiGa - PS'!H21</f>
        <v>729999.95</v>
      </c>
      <c r="E20" s="43">
        <f>'KiGa - PS'!F21+'KiGa - PS'!K21*Artengliederung!D20</f>
        <v>1303001.5987246172</v>
      </c>
      <c r="F20" s="365">
        <v>939506.85</v>
      </c>
      <c r="G20" s="43">
        <f>F20*'KiGa - PS'!L21</f>
        <v>772153.89740081038</v>
      </c>
      <c r="H20" s="42">
        <f t="shared" si="0"/>
        <v>0.59259627782237378</v>
      </c>
      <c r="I20" s="85">
        <f t="shared" si="1"/>
        <v>6714.3817165287855</v>
      </c>
      <c r="J20" s="365">
        <v>144486.54999999999</v>
      </c>
      <c r="K20" s="43">
        <f>J20*'KiGa - PS'!L21</f>
        <v>118749.37655270641</v>
      </c>
      <c r="L20" s="42">
        <f t="shared" si="2"/>
        <v>9.113525007869426E-2</v>
      </c>
      <c r="M20" s="43">
        <f t="shared" si="3"/>
        <v>1032.6032743713602</v>
      </c>
      <c r="N20" s="365">
        <v>45472.3</v>
      </c>
      <c r="O20" s="43">
        <f>N20*'KiGa - PS'!L21</f>
        <v>37372.387086670926</v>
      </c>
      <c r="P20" s="42">
        <f t="shared" si="4"/>
        <v>2.8681766103166074E-2</v>
      </c>
      <c r="Q20" s="43">
        <f>O20/Funktional!C20</f>
        <v>6228.7311811118207</v>
      </c>
      <c r="R20" s="85">
        <f t="shared" si="5"/>
        <v>324.97727901452981</v>
      </c>
      <c r="S20" s="365">
        <v>15958.55</v>
      </c>
      <c r="T20" s="365">
        <v>223919.7</v>
      </c>
      <c r="U20" s="43">
        <f>T20*'KiGa - PS'!L21</f>
        <v>184033.21812908576</v>
      </c>
      <c r="V20" s="42">
        <f t="shared" si="6"/>
        <v>0.14123790662207794</v>
      </c>
      <c r="W20" s="43">
        <f t="shared" si="7"/>
        <v>1600.288853296398</v>
      </c>
      <c r="X20" s="365">
        <v>223237.5</v>
      </c>
      <c r="Y20" s="43">
        <f>X20*'KiGa - PS'!L21</f>
        <v>183472.53739662826</v>
      </c>
      <c r="Z20" s="91">
        <f t="shared" si="8"/>
        <v>0.14080760727861874</v>
      </c>
      <c r="AA20" s="365">
        <v>233068.65</v>
      </c>
      <c r="AB20" s="43">
        <f>AA20*'KiGa - PS'!L21</f>
        <v>191552.47932406815</v>
      </c>
      <c r="AC20" s="43">
        <f t="shared" si="9"/>
        <v>1665.6737332527664</v>
      </c>
      <c r="AD20" s="42">
        <f t="shared" si="10"/>
        <v>0.14700862954547442</v>
      </c>
      <c r="AE20" s="365">
        <v>199964</v>
      </c>
      <c r="AF20" s="43">
        <f>AE20*'KiGa - PS'!L21</f>
        <v>164344.71120658211</v>
      </c>
      <c r="AG20" s="42">
        <f t="shared" si="11"/>
        <v>0.12612778938064492</v>
      </c>
      <c r="AH20" s="42">
        <f>AE20/'Kennzahlen Revision'!F20</f>
        <v>3.9185438123372524E-2</v>
      </c>
      <c r="AI20" s="97">
        <f t="shared" si="13"/>
        <v>2.8021935931379582E-2</v>
      </c>
      <c r="AJ20" s="365">
        <v>395694.75</v>
      </c>
      <c r="AK20" s="43">
        <f>AJ20*'KiGa - PS'!$L21</f>
        <v>325210.2349158384</v>
      </c>
      <c r="AL20" s="365">
        <v>324826</v>
      </c>
      <c r="AM20" s="43">
        <f>AL20*'KiGa - PS'!$L21</f>
        <v>266965.22955326579</v>
      </c>
      <c r="AN20" s="97">
        <f>(AK20+AM20)/Funktional!E20</f>
        <v>0.46358473089166652</v>
      </c>
    </row>
    <row r="21" spans="1:40" x14ac:dyDescent="0.25">
      <c r="A21" t="str">
        <f>Funktional!A21</f>
        <v>Bichelsee</v>
      </c>
      <c r="B21" t="str">
        <f>Funktional!B21</f>
        <v>PSG</v>
      </c>
      <c r="C21" s="43">
        <f>Funktional!D21</f>
        <v>101</v>
      </c>
      <c r="D21" s="43">
        <f>Funktional!J21-'KiGa - PS'!H22</f>
        <v>596394.55000000005</v>
      </c>
      <c r="E21" s="43">
        <f>'KiGa - PS'!F22+'KiGa - PS'!K22*Artengliederung!D21</f>
        <v>1123070.370389659</v>
      </c>
      <c r="F21" s="365">
        <v>843255.35</v>
      </c>
      <c r="G21" s="43">
        <f>F21*'KiGa - PS'!L22</f>
        <v>657222.62685587734</v>
      </c>
      <c r="H21" s="42">
        <f t="shared" si="0"/>
        <v>0.58520164380068929</v>
      </c>
      <c r="I21" s="85">
        <f t="shared" si="1"/>
        <v>6507.1547213453205</v>
      </c>
      <c r="J21" s="365">
        <v>253903.15</v>
      </c>
      <c r="K21" s="43">
        <f>J21*'KiGa - PS'!L22</f>
        <v>197888.9255905484</v>
      </c>
      <c r="L21" s="42">
        <f t="shared" si="2"/>
        <v>0.17620349606578004</v>
      </c>
      <c r="M21" s="43">
        <f t="shared" si="3"/>
        <v>1959.2962929757268</v>
      </c>
      <c r="N21" s="365">
        <v>42092.45</v>
      </c>
      <c r="O21" s="43">
        <f>N21*'KiGa - PS'!L22</f>
        <v>32806.326766619</v>
      </c>
      <c r="P21" s="42">
        <f t="shared" si="4"/>
        <v>2.9211283310089074E-2</v>
      </c>
      <c r="Q21" s="43">
        <f>O21/Funktional!C21</f>
        <v>6561.2653533237999</v>
      </c>
      <c r="R21" s="85">
        <f t="shared" si="5"/>
        <v>324.81511650117824</v>
      </c>
      <c r="S21" s="365">
        <v>38861.35</v>
      </c>
      <c r="T21" s="365">
        <v>114514.2</v>
      </c>
      <c r="U21" s="43">
        <f>T21*'KiGa - PS'!L22</f>
        <v>89250.928957995129</v>
      </c>
      <c r="V21" s="42">
        <f t="shared" si="6"/>
        <v>7.9470468913741127E-2</v>
      </c>
      <c r="W21" s="43">
        <f t="shared" si="7"/>
        <v>883.67256394054584</v>
      </c>
      <c r="X21" s="365">
        <v>112753.65</v>
      </c>
      <c r="Y21" s="43">
        <f>X21*'KiGa - PS'!L22</f>
        <v>87878.778403941571</v>
      </c>
      <c r="Z21" s="91">
        <f t="shared" si="8"/>
        <v>7.8248683894537499E-2</v>
      </c>
      <c r="AA21" s="365">
        <v>94657.95</v>
      </c>
      <c r="AB21" s="43">
        <f>AA21*'KiGa - PS'!L22</f>
        <v>73775.217141275527</v>
      </c>
      <c r="AC21" s="43">
        <f t="shared" si="9"/>
        <v>730.44769446807447</v>
      </c>
      <c r="AD21" s="42">
        <f t="shared" si="10"/>
        <v>6.5690645115745128E-2</v>
      </c>
      <c r="AE21" s="365">
        <v>85345</v>
      </c>
      <c r="AF21" s="43">
        <f>AE21*'KiGa - PS'!L22</f>
        <v>66516.820900116261</v>
      </c>
      <c r="AG21" s="42">
        <f t="shared" si="11"/>
        <v>5.922765184966787E-2</v>
      </c>
      <c r="AH21" s="42">
        <f>AE21/'Kennzahlen Revision'!F21</f>
        <v>5.4123013756104808E-2</v>
      </c>
      <c r="AI21" s="97">
        <f t="shared" si="13"/>
        <v>9.3433746104044424E-2</v>
      </c>
      <c r="AJ21" s="365">
        <v>0</v>
      </c>
      <c r="AK21" s="43">
        <f>AJ21*'KiGa - PS'!$L22</f>
        <v>0</v>
      </c>
      <c r="AL21" s="365">
        <v>241114</v>
      </c>
      <c r="AM21" s="43">
        <f>AL21*'KiGa - PS'!$L22</f>
        <v>187921.22273725038</v>
      </c>
      <c r="AN21" s="97">
        <f>(AK21+AM21)/Funktional!E21</f>
        <v>0.18164126975469536</v>
      </c>
    </row>
    <row r="22" spans="1:40" x14ac:dyDescent="0.25">
      <c r="A22" t="str">
        <f>Funktional!A22</f>
        <v>Bischofszell</v>
      </c>
      <c r="B22" t="str">
        <f>Funktional!B22</f>
        <v>PSG</v>
      </c>
      <c r="C22" s="43">
        <f>Funktional!D22</f>
        <v>386</v>
      </c>
      <c r="D22" s="43">
        <f>Funktional!J22-'KiGa - PS'!H23</f>
        <v>2532473</v>
      </c>
      <c r="E22" s="43">
        <f>'KiGa - PS'!F23+'KiGa - PS'!K23*Artengliederung!D22</f>
        <v>5236933.371446453</v>
      </c>
      <c r="F22" s="365">
        <v>3600281.95</v>
      </c>
      <c r="G22" s="43">
        <f>F22*'KiGa - PS'!L23</f>
        <v>3197514.748872919</v>
      </c>
      <c r="H22" s="42">
        <f t="shared" si="0"/>
        <v>0.61057006497483046</v>
      </c>
      <c r="I22" s="85">
        <f t="shared" si="1"/>
        <v>8283.7169659920182</v>
      </c>
      <c r="J22" s="365">
        <v>402834.75</v>
      </c>
      <c r="K22" s="43">
        <f>J22*'KiGa - PS'!L23</f>
        <v>357769.21707021724</v>
      </c>
      <c r="L22" s="42">
        <f t="shared" si="2"/>
        <v>6.8316549341814622E-2</v>
      </c>
      <c r="M22" s="43">
        <f t="shared" si="3"/>
        <v>926.86325665859385</v>
      </c>
      <c r="N22" s="365">
        <v>131383.5</v>
      </c>
      <c r="O22" s="43">
        <f>N22*'KiGa - PS'!L23</f>
        <v>116685.49431483973</v>
      </c>
      <c r="P22" s="42">
        <f t="shared" si="4"/>
        <v>2.2281263869242417E-2</v>
      </c>
      <c r="Q22" s="43">
        <f>O22/Funktional!C22</f>
        <v>5834.2747157419863</v>
      </c>
      <c r="R22" s="85">
        <f t="shared" si="5"/>
        <v>302.29402672238274</v>
      </c>
      <c r="S22" s="365">
        <v>43355.95</v>
      </c>
      <c r="T22" s="365">
        <v>614477.85</v>
      </c>
      <c r="U22" s="43">
        <f>T22*'KiGa - PS'!L23</f>
        <v>545735.5883559956</v>
      </c>
      <c r="V22" s="42">
        <f t="shared" si="6"/>
        <v>0.10420899974239355</v>
      </c>
      <c r="W22" s="43">
        <f t="shared" si="7"/>
        <v>1413.8227677616467</v>
      </c>
      <c r="X22" s="365">
        <v>609935.65</v>
      </c>
      <c r="Y22" s="43">
        <f>X22*'KiGa - PS'!L23</f>
        <v>541701.52888675581</v>
      </c>
      <c r="Z22" s="91">
        <f t="shared" si="8"/>
        <v>0.10343869025340237</v>
      </c>
      <c r="AA22" s="365">
        <v>831973.3</v>
      </c>
      <c r="AB22" s="43">
        <f>AA22*'KiGa - PS'!L23</f>
        <v>738899.6012988576</v>
      </c>
      <c r="AC22" s="43">
        <f t="shared" si="9"/>
        <v>1914.2476717586985</v>
      </c>
      <c r="AD22" s="42">
        <f t="shared" si="10"/>
        <v>0.14109394733329819</v>
      </c>
      <c r="AE22" s="365">
        <v>644840</v>
      </c>
      <c r="AF22" s="43">
        <f>AE22*'KiGa - PS'!L23</f>
        <v>572701.09377495083</v>
      </c>
      <c r="AG22" s="42">
        <f t="shared" si="11"/>
        <v>0.1093581019948645</v>
      </c>
      <c r="AH22" s="42">
        <f>AE22/'Kennzahlen Revision'!F22</f>
        <v>6.1820986808058705E-2</v>
      </c>
      <c r="AI22" s="97">
        <f t="shared" si="13"/>
        <v>7.581043860766315E-2</v>
      </c>
      <c r="AJ22" s="365">
        <v>260776.25</v>
      </c>
      <c r="AK22" s="43">
        <f>AJ22*'KiGa - PS'!$L23</f>
        <v>231602.94585560763</v>
      </c>
      <c r="AL22" s="365">
        <v>0</v>
      </c>
      <c r="AM22" s="43">
        <f>AL22*'KiGa - PS'!$L23</f>
        <v>0</v>
      </c>
      <c r="AN22" s="97">
        <f>(AK22+AM22)/Funktional!E22</f>
        <v>4.7101620145275858E-2</v>
      </c>
    </row>
    <row r="23" spans="1:40" x14ac:dyDescent="0.25">
      <c r="A23" t="str">
        <f>Funktional!A23</f>
        <v>Blidegg</v>
      </c>
      <c r="B23" t="str">
        <f>Funktional!B23</f>
        <v>PSG</v>
      </c>
      <c r="C23" s="43">
        <f>Funktional!D23</f>
        <v>28</v>
      </c>
      <c r="D23" s="43">
        <f>Funktional!J23-'KiGa - PS'!H24</f>
        <v>238552.45</v>
      </c>
      <c r="E23" s="43">
        <f>'KiGa - PS'!F24+'KiGa - PS'!K24*Artengliederung!D23</f>
        <v>476973.35077357013</v>
      </c>
      <c r="F23" s="365">
        <v>221404.7</v>
      </c>
      <c r="G23" s="43">
        <f>F23*'KiGa - PS'!L24</f>
        <v>221404.7</v>
      </c>
      <c r="H23" s="42">
        <f t="shared" si="0"/>
        <v>0.46418673001524935</v>
      </c>
      <c r="I23" s="85">
        <f t="shared" si="1"/>
        <v>7907.3107142857143</v>
      </c>
      <c r="J23" s="365">
        <v>161789.9</v>
      </c>
      <c r="K23" s="43">
        <f>J23*'KiGa - PS'!L24</f>
        <v>161789.9</v>
      </c>
      <c r="L23" s="42">
        <f t="shared" si="2"/>
        <v>0.33920113091770038</v>
      </c>
      <c r="M23" s="43">
        <f t="shared" si="3"/>
        <v>5778.2107142857139</v>
      </c>
      <c r="N23" s="365">
        <v>12672.9</v>
      </c>
      <c r="O23" s="43">
        <f>N23*'KiGa - PS'!L24</f>
        <v>12672.9</v>
      </c>
      <c r="P23" s="42">
        <f t="shared" si="4"/>
        <v>2.6569408918646498E-2</v>
      </c>
      <c r="Q23" s="43">
        <f>O23/Funktional!C23</f>
        <v>6336.45</v>
      </c>
      <c r="R23" s="85">
        <f t="shared" si="5"/>
        <v>452.6035714285714</v>
      </c>
      <c r="S23" s="365">
        <v>15142.1</v>
      </c>
      <c r="T23" s="365">
        <v>20223.150000000001</v>
      </c>
      <c r="U23" s="43">
        <f>T23*'KiGa - PS'!L24</f>
        <v>20223.150000000001</v>
      </c>
      <c r="V23" s="42">
        <f t="shared" si="6"/>
        <v>4.2398909639713565E-2</v>
      </c>
      <c r="W23" s="43">
        <f t="shared" si="7"/>
        <v>722.25535714285718</v>
      </c>
      <c r="X23" s="365">
        <v>13671.45</v>
      </c>
      <c r="Y23" s="43">
        <f>X23*'KiGa - PS'!L24</f>
        <v>13671.45</v>
      </c>
      <c r="Z23" s="91">
        <f t="shared" si="8"/>
        <v>2.8662922106292146E-2</v>
      </c>
      <c r="AA23" s="365">
        <v>21087.9</v>
      </c>
      <c r="AB23" s="43">
        <f>AA23*'KiGa - PS'!L24</f>
        <v>21087.9</v>
      </c>
      <c r="AC23" s="43">
        <f t="shared" si="9"/>
        <v>753.13928571428573</v>
      </c>
      <c r="AD23" s="42">
        <f t="shared" si="10"/>
        <v>4.4211904010567869E-2</v>
      </c>
      <c r="AE23" s="365">
        <v>21194.85</v>
      </c>
      <c r="AF23" s="43">
        <f>AE23*'KiGa - PS'!L24</f>
        <v>21194.85</v>
      </c>
      <c r="AG23" s="42">
        <f t="shared" si="11"/>
        <v>4.4436130374213852E-2</v>
      </c>
      <c r="AH23" s="42">
        <f>AE23/'Kennzahlen Revision'!F23</f>
        <v>8.9618437131344042E-2</v>
      </c>
      <c r="AI23" s="97">
        <f t="shared" si="13"/>
        <v>0.11000132541676882</v>
      </c>
      <c r="AJ23" s="365">
        <v>119618</v>
      </c>
      <c r="AK23" s="43">
        <f>AJ23*'KiGa - PS'!$L24</f>
        <v>119618</v>
      </c>
      <c r="AL23" s="365">
        <v>0</v>
      </c>
      <c r="AM23" s="43">
        <f>AL23*'KiGa - PS'!$L24</f>
        <v>0</v>
      </c>
      <c r="AN23" s="97">
        <f>(AK23+AM23)/Funktional!E23</f>
        <v>0.27904992200725209</v>
      </c>
    </row>
    <row r="24" spans="1:40" x14ac:dyDescent="0.25">
      <c r="A24" t="str">
        <f>Funktional!A24</f>
        <v>Bottighofen</v>
      </c>
      <c r="B24" t="str">
        <f>Funktional!B24</f>
        <v>PSG</v>
      </c>
      <c r="C24" s="43">
        <f>Funktional!D24</f>
        <v>101</v>
      </c>
      <c r="D24" s="43">
        <f>Funktional!J24-'KiGa - PS'!H25</f>
        <v>8515085.5999999996</v>
      </c>
      <c r="E24" s="43">
        <f>'KiGa - PS'!F25+'KiGa - PS'!K25*Artengliederung!D24</f>
        <v>7571086.2637624312</v>
      </c>
      <c r="F24" s="365">
        <v>936272.7</v>
      </c>
      <c r="G24" s="43">
        <f>F24*'KiGa - PS'!L25</f>
        <v>752787.15397695231</v>
      </c>
      <c r="H24" s="42">
        <f t="shared" si="0"/>
        <v>9.9429213688929319E-2</v>
      </c>
      <c r="I24" s="85">
        <f t="shared" si="1"/>
        <v>7453.3381581876465</v>
      </c>
      <c r="J24" s="365">
        <v>358895.05</v>
      </c>
      <c r="K24" s="43">
        <f>J24*'KiGa - PS'!L25</f>
        <v>288560.78284234495</v>
      </c>
      <c r="L24" s="42">
        <f t="shared" si="2"/>
        <v>3.8113524636944958E-2</v>
      </c>
      <c r="M24" s="43">
        <f t="shared" si="3"/>
        <v>2857.0374538846036</v>
      </c>
      <c r="N24" s="365">
        <v>53351.9</v>
      </c>
      <c r="O24" s="43">
        <f>N24*'KiGa - PS'!L25</f>
        <v>42896.289681695263</v>
      </c>
      <c r="P24" s="42">
        <f t="shared" si="4"/>
        <v>5.6658038473303652E-3</v>
      </c>
      <c r="Q24" s="43">
        <f>O24/Funktional!C24</f>
        <v>10724.072420423816</v>
      </c>
      <c r="R24" s="85">
        <f t="shared" si="5"/>
        <v>424.71573942272539</v>
      </c>
      <c r="S24" s="365">
        <v>47293.95</v>
      </c>
      <c r="T24" s="365">
        <v>528974.80000000005</v>
      </c>
      <c r="U24" s="43">
        <f>T24*'KiGa - PS'!L25</f>
        <v>425309.2440028718</v>
      </c>
      <c r="V24" s="42">
        <f t="shared" si="6"/>
        <v>5.6175458736817445E-2</v>
      </c>
      <c r="W24" s="43">
        <f t="shared" si="7"/>
        <v>4210.9826138898197</v>
      </c>
      <c r="X24" s="365">
        <v>83975</v>
      </c>
      <c r="Y24" s="43">
        <f>X24*'KiGa - PS'!L25</f>
        <v>67518.043893851194</v>
      </c>
      <c r="Z24" s="91">
        <f t="shared" si="8"/>
        <v>8.9178806767812834E-3</v>
      </c>
      <c r="AA24" s="365">
        <v>315000</v>
      </c>
      <c r="AB24" s="43">
        <f>AA24*'KiGa - PS'!L25</f>
        <v>253268.041995393</v>
      </c>
      <c r="AC24" s="43">
        <f t="shared" si="9"/>
        <v>2507.60437619201</v>
      </c>
      <c r="AD24" s="42">
        <f t="shared" si="10"/>
        <v>3.34520084928384E-2</v>
      </c>
      <c r="AE24" s="365">
        <v>315000</v>
      </c>
      <c r="AF24" s="43">
        <f>AE24*'KiGa - PS'!L25</f>
        <v>253268.041995393</v>
      </c>
      <c r="AG24" s="42">
        <f t="shared" si="11"/>
        <v>3.34520084928384E-2</v>
      </c>
      <c r="AH24" s="42">
        <f>AE24/'Kennzahlen Revision'!F24</f>
        <v>0.14139438111297847</v>
      </c>
      <c r="AI24" s="97">
        <f t="shared" ref="AI24:AI39" si="14">1-H24-L24-V24-AD24</f>
        <v>0.77282979444446998</v>
      </c>
      <c r="AJ24" s="365">
        <v>20792.099999999999</v>
      </c>
      <c r="AK24" s="43">
        <f>AJ24*'KiGa - PS'!$L25</f>
        <v>16717.37922530924</v>
      </c>
      <c r="AL24" s="365">
        <v>0</v>
      </c>
      <c r="AM24" s="43">
        <f>AL24*'KiGa - PS'!$L25</f>
        <v>0</v>
      </c>
      <c r="AN24" s="97">
        <f>(AK24+AM24)/Funktional!E24</f>
        <v>2.2269402024125968E-3</v>
      </c>
    </row>
    <row r="25" spans="1:40" x14ac:dyDescent="0.25">
      <c r="A25" t="str">
        <f>Funktional!A25</f>
        <v>Braunau</v>
      </c>
      <c r="B25" t="str">
        <f>Funktional!B25</f>
        <v>PSG</v>
      </c>
      <c r="C25" s="43">
        <f>Funktional!D25</f>
        <v>63</v>
      </c>
      <c r="D25" s="43">
        <f>Funktional!J25-'KiGa - PS'!H26</f>
        <v>287123.44999999995</v>
      </c>
      <c r="E25" s="43">
        <f>'KiGa - PS'!F26+'KiGa - PS'!K26*Artengliederung!D25</f>
        <v>713864.48515707091</v>
      </c>
      <c r="F25" s="365">
        <v>579453.75</v>
      </c>
      <c r="G25" s="43">
        <f>F25*'KiGa - PS'!L26</f>
        <v>480626.37825631839</v>
      </c>
      <c r="H25" s="42">
        <f t="shared" ref="H25:H40" si="15">G25/$E25</f>
        <v>0.67327397321154958</v>
      </c>
      <c r="I25" s="85">
        <f t="shared" ref="I25:I40" si="16">G25/C25</f>
        <v>7628.990131052673</v>
      </c>
      <c r="J25" s="365">
        <v>90176</v>
      </c>
      <c r="K25" s="43">
        <f>J25*'KiGa - PS'!L26</f>
        <v>74796.244369186956</v>
      </c>
      <c r="L25" s="42">
        <f t="shared" ref="L25:L40" si="17">K25/$E25</f>
        <v>0.10477653101446784</v>
      </c>
      <c r="M25" s="43">
        <f t="shared" ref="M25:M40" si="18">K25/C25</f>
        <v>1187.2419741140786</v>
      </c>
      <c r="N25" s="365">
        <v>18400.849999999999</v>
      </c>
      <c r="O25" s="43">
        <f>N25*'KiGa - PS'!L26</f>
        <v>15262.536297914674</v>
      </c>
      <c r="P25" s="42">
        <f t="shared" ref="P25:P40" si="19">O25/$E25</f>
        <v>2.1380159141207975E-2</v>
      </c>
      <c r="Q25" s="43">
        <f>O25/Funktional!C25</f>
        <v>5087.5120993048913</v>
      </c>
      <c r="R25" s="85">
        <f t="shared" ref="R25:R40" si="20">O25/C25</f>
        <v>242.26248091928053</v>
      </c>
      <c r="S25" s="365">
        <v>15090</v>
      </c>
      <c r="T25" s="365">
        <v>48084.1</v>
      </c>
      <c r="U25" s="43">
        <f>T25*'KiGa - PS'!L26</f>
        <v>39883.229394433358</v>
      </c>
      <c r="V25" s="42">
        <f t="shared" ref="V25:V40" si="21">U25/$E25</f>
        <v>5.5869468538777202E-2</v>
      </c>
      <c r="W25" s="43">
        <f t="shared" ref="W25:W40" si="22">U25/C25</f>
        <v>633.06713324497389</v>
      </c>
      <c r="X25" s="365">
        <v>43588.05</v>
      </c>
      <c r="Y25" s="43">
        <f>X25*'KiGa - PS'!L26</f>
        <v>36153.992629705681</v>
      </c>
      <c r="Z25" s="91">
        <f t="shared" ref="Z25:Z40" si="23">Y25/$E25</f>
        <v>5.0645456359620908E-2</v>
      </c>
      <c r="AA25" s="365">
        <v>110177.95</v>
      </c>
      <c r="AB25" s="43">
        <f>AA25*'KiGa - PS'!L26</f>
        <v>91386.808821594008</v>
      </c>
      <c r="AC25" s="43">
        <f t="shared" ref="AC25:AC40" si="24">AB25/C25</f>
        <v>1450.5842670094287</v>
      </c>
      <c r="AD25" s="42">
        <f t="shared" ref="AD25:AD40" si="25">AB25/$E25</f>
        <v>0.12801702665105444</v>
      </c>
      <c r="AE25" s="365">
        <v>66423</v>
      </c>
      <c r="AF25" s="43">
        <f>AE25*'KiGa - PS'!L26</f>
        <v>55094.381428922388</v>
      </c>
      <c r="AG25" s="42">
        <f t="shared" ref="AG25:AG40" si="26">AF25/$E25</f>
        <v>7.7177647262841528E-2</v>
      </c>
      <c r="AH25" s="42">
        <f>AE25/'Kennzahlen Revision'!F25</f>
        <v>5.9705171167318209E-2</v>
      </c>
      <c r="AI25" s="97">
        <f t="shared" si="14"/>
        <v>3.8063000584150963E-2</v>
      </c>
      <c r="AJ25" s="365">
        <v>251281.25</v>
      </c>
      <c r="AK25" s="43">
        <f>AJ25*'KiGa - PS'!$L26</f>
        <v>208424.5672950093</v>
      </c>
      <c r="AL25" s="365">
        <v>69690</v>
      </c>
      <c r="AM25" s="43">
        <f>AL25*'KiGa - PS'!$L26</f>
        <v>57804.18592628459</v>
      </c>
      <c r="AN25" s="97">
        <f>(AK25+AM25)/Funktional!E25</f>
        <v>0.38289676011695506</v>
      </c>
    </row>
    <row r="26" spans="1:40" x14ac:dyDescent="0.25">
      <c r="A26" t="str">
        <f>Funktional!A26</f>
        <v>Buch bei Frauenfeld</v>
      </c>
      <c r="B26" t="str">
        <f>Funktional!B26</f>
        <v>PSG</v>
      </c>
      <c r="C26" s="43">
        <f>Funktional!D26</f>
        <v>43</v>
      </c>
      <c r="D26" s="43">
        <f>Funktional!J26-'KiGa - PS'!H27</f>
        <v>156864.29999999999</v>
      </c>
      <c r="E26" s="43">
        <f>'KiGa - PS'!F27+'KiGa - PS'!K27*Artengliederung!D26</f>
        <v>414689.55577300361</v>
      </c>
      <c r="F26" s="365">
        <v>244449.85</v>
      </c>
      <c r="G26" s="43">
        <f>F26*'KiGa - PS'!L27</f>
        <v>244449.85</v>
      </c>
      <c r="H26" s="42">
        <f t="shared" si="15"/>
        <v>0.5894767461513043</v>
      </c>
      <c r="I26" s="85">
        <f t="shared" si="16"/>
        <v>5684.8802325581401</v>
      </c>
      <c r="J26" s="365">
        <v>127957.8</v>
      </c>
      <c r="K26" s="43">
        <f>J26*'KiGa - PS'!L27</f>
        <v>127957.8</v>
      </c>
      <c r="L26" s="42">
        <f t="shared" si="17"/>
        <v>0.30856287123383125</v>
      </c>
      <c r="M26" s="43">
        <f t="shared" si="18"/>
        <v>2975.7627906976745</v>
      </c>
      <c r="N26" s="365">
        <v>14062.35</v>
      </c>
      <c r="O26" s="43">
        <f>N26*'KiGa - PS'!L27</f>
        <v>14062.35</v>
      </c>
      <c r="P26" s="42">
        <f t="shared" si="19"/>
        <v>3.3910547792280477E-2</v>
      </c>
      <c r="Q26" s="43">
        <f>O26/Funktional!C26</f>
        <v>7031.1750000000002</v>
      </c>
      <c r="R26" s="85">
        <f t="shared" si="20"/>
        <v>327.03139534883724</v>
      </c>
      <c r="S26" s="365">
        <v>21216.25</v>
      </c>
      <c r="T26" s="365">
        <v>13406.25</v>
      </c>
      <c r="U26" s="43">
        <f>T26*'KiGa - PS'!L27</f>
        <v>13406.25</v>
      </c>
      <c r="V26" s="42">
        <f t="shared" si="21"/>
        <v>3.2328400398244972E-2</v>
      </c>
      <c r="W26" s="43">
        <f t="shared" si="22"/>
        <v>311.77325581395348</v>
      </c>
      <c r="X26" s="365">
        <v>13406.25</v>
      </c>
      <c r="Y26" s="43">
        <f>X26*'KiGa - PS'!L27</f>
        <v>13406.25</v>
      </c>
      <c r="Z26" s="91">
        <f t="shared" si="23"/>
        <v>3.2328400398244972E-2</v>
      </c>
      <c r="AA26" s="365">
        <v>34544.25</v>
      </c>
      <c r="AB26" s="43">
        <f>AA26*'KiGa - PS'!L27</f>
        <v>34544.25</v>
      </c>
      <c r="AC26" s="43">
        <f t="shared" si="24"/>
        <v>803.35465116279067</v>
      </c>
      <c r="AD26" s="42">
        <f t="shared" si="25"/>
        <v>8.3301470989805046E-2</v>
      </c>
      <c r="AE26" s="365">
        <v>13052</v>
      </c>
      <c r="AF26" s="43">
        <f>AE26*'KiGa - PS'!L27</f>
        <v>13052</v>
      </c>
      <c r="AG26" s="42">
        <f t="shared" si="26"/>
        <v>3.147414690893377E-2</v>
      </c>
      <c r="AH26" s="42">
        <f>AE26/'Kennzahlen Revision'!F26</f>
        <v>6.3828954832651941E-2</v>
      </c>
      <c r="AI26" s="97">
        <f t="shared" si="14"/>
        <v>-1.3669488773185565E-2</v>
      </c>
      <c r="AJ26" s="365">
        <v>88232</v>
      </c>
      <c r="AK26" s="43">
        <f>AJ26*'KiGa - PS'!$L27</f>
        <v>88232</v>
      </c>
      <c r="AL26" s="365">
        <v>82483</v>
      </c>
      <c r="AM26" s="43">
        <f>AL26*'KiGa - PS'!$L27</f>
        <v>82483</v>
      </c>
      <c r="AN26" s="97">
        <f>(AK26+AM26)/Funktional!E26</f>
        <v>0.40104954394313352</v>
      </c>
    </row>
    <row r="27" spans="1:40" x14ac:dyDescent="0.25">
      <c r="A27" t="str">
        <f>Funktional!A27</f>
        <v>Buhwil-Neukirch an der Thur</v>
      </c>
      <c r="B27" t="str">
        <f>Funktional!B27</f>
        <v>PSG</v>
      </c>
      <c r="C27" s="43">
        <f>Funktional!D27</f>
        <v>80</v>
      </c>
      <c r="D27" s="43">
        <f>Funktional!J27-'KiGa - PS'!H28</f>
        <v>537795.54999999993</v>
      </c>
      <c r="E27" s="43">
        <f>'KiGa - PS'!F28+'KiGa - PS'!K28*Artengliederung!D27</f>
        <v>1027946.0732735186</v>
      </c>
      <c r="F27" s="365">
        <v>714021.65</v>
      </c>
      <c r="G27" s="43">
        <f>F27*'KiGa - PS'!L28</f>
        <v>605810.26010693784</v>
      </c>
      <c r="H27" s="42">
        <f t="shared" si="15"/>
        <v>0.58934050711212971</v>
      </c>
      <c r="I27" s="85">
        <f t="shared" si="16"/>
        <v>7572.6282513367232</v>
      </c>
      <c r="J27" s="365">
        <v>198296.3</v>
      </c>
      <c r="K27" s="43">
        <f>J27*'KiGa - PS'!L28</f>
        <v>168244.10447672472</v>
      </c>
      <c r="L27" s="42">
        <f t="shared" si="17"/>
        <v>0.16367016602432011</v>
      </c>
      <c r="M27" s="43">
        <f t="shared" si="18"/>
        <v>2103.0513059590589</v>
      </c>
      <c r="N27" s="365">
        <v>25465.1</v>
      </c>
      <c r="O27" s="43">
        <f>N27*'KiGa - PS'!L28</f>
        <v>21605.813849831</v>
      </c>
      <c r="P27" s="42">
        <f t="shared" si="19"/>
        <v>2.101843123056716E-2</v>
      </c>
      <c r="Q27" s="43">
        <f>O27/Funktional!C27</f>
        <v>5401.45346245775</v>
      </c>
      <c r="R27" s="85">
        <f t="shared" si="20"/>
        <v>270.07267312288752</v>
      </c>
      <c r="S27" s="365">
        <v>15951.45</v>
      </c>
      <c r="T27" s="365">
        <v>57625.5</v>
      </c>
      <c r="U27" s="43">
        <f>T27*'KiGa - PS'!L28</f>
        <v>48892.241774170776</v>
      </c>
      <c r="V27" s="42">
        <f t="shared" si="21"/>
        <v>4.7563041530449428E-2</v>
      </c>
      <c r="W27" s="43">
        <f t="shared" si="22"/>
        <v>611.15302217713474</v>
      </c>
      <c r="X27" s="365">
        <v>48140.25</v>
      </c>
      <c r="Y27" s="43">
        <f>X27*'KiGa - PS'!L28</f>
        <v>40844.500127010171</v>
      </c>
      <c r="Z27" s="91">
        <f t="shared" si="23"/>
        <v>3.9734088381640387E-2</v>
      </c>
      <c r="AA27" s="365">
        <v>173410.85</v>
      </c>
      <c r="AB27" s="43">
        <f>AA27*'KiGa - PS'!L28</f>
        <v>147130.09352568677</v>
      </c>
      <c r="AC27" s="43">
        <f t="shared" si="24"/>
        <v>1839.1261690710846</v>
      </c>
      <c r="AD27" s="42">
        <f t="shared" si="25"/>
        <v>0.1431301673804225</v>
      </c>
      <c r="AE27" s="365">
        <v>51156.5</v>
      </c>
      <c r="AF27" s="43">
        <f>AE27*'KiGa - PS'!L28</f>
        <v>43403.631488149644</v>
      </c>
      <c r="AG27" s="42">
        <f t="shared" si="26"/>
        <v>4.2223646372741862E-2</v>
      </c>
      <c r="AH27" s="42">
        <f>AE27/'Kennzahlen Revision'!F27</f>
        <v>6.8762077619766077E-2</v>
      </c>
      <c r="AI27" s="97">
        <f t="shared" si="14"/>
        <v>5.6296117952678248E-2</v>
      </c>
      <c r="AJ27" s="365">
        <v>311825</v>
      </c>
      <c r="AK27" s="43">
        <f>AJ27*'KiGa - PS'!$L28</f>
        <v>264567.30598833505</v>
      </c>
      <c r="AL27" s="365">
        <v>357022</v>
      </c>
      <c r="AM27" s="43">
        <f>AL27*'KiGa - PS'!$L28</f>
        <v>302914.61146016954</v>
      </c>
      <c r="AN27" s="97">
        <f>(AK27+AM27)/Funktional!E27</f>
        <v>0.58171097197394672</v>
      </c>
    </row>
    <row r="28" spans="1:40" x14ac:dyDescent="0.25">
      <c r="A28" t="str">
        <f>Funktional!A28</f>
        <v>Bürglen</v>
      </c>
      <c r="B28" t="str">
        <f>Funktional!B28</f>
        <v>PSG</v>
      </c>
      <c r="C28" s="43">
        <f>Funktional!D28</f>
        <v>218</v>
      </c>
      <c r="D28" s="43">
        <f>Funktional!J28-'KiGa - PS'!H29</f>
        <v>1445197.65</v>
      </c>
      <c r="E28" s="43">
        <f>'KiGa - PS'!F29+'KiGa - PS'!K29*Artengliederung!D28</f>
        <v>3235473.4837785093</v>
      </c>
      <c r="F28" s="365">
        <v>2486336.15</v>
      </c>
      <c r="G28" s="43">
        <f>F28*'KiGa - PS'!L29</f>
        <v>2214866.207036071</v>
      </c>
      <c r="H28" s="42">
        <f t="shared" si="15"/>
        <v>0.68455705730261951</v>
      </c>
      <c r="I28" s="85">
        <f t="shared" si="16"/>
        <v>10159.936729523262</v>
      </c>
      <c r="J28" s="365">
        <v>439890.8</v>
      </c>
      <c r="K28" s="43">
        <f>J28*'KiGa - PS'!L29</f>
        <v>391861.44146521093</v>
      </c>
      <c r="L28" s="42">
        <f t="shared" si="17"/>
        <v>0.1211140945613871</v>
      </c>
      <c r="M28" s="43">
        <f t="shared" si="18"/>
        <v>1797.5295480055547</v>
      </c>
      <c r="N28" s="365">
        <v>93531.55</v>
      </c>
      <c r="O28" s="43">
        <f>N28*'KiGa - PS'!L29</f>
        <v>83319.332901427915</v>
      </c>
      <c r="P28" s="42">
        <f t="shared" si="19"/>
        <v>2.5751820659066078E-2</v>
      </c>
      <c r="Q28" s="43">
        <f>O28/Funktional!C28</f>
        <v>6409.1794539559933</v>
      </c>
      <c r="R28" s="85">
        <f t="shared" si="20"/>
        <v>382.19877477719228</v>
      </c>
      <c r="S28" s="365">
        <v>15172.95</v>
      </c>
      <c r="T28" s="365">
        <v>213019.45</v>
      </c>
      <c r="U28" s="43">
        <f>T28*'KiGa - PS'!L29</f>
        <v>189760.9787181874</v>
      </c>
      <c r="V28" s="42">
        <f t="shared" si="21"/>
        <v>5.8650141832278992E-2</v>
      </c>
      <c r="W28" s="43">
        <f t="shared" si="22"/>
        <v>870.46320512930004</v>
      </c>
      <c r="X28" s="365">
        <v>183945</v>
      </c>
      <c r="Y28" s="43">
        <f>X28*'KiGa - PS'!L29</f>
        <v>163861.01471164712</v>
      </c>
      <c r="Z28" s="91">
        <f t="shared" si="23"/>
        <v>5.0645142212781782E-2</v>
      </c>
      <c r="AA28" s="365">
        <v>327019.40000000002</v>
      </c>
      <c r="AB28" s="43">
        <f>AA28*'KiGa - PS'!L29</f>
        <v>291313.87487778423</v>
      </c>
      <c r="AC28" s="43">
        <f t="shared" si="24"/>
        <v>1336.3021783384597</v>
      </c>
      <c r="AD28" s="42">
        <f t="shared" si="25"/>
        <v>9.0037478699277348E-2</v>
      </c>
      <c r="AE28" s="365">
        <v>292587</v>
      </c>
      <c r="AF28" s="43">
        <f>AE28*'KiGa - PS'!L29</f>
        <v>260640.96719909046</v>
      </c>
      <c r="AG28" s="42">
        <f t="shared" si="26"/>
        <v>8.0557287366393129E-2</v>
      </c>
      <c r="AH28" s="42">
        <f>AE28/'Kennzahlen Revision'!F28</f>
        <v>6.9173199324597479E-2</v>
      </c>
      <c r="AI28" s="97">
        <f t="shared" si="14"/>
        <v>4.5641227604437049E-2</v>
      </c>
      <c r="AJ28" s="365">
        <v>476333.75</v>
      </c>
      <c r="AK28" s="43">
        <f>AJ28*'KiGa - PS'!$L29</f>
        <v>424325.37778359861</v>
      </c>
      <c r="AL28" s="365">
        <v>686561</v>
      </c>
      <c r="AM28" s="43">
        <f>AL28*'KiGa - PS'!$L29</f>
        <v>611599.0221068426</v>
      </c>
      <c r="AN28" s="97">
        <f>(AK28+AM28)/Funktional!E28</f>
        <v>0.33287663372812365</v>
      </c>
    </row>
    <row r="29" spans="1:40" x14ac:dyDescent="0.25">
      <c r="A29" t="str">
        <f>Funktional!A29</f>
        <v>Bussnang-Rothenhausen</v>
      </c>
      <c r="B29" t="str">
        <f>Funktional!B29</f>
        <v>PSG</v>
      </c>
      <c r="C29" s="43">
        <f>Funktional!D29</f>
        <v>96</v>
      </c>
      <c r="D29" s="43">
        <f>Funktional!J29-'KiGa - PS'!H30</f>
        <v>443094.70000000007</v>
      </c>
      <c r="E29" s="43">
        <f>'KiGa - PS'!F30+'KiGa - PS'!K30*Artengliederung!D29</f>
        <v>1040204.0955147177</v>
      </c>
      <c r="F29" s="365">
        <v>901661.5</v>
      </c>
      <c r="G29" s="43">
        <f>F29*'KiGa - PS'!L30</f>
        <v>723095.58132718271</v>
      </c>
      <c r="H29" s="42">
        <f t="shared" si="15"/>
        <v>0.69514779305822461</v>
      </c>
      <c r="I29" s="85">
        <f t="shared" si="16"/>
        <v>7532.2456388248202</v>
      </c>
      <c r="J29" s="365">
        <v>150283.9</v>
      </c>
      <c r="K29" s="43">
        <f>J29*'KiGa - PS'!L30</f>
        <v>120521.53056841863</v>
      </c>
      <c r="L29" s="42">
        <f t="shared" si="17"/>
        <v>0.11586334940238983</v>
      </c>
      <c r="M29" s="43">
        <f t="shared" si="18"/>
        <v>1255.432610087694</v>
      </c>
      <c r="N29" s="365">
        <v>47012.35</v>
      </c>
      <c r="O29" s="43">
        <f>N29*'KiGa - PS'!L30</f>
        <v>37701.978572676089</v>
      </c>
      <c r="P29" s="42">
        <f t="shared" si="19"/>
        <v>3.6244789590085445E-2</v>
      </c>
      <c r="Q29" s="43">
        <f>O29/Funktional!C29</f>
        <v>9425.4946431690223</v>
      </c>
      <c r="R29" s="85">
        <f t="shared" si="20"/>
        <v>392.72894346537595</v>
      </c>
      <c r="S29" s="365">
        <v>4924.45</v>
      </c>
      <c r="T29" s="365">
        <v>55328.2</v>
      </c>
      <c r="U29" s="43">
        <f>T29*'KiGa - PS'!L30</f>
        <v>44370.949566757183</v>
      </c>
      <c r="V29" s="42">
        <f t="shared" si="21"/>
        <v>4.2656003526693846E-2</v>
      </c>
      <c r="W29" s="43">
        <f t="shared" si="22"/>
        <v>462.19739132038734</v>
      </c>
      <c r="X29" s="365">
        <v>54943.1</v>
      </c>
      <c r="Y29" s="43">
        <f>X29*'KiGa - PS'!L30</f>
        <v>44062.115144560936</v>
      </c>
      <c r="Z29" s="91">
        <f t="shared" si="23"/>
        <v>4.2359105616439581E-2</v>
      </c>
      <c r="AA29" s="365">
        <v>135831.65</v>
      </c>
      <c r="AB29" s="43">
        <f>AA29*'KiGa - PS'!L30</f>
        <v>108931.41818673683</v>
      </c>
      <c r="AC29" s="43">
        <f t="shared" si="24"/>
        <v>1134.7022727785086</v>
      </c>
      <c r="AD29" s="42">
        <f t="shared" si="25"/>
        <v>0.10472119717317108</v>
      </c>
      <c r="AE29" s="365">
        <v>133626</v>
      </c>
      <c r="AF29" s="43">
        <f>AE29*'KiGa - PS'!L30</f>
        <v>107162.57725368791</v>
      </c>
      <c r="AG29" s="42">
        <f t="shared" si="26"/>
        <v>0.10302072229456212</v>
      </c>
      <c r="AH29" s="42">
        <f>AE29/'Kennzahlen Revision'!F29</f>
        <v>5.7156618013150307E-2</v>
      </c>
      <c r="AI29" s="97">
        <f t="shared" si="14"/>
        <v>4.1611656839520617E-2</v>
      </c>
      <c r="AJ29" s="365">
        <v>135323</v>
      </c>
      <c r="AK29" s="43">
        <f>AJ29*'KiGa - PS'!$L30</f>
        <v>108523.50172646648</v>
      </c>
      <c r="AL29" s="365">
        <v>0</v>
      </c>
      <c r="AM29" s="43">
        <f>AL29*'KiGa - PS'!$L30</f>
        <v>0</v>
      </c>
      <c r="AN29" s="97">
        <f>(AK29+AM29)/Funktional!E29</f>
        <v>0.10785200501693579</v>
      </c>
    </row>
    <row r="30" spans="1:40" x14ac:dyDescent="0.25">
      <c r="A30" t="str">
        <f>Funktional!A30</f>
        <v>Busswil</v>
      </c>
      <c r="B30" t="str">
        <f>Funktional!B30</f>
        <v>PSG</v>
      </c>
      <c r="C30" s="43">
        <f>Funktional!D30</f>
        <v>89</v>
      </c>
      <c r="D30" s="43">
        <f>Funktional!J30-'KiGa - PS'!H31</f>
        <v>477397.05000000005</v>
      </c>
      <c r="E30" s="43">
        <f>'KiGa - PS'!F31+'KiGa - PS'!K31*Artengliederung!D30</f>
        <v>954362.32987717818</v>
      </c>
      <c r="F30" s="365">
        <v>688015</v>
      </c>
      <c r="G30" s="43">
        <f>F30*'KiGa - PS'!L31</f>
        <v>592876.565318526</v>
      </c>
      <c r="H30" s="42">
        <f t="shared" si="15"/>
        <v>0.62122796212506248</v>
      </c>
      <c r="I30" s="85">
        <f t="shared" si="16"/>
        <v>6661.5344417811912</v>
      </c>
      <c r="J30" s="365">
        <v>129410.1</v>
      </c>
      <c r="K30" s="43">
        <f>J30*'KiGa - PS'!L31</f>
        <v>111515.32394719154</v>
      </c>
      <c r="L30" s="42">
        <f t="shared" si="17"/>
        <v>0.11684799415913978</v>
      </c>
      <c r="M30" s="43">
        <f t="shared" si="18"/>
        <v>1252.9811679459724</v>
      </c>
      <c r="N30" s="365">
        <v>25097.05</v>
      </c>
      <c r="O30" s="43">
        <f>N30*'KiGa - PS'!L31</f>
        <v>21626.640122130058</v>
      </c>
      <c r="P30" s="42">
        <f t="shared" si="19"/>
        <v>2.2660827491916308E-2</v>
      </c>
      <c r="Q30" s="43">
        <f>O30/Funktional!C30</f>
        <v>5406.6600305325146</v>
      </c>
      <c r="R30" s="85">
        <f t="shared" si="20"/>
        <v>242.99595642842763</v>
      </c>
      <c r="S30" s="365">
        <v>21173.99</v>
      </c>
      <c r="T30" s="365">
        <v>92734.05</v>
      </c>
      <c r="U30" s="43">
        <f>T30*'KiGa - PS'!L31</f>
        <v>79910.823240883503</v>
      </c>
      <c r="V30" s="42">
        <f t="shared" si="21"/>
        <v>8.3732164125932804E-2</v>
      </c>
      <c r="W30" s="43">
        <f t="shared" si="22"/>
        <v>897.87441843689328</v>
      </c>
      <c r="X30" s="365">
        <v>91773.65</v>
      </c>
      <c r="Y30" s="43">
        <f>X30*'KiGa - PS'!L31</f>
        <v>79083.226962703644</v>
      </c>
      <c r="Z30" s="91">
        <f t="shared" si="23"/>
        <v>8.2864992138657945E-2</v>
      </c>
      <c r="AA30" s="365">
        <v>135391.95000000001</v>
      </c>
      <c r="AB30" s="43">
        <f>AA30*'KiGa - PS'!L31</f>
        <v>116670.00615942621</v>
      </c>
      <c r="AC30" s="43">
        <f t="shared" si="24"/>
        <v>1310.8989456115305</v>
      </c>
      <c r="AD30" s="42">
        <f t="shared" si="25"/>
        <v>0.12224917361778212</v>
      </c>
      <c r="AE30" s="365">
        <v>129819</v>
      </c>
      <c r="AF30" s="43">
        <f>AE30*'KiGa - PS'!L31</f>
        <v>111867.68142131456</v>
      </c>
      <c r="AG30" s="42">
        <f t="shared" si="26"/>
        <v>0.117217201391123</v>
      </c>
      <c r="AH30" s="42">
        <f>AE30/'Kennzahlen Revision'!F30</f>
        <v>5.765159640018918E-2</v>
      </c>
      <c r="AI30" s="97">
        <f t="shared" si="14"/>
        <v>5.5942705972082812E-2</v>
      </c>
      <c r="AJ30" s="365">
        <v>290131</v>
      </c>
      <c r="AK30" s="43">
        <f>AJ30*'KiGa - PS'!$L31</f>
        <v>250011.80319096136</v>
      </c>
      <c r="AL30" s="365">
        <v>58679</v>
      </c>
      <c r="AM30" s="43">
        <f>AL30*'KiGa - PS'!$L31</f>
        <v>50564.89171940407</v>
      </c>
      <c r="AN30" s="97">
        <f>(AK30+AM30)/Funktional!E30</f>
        <v>0.33122584900541563</v>
      </c>
    </row>
    <row r="31" spans="1:40" x14ac:dyDescent="0.25">
      <c r="A31" t="str">
        <f>Funktional!A31</f>
        <v>Dettighofen-Lanzenneunforn</v>
      </c>
      <c r="B31" t="str">
        <f>Funktional!B31</f>
        <v>PSG</v>
      </c>
      <c r="C31" s="43">
        <f>Funktional!D31</f>
        <v>91</v>
      </c>
      <c r="D31" s="43">
        <f>Funktional!J31-'KiGa - PS'!H32</f>
        <v>511615.19999999995</v>
      </c>
      <c r="E31" s="43">
        <f>'KiGa - PS'!F32+'KiGa - PS'!K32*Artengliederung!D31</f>
        <v>955134.08949093765</v>
      </c>
      <c r="F31" s="365">
        <v>565518.75</v>
      </c>
      <c r="G31" s="43">
        <f>F31*'KiGa - PS'!L32</f>
        <v>471785.79559047153</v>
      </c>
      <c r="H31" s="42">
        <f t="shared" si="15"/>
        <v>0.49394718582594144</v>
      </c>
      <c r="I31" s="85">
        <f t="shared" si="16"/>
        <v>5184.4592922029842</v>
      </c>
      <c r="J31" s="365">
        <v>181808.15</v>
      </c>
      <c r="K31" s="43">
        <f>J31*'KiGa - PS'!L32</f>
        <v>151674.02087478404</v>
      </c>
      <c r="L31" s="42">
        <f t="shared" si="17"/>
        <v>0.15879866768824308</v>
      </c>
      <c r="M31" s="43">
        <f t="shared" si="18"/>
        <v>1666.747482140484</v>
      </c>
      <c r="N31" s="365">
        <v>32811.800000000003</v>
      </c>
      <c r="O31" s="43">
        <f>N31*'KiGa - PS'!L32</f>
        <v>27373.347334204984</v>
      </c>
      <c r="P31" s="42">
        <f t="shared" si="19"/>
        <v>2.8659166954028713E-2</v>
      </c>
      <c r="Q31" s="43">
        <f>O31/Funktional!C31</f>
        <v>7820.9563812014239</v>
      </c>
      <c r="R31" s="85">
        <f t="shared" si="20"/>
        <v>300.80601466159322</v>
      </c>
      <c r="S31" s="365">
        <v>8602.35</v>
      </c>
      <c r="T31" s="365">
        <v>85900.6</v>
      </c>
      <c r="U31" s="43">
        <f>T31*'KiGa - PS'!L32</f>
        <v>71662.845684071232</v>
      </c>
      <c r="V31" s="42">
        <f t="shared" si="21"/>
        <v>7.5029094315192668E-2</v>
      </c>
      <c r="W31" s="43">
        <f t="shared" si="22"/>
        <v>787.50379872605754</v>
      </c>
      <c r="X31" s="365">
        <v>0</v>
      </c>
      <c r="Y31" s="43">
        <f>X31*'KiGa - PS'!L32</f>
        <v>0</v>
      </c>
      <c r="Z31" s="91">
        <f t="shared" si="23"/>
        <v>0</v>
      </c>
      <c r="AA31" s="365">
        <v>233492.5</v>
      </c>
      <c r="AB31" s="43">
        <f>AA31*'KiGa - PS'!L32</f>
        <v>194791.85239553626</v>
      </c>
      <c r="AC31" s="43">
        <f t="shared" si="24"/>
        <v>2140.5698065443544</v>
      </c>
      <c r="AD31" s="42">
        <f t="shared" si="25"/>
        <v>0.2039418910274215</v>
      </c>
      <c r="AE31" s="365">
        <v>150660</v>
      </c>
      <c r="AF31" s="43">
        <f>AE31*'KiGa - PS'!L32</f>
        <v>125688.57878480677</v>
      </c>
      <c r="AG31" s="42">
        <f t="shared" si="26"/>
        <v>0.13159260062824854</v>
      </c>
      <c r="AH31" s="42">
        <f>AE31/'Kennzahlen Revision'!F31</f>
        <v>6.3829462724203853E-2</v>
      </c>
      <c r="AI31" s="97">
        <f t="shared" si="14"/>
        <v>6.8283161143201321E-2</v>
      </c>
      <c r="AJ31" s="365">
        <v>254380.55</v>
      </c>
      <c r="AK31" s="43">
        <f>AJ31*'KiGa - PS'!$L32</f>
        <v>212217.77379528392</v>
      </c>
      <c r="AL31" s="365">
        <v>281312</v>
      </c>
      <c r="AM31" s="43">
        <f>AL31*'KiGa - PS'!$L32</f>
        <v>234685.42064988424</v>
      </c>
      <c r="AN31" s="97">
        <f>(AK31+AM31)/Funktional!E31</f>
        <v>0.49832650849704097</v>
      </c>
    </row>
    <row r="32" spans="1:40" x14ac:dyDescent="0.25">
      <c r="A32" t="str">
        <f>Funktional!A32</f>
        <v>Diessenhofen</v>
      </c>
      <c r="B32" t="str">
        <f>Funktional!B32</f>
        <v>PSG</v>
      </c>
      <c r="C32" s="43">
        <f>Funktional!D32</f>
        <v>233</v>
      </c>
      <c r="D32" s="43">
        <f>Funktional!J32-'KiGa - PS'!H33</f>
        <v>1231705.5499999998</v>
      </c>
      <c r="E32" s="43">
        <f>'KiGa - PS'!F33+'KiGa - PS'!K33*Artengliederung!D32</f>
        <v>2679724.4830497499</v>
      </c>
      <c r="F32" s="365">
        <v>2412506.15</v>
      </c>
      <c r="G32" s="43">
        <f>F32*'KiGa - PS'!L33</f>
        <v>2026148.7290767038</v>
      </c>
      <c r="H32" s="42">
        <f t="shared" si="15"/>
        <v>0.7561033762585837</v>
      </c>
      <c r="I32" s="85">
        <f t="shared" si="16"/>
        <v>8695.917292174694</v>
      </c>
      <c r="J32" s="365">
        <v>386972.9</v>
      </c>
      <c r="K32" s="43">
        <f>J32*'KiGa - PS'!L33</f>
        <v>325000.06249605888</v>
      </c>
      <c r="L32" s="42">
        <f t="shared" si="17"/>
        <v>0.12128114832394325</v>
      </c>
      <c r="M32" s="43">
        <f t="shared" si="18"/>
        <v>1394.850053631154</v>
      </c>
      <c r="N32" s="365">
        <v>38479.75</v>
      </c>
      <c r="O32" s="43">
        <f>N32*'KiGa - PS'!L33</f>
        <v>32317.30479016159</v>
      </c>
      <c r="P32" s="42">
        <f t="shared" si="19"/>
        <v>1.205993563688376E-2</v>
      </c>
      <c r="Q32" s="43">
        <f>O32/Funktional!C32</f>
        <v>2937.9367991055992</v>
      </c>
      <c r="R32" s="85">
        <f t="shared" si="20"/>
        <v>138.70087892773213</v>
      </c>
      <c r="S32" s="365">
        <v>19829.7</v>
      </c>
      <c r="T32" s="365">
        <v>87097.25</v>
      </c>
      <c r="U32" s="43">
        <f>T32*'KiGa - PS'!L33</f>
        <v>73148.821773397736</v>
      </c>
      <c r="V32" s="42">
        <f t="shared" si="21"/>
        <v>2.729714276079169E-2</v>
      </c>
      <c r="W32" s="43">
        <f t="shared" si="22"/>
        <v>313.94344108754393</v>
      </c>
      <c r="X32" s="365">
        <v>80151.399999999994</v>
      </c>
      <c r="Y32" s="43">
        <f>X32*'KiGa - PS'!L33</f>
        <v>67315.333991467138</v>
      </c>
      <c r="Z32" s="91">
        <f t="shared" si="23"/>
        <v>2.5120244419626556E-2</v>
      </c>
      <c r="AA32" s="365">
        <v>129847.2</v>
      </c>
      <c r="AB32" s="43">
        <f>AA32*'KiGa - PS'!L33</f>
        <v>109052.46366073246</v>
      </c>
      <c r="AC32" s="43">
        <f t="shared" si="24"/>
        <v>468.03632472417365</v>
      </c>
      <c r="AD32" s="42">
        <f t="shared" si="25"/>
        <v>4.0695401467773909E-2</v>
      </c>
      <c r="AE32" s="365">
        <v>93392</v>
      </c>
      <c r="AF32" s="43">
        <f>AE32*'KiGa - PS'!L33</f>
        <v>78435.481752422274</v>
      </c>
      <c r="AG32" s="42">
        <f t="shared" si="26"/>
        <v>2.9269979898514101E-2</v>
      </c>
      <c r="AH32" s="42">
        <f>AE32/'Kennzahlen Revision'!F32</f>
        <v>6.3828885659961102E-2</v>
      </c>
      <c r="AI32" s="97">
        <f t="shared" si="14"/>
        <v>5.4622931188907445E-2</v>
      </c>
      <c r="AJ32" s="365">
        <v>90247.95</v>
      </c>
      <c r="AK32" s="43">
        <f>AJ32*'KiGa - PS'!$L33</f>
        <v>75794.944271656219</v>
      </c>
      <c r="AL32" s="365">
        <v>0</v>
      </c>
      <c r="AM32" s="43">
        <f>AL32*'KiGa - PS'!$L33</f>
        <v>0</v>
      </c>
      <c r="AN32" s="97">
        <f>(AK32+AM32)/Funktional!E32</f>
        <v>2.935321621714054E-2</v>
      </c>
    </row>
    <row r="33" spans="1:40" x14ac:dyDescent="0.25">
      <c r="A33" t="str">
        <f>Funktional!A33</f>
        <v>Dingetswil</v>
      </c>
      <c r="B33" t="str">
        <f>Funktional!B33</f>
        <v>PSG</v>
      </c>
      <c r="C33" s="43">
        <f>Funktional!D33</f>
        <v>1</v>
      </c>
      <c r="D33" s="43">
        <f>Funktional!J33-'KiGa - PS'!H34</f>
        <v>45912.600000000006</v>
      </c>
      <c r="E33" s="43">
        <f>'KiGa - PS'!F34+'KiGa - PS'!K34*Artengliederung!D33</f>
        <v>63165.697603263645</v>
      </c>
      <c r="F33" s="365">
        <v>10100.049999999999</v>
      </c>
      <c r="G33" s="43">
        <f>F33*'KiGa - PS'!L34</f>
        <v>10100.049999999999</v>
      </c>
      <c r="H33" s="42"/>
      <c r="I33" s="85"/>
      <c r="J33" s="365">
        <v>25747.7</v>
      </c>
      <c r="K33" s="43">
        <f>J33*'KiGa - PS'!L34</f>
        <v>25747.7</v>
      </c>
      <c r="L33" s="42"/>
      <c r="M33" s="43"/>
      <c r="N33" s="365">
        <v>151.4</v>
      </c>
      <c r="O33" s="43">
        <f>N33*'KiGa - PS'!L34</f>
        <v>151.4</v>
      </c>
      <c r="P33" s="42"/>
      <c r="Q33" s="43"/>
      <c r="R33" s="85"/>
      <c r="S33" s="365">
        <v>9102.2000000000007</v>
      </c>
      <c r="T33" s="365">
        <v>3995.1</v>
      </c>
      <c r="U33" s="43">
        <f>T33*'KiGa - PS'!L34</f>
        <v>3995.1</v>
      </c>
      <c r="V33" s="42"/>
      <c r="W33" s="43"/>
      <c r="X33" s="365">
        <v>3963.1</v>
      </c>
      <c r="Y33" s="43">
        <f>X33*'KiGa - PS'!L34</f>
        <v>3963.1</v>
      </c>
      <c r="Z33" s="91"/>
      <c r="AA33" s="365">
        <v>5157.2</v>
      </c>
      <c r="AB33" s="43">
        <f>AA33*'KiGa - PS'!L34</f>
        <v>5157.2</v>
      </c>
      <c r="AC33" s="43"/>
      <c r="AD33" s="42"/>
      <c r="AE33" s="365">
        <v>4130</v>
      </c>
      <c r="AF33" s="43">
        <f>AE33*'KiGa - PS'!L34</f>
        <v>4130</v>
      </c>
      <c r="AG33" s="42"/>
      <c r="AH33" s="42"/>
      <c r="AI33" s="97"/>
      <c r="AJ33" s="365">
        <v>43844</v>
      </c>
      <c r="AK33" s="43">
        <f>AJ33*'KiGa - PS'!$L34</f>
        <v>43844</v>
      </c>
      <c r="AL33" s="365">
        <v>24823</v>
      </c>
      <c r="AM33" s="43">
        <f>AL33*'KiGa - PS'!$L34</f>
        <v>24823</v>
      </c>
      <c r="AN33" s="97"/>
    </row>
    <row r="34" spans="1:40" x14ac:dyDescent="0.25">
      <c r="A34" t="str">
        <f>Funktional!A34</f>
        <v>Donzhausen</v>
      </c>
      <c r="B34" t="str">
        <f>Funktional!B34</f>
        <v>PSG</v>
      </c>
      <c r="C34" s="43">
        <f>Funktional!D34</f>
        <v>36</v>
      </c>
      <c r="D34" s="43">
        <f>Funktional!J34-'KiGa - PS'!H35</f>
        <v>306389.15000000002</v>
      </c>
      <c r="E34" s="43">
        <f>'KiGa - PS'!F35+'KiGa - PS'!K35*Artengliederung!D34</f>
        <v>554786.54313242668</v>
      </c>
      <c r="F34" s="365">
        <v>365477.8</v>
      </c>
      <c r="G34" s="43">
        <f>F34*'KiGa - PS'!L35</f>
        <v>308170.89509822521</v>
      </c>
      <c r="H34" s="42">
        <f t="shared" si="15"/>
        <v>0.55547651418910737</v>
      </c>
      <c r="I34" s="85">
        <f t="shared" si="16"/>
        <v>8560.302641617367</v>
      </c>
      <c r="J34" s="365">
        <v>62954.85</v>
      </c>
      <c r="K34" s="43">
        <f>J34*'KiGa - PS'!L35</f>
        <v>53083.531955359547</v>
      </c>
      <c r="L34" s="42">
        <f t="shared" si="17"/>
        <v>9.5682803796285645E-2</v>
      </c>
      <c r="M34" s="43">
        <f t="shared" si="18"/>
        <v>1474.5425543155429</v>
      </c>
      <c r="N34" s="365">
        <v>5286.55</v>
      </c>
      <c r="O34" s="43">
        <f>N34*'KiGa - PS'!L35</f>
        <v>4457.6191645060871</v>
      </c>
      <c r="P34" s="42">
        <f t="shared" si="19"/>
        <v>8.0348364964614154E-3</v>
      </c>
      <c r="Q34" s="43">
        <f>O34/Funktional!C34</f>
        <v>2228.8095822530436</v>
      </c>
      <c r="R34" s="85">
        <f t="shared" si="20"/>
        <v>123.82275456961354</v>
      </c>
      <c r="S34" s="365">
        <v>3101.2</v>
      </c>
      <c r="T34" s="365">
        <v>58054.3</v>
      </c>
      <c r="U34" s="43">
        <f>T34*'KiGa - PS'!L35</f>
        <v>48951.388005785571</v>
      </c>
      <c r="V34" s="42">
        <f t="shared" si="21"/>
        <v>8.8234634764926073E-2</v>
      </c>
      <c r="W34" s="43">
        <f t="shared" si="22"/>
        <v>1359.760777938488</v>
      </c>
      <c r="X34" s="365">
        <v>57003.35</v>
      </c>
      <c r="Y34" s="43">
        <f>X34*'KiGa - PS'!L35</f>
        <v>48065.226925130381</v>
      </c>
      <c r="Z34" s="91">
        <f t="shared" si="23"/>
        <v>8.663733380003287E-2</v>
      </c>
      <c r="AA34" s="365">
        <v>135730.79999999999</v>
      </c>
      <c r="AB34" s="43">
        <f>AA34*'KiGa - PS'!L35</f>
        <v>114448.21581064072</v>
      </c>
      <c r="AC34" s="43">
        <f t="shared" si="24"/>
        <v>3179.1171058511309</v>
      </c>
      <c r="AD34" s="42">
        <f t="shared" si="25"/>
        <v>0.20629234293327497</v>
      </c>
      <c r="AE34" s="365">
        <v>57300</v>
      </c>
      <c r="AF34" s="43">
        <f>AE34*'KiGa - PS'!L35</f>
        <v>48315.36221660606</v>
      </c>
      <c r="AG34" s="42">
        <f t="shared" si="26"/>
        <v>8.7088201425738726E-2</v>
      </c>
      <c r="AH34" s="42">
        <f>AE34/'Kennzahlen Revision'!F34</f>
        <v>6.2928342409254975E-2</v>
      </c>
      <c r="AI34" s="97">
        <f t="shared" si="14"/>
        <v>5.4313704316405975E-2</v>
      </c>
      <c r="AJ34" s="365">
        <v>149122</v>
      </c>
      <c r="AK34" s="43">
        <f>AJ34*'KiGa - PS'!$L35</f>
        <v>125739.67616866891</v>
      </c>
      <c r="AL34" s="365">
        <v>232445</v>
      </c>
      <c r="AM34" s="43">
        <f>AL34*'KiGa - PS'!$L35</f>
        <v>195997.63299195454</v>
      </c>
      <c r="AN34" s="97">
        <f>(AK34+AM34)/Funktional!E34</f>
        <v>0.60999100121513172</v>
      </c>
    </row>
    <row r="35" spans="1:40" x14ac:dyDescent="0.25">
      <c r="A35" t="str">
        <f>Funktional!A35</f>
        <v>Dozwil</v>
      </c>
      <c r="B35" t="str">
        <f>Funktional!B35</f>
        <v>PSG</v>
      </c>
      <c r="C35" s="43">
        <f>Funktional!D35</f>
        <v>48</v>
      </c>
      <c r="D35" s="43">
        <f>Funktional!J35-'KiGa - PS'!H36</f>
        <v>188680.8</v>
      </c>
      <c r="E35" s="43">
        <f>'KiGa - PS'!F36+'KiGa - PS'!K36*Artengliederung!D35</f>
        <v>429321.83860001358</v>
      </c>
      <c r="F35" s="365">
        <v>262548.2</v>
      </c>
      <c r="G35" s="43">
        <f>F35*'KiGa - PS'!L36</f>
        <v>262548.2</v>
      </c>
      <c r="H35" s="42">
        <f t="shared" si="15"/>
        <v>0.61154168363796746</v>
      </c>
      <c r="I35" s="85">
        <f t="shared" si="16"/>
        <v>5469.7541666666666</v>
      </c>
      <c r="J35" s="365">
        <v>115098.8</v>
      </c>
      <c r="K35" s="43">
        <f>J35*'KiGa - PS'!L36</f>
        <v>115098.8</v>
      </c>
      <c r="L35" s="42">
        <f t="shared" si="17"/>
        <v>0.26809444489320317</v>
      </c>
      <c r="M35" s="43">
        <f t="shared" si="18"/>
        <v>2397.8916666666669</v>
      </c>
      <c r="N35" s="365">
        <v>16188.05</v>
      </c>
      <c r="O35" s="43">
        <f>N35*'KiGa - PS'!L36</f>
        <v>16188.05</v>
      </c>
      <c r="P35" s="42">
        <f t="shared" si="19"/>
        <v>3.7706094925867316E-2</v>
      </c>
      <c r="Q35" s="43">
        <f>O35/Funktional!C35</f>
        <v>8094.0249999999996</v>
      </c>
      <c r="R35" s="85">
        <f t="shared" si="20"/>
        <v>337.25104166666665</v>
      </c>
      <c r="S35" s="365">
        <v>7606.6</v>
      </c>
      <c r="T35" s="365">
        <v>52083.75</v>
      </c>
      <c r="U35" s="43">
        <f>T35*'KiGa - PS'!L36</f>
        <v>52083.75</v>
      </c>
      <c r="V35" s="42">
        <f t="shared" si="21"/>
        <v>0.12131633035449865</v>
      </c>
      <c r="W35" s="43">
        <f t="shared" si="22"/>
        <v>1085.078125</v>
      </c>
      <c r="X35" s="365">
        <v>52083.75</v>
      </c>
      <c r="Y35" s="43">
        <f>X35*'KiGa - PS'!L36</f>
        <v>52083.75</v>
      </c>
      <c r="Z35" s="91">
        <f t="shared" si="23"/>
        <v>0.12131633035449865</v>
      </c>
      <c r="AA35" s="365">
        <v>67507.100000000006</v>
      </c>
      <c r="AB35" s="43">
        <f>AA35*'KiGa - PS'!L36</f>
        <v>67507.100000000006</v>
      </c>
      <c r="AC35" s="43">
        <f t="shared" si="24"/>
        <v>1406.3979166666668</v>
      </c>
      <c r="AD35" s="42">
        <f t="shared" si="25"/>
        <v>0.15724124405163178</v>
      </c>
      <c r="AE35" s="365">
        <v>62315</v>
      </c>
      <c r="AF35" s="43">
        <f>AE35*'KiGa - PS'!L36</f>
        <v>62315</v>
      </c>
      <c r="AG35" s="42">
        <f t="shared" si="26"/>
        <v>0.14514751963982209</v>
      </c>
      <c r="AH35" s="42">
        <f>AE35/'Kennzahlen Revision'!F35</f>
        <v>6.187149276555793E-2</v>
      </c>
      <c r="AI35" s="97">
        <f t="shared" si="14"/>
        <v>-0.15819370293730106</v>
      </c>
      <c r="AJ35" s="365">
        <v>27592</v>
      </c>
      <c r="AK35" s="43">
        <f>AJ35*'KiGa - PS'!$L36</f>
        <v>27592</v>
      </c>
      <c r="AL35" s="365">
        <v>187586</v>
      </c>
      <c r="AM35" s="43">
        <f>AL35*'KiGa - PS'!$L36</f>
        <v>187586</v>
      </c>
      <c r="AN35" s="97">
        <f>(AK35+AM35)/Funktional!E35</f>
        <v>0.45065385522793594</v>
      </c>
    </row>
    <row r="36" spans="1:40" x14ac:dyDescent="0.25">
      <c r="A36" t="str">
        <f>Funktional!A36</f>
        <v>Dussnang-Oberwangen</v>
      </c>
      <c r="B36" t="str">
        <f>Funktional!B36</f>
        <v>PSG</v>
      </c>
      <c r="C36" s="43">
        <f>Funktional!D36</f>
        <v>180</v>
      </c>
      <c r="D36" s="43">
        <f>Funktional!J36-'KiGa - PS'!H37</f>
        <v>719881.49999999953</v>
      </c>
      <c r="E36" s="43">
        <f>'KiGa - PS'!F37+'KiGa - PS'!K37*Artengliederung!D36</f>
        <v>2007284.8113531163</v>
      </c>
      <c r="F36" s="365">
        <v>1614149.3</v>
      </c>
      <c r="G36" s="43">
        <f>F36*'KiGa - PS'!L37</f>
        <v>1423188.3586071876</v>
      </c>
      <c r="H36" s="42">
        <f t="shared" si="15"/>
        <v>0.70901167116778629</v>
      </c>
      <c r="I36" s="85">
        <f t="shared" si="16"/>
        <v>7906.6019922621535</v>
      </c>
      <c r="J36" s="365">
        <v>196863.45</v>
      </c>
      <c r="K36" s="43">
        <f>J36*'KiGa - PS'!L37</f>
        <v>173573.64047752469</v>
      </c>
      <c r="L36" s="42">
        <f t="shared" si="17"/>
        <v>8.6471854664469966E-2</v>
      </c>
      <c r="M36" s="43">
        <f t="shared" si="18"/>
        <v>964.29800265291499</v>
      </c>
      <c r="N36" s="365">
        <v>49039.5</v>
      </c>
      <c r="O36" s="43">
        <f>N36*'KiGa - PS'!L37</f>
        <v>43237.912076607274</v>
      </c>
      <c r="P36" s="42">
        <f t="shared" si="19"/>
        <v>2.1540496810445387E-2</v>
      </c>
      <c r="Q36" s="43">
        <f>O36/Funktional!C36</f>
        <v>4804.2124529563634</v>
      </c>
      <c r="R36" s="85">
        <f t="shared" si="20"/>
        <v>240.21062264781818</v>
      </c>
      <c r="S36" s="365">
        <v>17161.7</v>
      </c>
      <c r="T36" s="365">
        <v>125497.15</v>
      </c>
      <c r="U36" s="43">
        <f>T36*'KiGa - PS'!L37</f>
        <v>110650.28675995462</v>
      </c>
      <c r="V36" s="42">
        <f t="shared" si="21"/>
        <v>5.5124358105098671E-2</v>
      </c>
      <c r="W36" s="43">
        <f t="shared" si="22"/>
        <v>614.72381533308123</v>
      </c>
      <c r="X36" s="365">
        <v>120710.55</v>
      </c>
      <c r="Y36" s="43">
        <f>X36*'KiGa - PS'!L37</f>
        <v>106429.96253262994</v>
      </c>
      <c r="Z36" s="91">
        <f t="shared" si="23"/>
        <v>5.3021854163727372E-2</v>
      </c>
      <c r="AA36" s="365">
        <v>197910.6</v>
      </c>
      <c r="AB36" s="43">
        <f>AA36*'KiGa - PS'!L37</f>
        <v>174496.90804002061</v>
      </c>
      <c r="AC36" s="43">
        <f t="shared" si="24"/>
        <v>969.42726688900336</v>
      </c>
      <c r="AD36" s="42">
        <f t="shared" si="25"/>
        <v>8.6931813090535853E-2</v>
      </c>
      <c r="AE36" s="365">
        <v>163371.1</v>
      </c>
      <c r="AF36" s="43">
        <f>AE36*'KiGa - PS'!L37</f>
        <v>144043.5823705098</v>
      </c>
      <c r="AG36" s="42">
        <f t="shared" si="26"/>
        <v>7.1760410658121609E-2</v>
      </c>
      <c r="AH36" s="42">
        <f>AE36/'Kennzahlen Revision'!F36</f>
        <v>7.2005463157908192E-2</v>
      </c>
      <c r="AI36" s="97">
        <f t="shared" si="14"/>
        <v>6.2460302972109222E-2</v>
      </c>
      <c r="AJ36" s="365">
        <v>551038</v>
      </c>
      <c r="AK36" s="43">
        <f>AJ36*'KiGa - PS'!$L37</f>
        <v>485847.78790300712</v>
      </c>
      <c r="AL36" s="365">
        <v>569712</v>
      </c>
      <c r="AM36" s="43">
        <f>AL36*'KiGa - PS'!$L37</f>
        <v>502312.57180411875</v>
      </c>
      <c r="AN36" s="97">
        <f>(AK36+AM36)/Funktional!E36</f>
        <v>0.51993468794547615</v>
      </c>
    </row>
    <row r="37" spans="1:40" x14ac:dyDescent="0.25">
      <c r="A37" t="str">
        <f>Funktional!A37</f>
        <v>Egg</v>
      </c>
      <c r="B37" t="str">
        <f>Funktional!B37</f>
        <v>PSG</v>
      </c>
      <c r="C37" s="43">
        <f>Funktional!D37</f>
        <v>83</v>
      </c>
      <c r="D37" s="43">
        <f>Funktional!J37-'KiGa - PS'!H38</f>
        <v>291061.35000000009</v>
      </c>
      <c r="E37" s="43">
        <f>'KiGa - PS'!F38+'KiGa - PS'!K38*Artengliederung!D37</f>
        <v>834172.16081557237</v>
      </c>
      <c r="F37" s="365">
        <v>634223</v>
      </c>
      <c r="G37" s="43">
        <f>F37*'KiGa - PS'!L38</f>
        <v>553427.40621155873</v>
      </c>
      <c r="H37" s="42">
        <f t="shared" si="15"/>
        <v>0.66344506830636885</v>
      </c>
      <c r="I37" s="85">
        <f t="shared" si="16"/>
        <v>6667.8000748380573</v>
      </c>
      <c r="J37" s="365">
        <v>162875.9</v>
      </c>
      <c r="K37" s="43">
        <f>J37*'KiGa - PS'!L38</f>
        <v>142126.64452625214</v>
      </c>
      <c r="L37" s="42">
        <f t="shared" si="17"/>
        <v>0.17038046964705048</v>
      </c>
      <c r="M37" s="43">
        <f t="shared" si="18"/>
        <v>1712.3692111596645</v>
      </c>
      <c r="N37" s="365">
        <v>25778.95</v>
      </c>
      <c r="O37" s="43">
        <f>N37*'KiGa - PS'!L38</f>
        <v>22494.891281706059</v>
      </c>
      <c r="P37" s="42">
        <f t="shared" si="19"/>
        <v>2.6966725021981965E-2</v>
      </c>
      <c r="Q37" s="43">
        <f>O37/Funktional!C37</f>
        <v>5623.7228204265148</v>
      </c>
      <c r="R37" s="85">
        <f t="shared" si="20"/>
        <v>271.02278652657901</v>
      </c>
      <c r="S37" s="365">
        <v>4836.8</v>
      </c>
      <c r="T37" s="365">
        <v>34372.800000000003</v>
      </c>
      <c r="U37" s="43">
        <f>T37*'KiGa - PS'!L38</f>
        <v>29993.944634976448</v>
      </c>
      <c r="V37" s="42">
        <f t="shared" si="21"/>
        <v>3.5956539961308813E-2</v>
      </c>
      <c r="W37" s="43">
        <f t="shared" si="22"/>
        <v>361.37282692742707</v>
      </c>
      <c r="X37" s="365">
        <v>30120.25</v>
      </c>
      <c r="Y37" s="43">
        <f>X37*'KiGa - PS'!L38</f>
        <v>26283.139892346542</v>
      </c>
      <c r="Z37" s="91">
        <f t="shared" si="23"/>
        <v>3.1508052086813162E-2</v>
      </c>
      <c r="AA37" s="365">
        <v>23050.3</v>
      </c>
      <c r="AB37" s="43">
        <f>AA37*'KiGa - PS'!L38</f>
        <v>20113.852290753082</v>
      </c>
      <c r="AC37" s="43">
        <f t="shared" si="24"/>
        <v>242.33556976810942</v>
      </c>
      <c r="AD37" s="42">
        <f t="shared" si="25"/>
        <v>2.4112351425259405E-2</v>
      </c>
      <c r="AE37" s="365">
        <v>19720</v>
      </c>
      <c r="AF37" s="43">
        <f>AE37*'KiGa - PS'!L38</f>
        <v>17207.809320210617</v>
      </c>
      <c r="AG37" s="42">
        <f t="shared" si="26"/>
        <v>2.0628606573715545E-2</v>
      </c>
      <c r="AH37" s="42">
        <f>AE37/'Kennzahlen Revision'!F37</f>
        <v>6.3828272169967046E-2</v>
      </c>
      <c r="AI37" s="97">
        <f t="shared" si="14"/>
        <v>0.10610557066001246</v>
      </c>
      <c r="AJ37" s="365">
        <v>297882.84999999998</v>
      </c>
      <c r="AK37" s="43">
        <f>AJ37*'KiGa - PS'!$L38</f>
        <v>259934.6492170842</v>
      </c>
      <c r="AL37" s="365">
        <v>143601.1</v>
      </c>
      <c r="AM37" s="43">
        <f>AL37*'KiGa - PS'!$L38</f>
        <v>125307.31982619152</v>
      </c>
      <c r="AN37" s="97">
        <f>(AK37+AM37)/Funktional!E37</f>
        <v>0.51129662066972326</v>
      </c>
    </row>
    <row r="38" spans="1:40" x14ac:dyDescent="0.25">
      <c r="A38" t="str">
        <f>Funktional!A38</f>
        <v>Eggethof</v>
      </c>
      <c r="B38" t="str">
        <f>Funktional!B38</f>
        <v>PSG</v>
      </c>
      <c r="C38" s="43">
        <f>Funktional!D38</f>
        <v>38</v>
      </c>
      <c r="D38" s="43">
        <f>Funktional!J38-'KiGa - PS'!H39</f>
        <v>150732.75</v>
      </c>
      <c r="E38" s="43">
        <f>'KiGa - PS'!F39+'KiGa - PS'!K39*Artengliederung!D38</f>
        <v>463276.62212898268</v>
      </c>
      <c r="F38" s="365">
        <v>319500.15000000002</v>
      </c>
      <c r="G38" s="43">
        <f>F38*'KiGa - PS'!L39</f>
        <v>319500.15000000002</v>
      </c>
      <c r="H38" s="42">
        <f t="shared" si="15"/>
        <v>0.68965308141762161</v>
      </c>
      <c r="I38" s="85">
        <f t="shared" si="16"/>
        <v>8407.8986842105278</v>
      </c>
      <c r="J38" s="365">
        <v>105120.6</v>
      </c>
      <c r="K38" s="43">
        <f>J38*'KiGa - PS'!L39</f>
        <v>105120.6</v>
      </c>
      <c r="L38" s="42">
        <f t="shared" si="17"/>
        <v>0.22690676580423902</v>
      </c>
      <c r="M38" s="43">
        <f t="shared" si="18"/>
        <v>2766.3315789473686</v>
      </c>
      <c r="N38" s="365">
        <v>10926.7</v>
      </c>
      <c r="O38" s="43">
        <f>N38*'KiGa - PS'!L39</f>
        <v>10926.7</v>
      </c>
      <c r="P38" s="42">
        <f t="shared" si="19"/>
        <v>2.3585692603668343E-2</v>
      </c>
      <c r="Q38" s="43">
        <f>O38/Funktional!C38</f>
        <v>5463.35</v>
      </c>
      <c r="R38" s="85">
        <f t="shared" si="20"/>
        <v>287.54473684210529</v>
      </c>
      <c r="S38" s="365">
        <v>1486.55</v>
      </c>
      <c r="T38" s="365">
        <v>7785.25</v>
      </c>
      <c r="U38" s="43">
        <f>T38*'KiGa - PS'!L39</f>
        <v>7785.25</v>
      </c>
      <c r="V38" s="42">
        <f t="shared" si="21"/>
        <v>1.6804754714846108E-2</v>
      </c>
      <c r="W38" s="43">
        <f t="shared" si="22"/>
        <v>204.875</v>
      </c>
      <c r="X38" s="365">
        <v>2396.9</v>
      </c>
      <c r="Y38" s="43">
        <f>X38*'KiGa - PS'!L39</f>
        <v>2396.9</v>
      </c>
      <c r="Z38" s="91">
        <f t="shared" si="23"/>
        <v>5.1737987317060641E-3</v>
      </c>
      <c r="AA38" s="365">
        <v>5237.3999999999996</v>
      </c>
      <c r="AB38" s="43">
        <f>AA38*'KiGa - PS'!L39</f>
        <v>5237.3999999999996</v>
      </c>
      <c r="AC38" s="43">
        <f t="shared" si="24"/>
        <v>137.82631578947368</v>
      </c>
      <c r="AD38" s="42">
        <f t="shared" si="25"/>
        <v>1.1305124735048327E-2</v>
      </c>
      <c r="AE38" s="365">
        <v>4176</v>
      </c>
      <c r="AF38" s="43">
        <f>AE38*'KiGa - PS'!L39</f>
        <v>4176</v>
      </c>
      <c r="AG38" s="42">
        <f t="shared" si="26"/>
        <v>9.0140529448890332E-3</v>
      </c>
      <c r="AH38" s="42">
        <f>AE38/'Kennzahlen Revision'!F38</f>
        <v>1.8580087138651009E-2</v>
      </c>
      <c r="AI38" s="97">
        <f t="shared" si="14"/>
        <v>5.5330273328244944E-2</v>
      </c>
      <c r="AJ38" s="365">
        <v>130534</v>
      </c>
      <c r="AK38" s="43">
        <f>AJ38*'KiGa - PS'!$L39</f>
        <v>130534</v>
      </c>
      <c r="AL38" s="365">
        <v>118896</v>
      </c>
      <c r="AM38" s="43">
        <f>AL38*'KiGa - PS'!$L39</f>
        <v>118896</v>
      </c>
      <c r="AN38" s="97">
        <f>(AK38+AM38)/Funktional!E38</f>
        <v>0.56199160831597972</v>
      </c>
    </row>
    <row r="39" spans="1:40" x14ac:dyDescent="0.25">
      <c r="A39" t="str">
        <f>Funktional!A39</f>
        <v>Egnach</v>
      </c>
      <c r="B39" t="str">
        <f>Funktional!B39</f>
        <v>PSG</v>
      </c>
      <c r="C39" s="43">
        <f>Funktional!D39</f>
        <v>166</v>
      </c>
      <c r="D39" s="43">
        <f>Funktional!J39-'KiGa - PS'!H40</f>
        <v>593637.90000000014</v>
      </c>
      <c r="E39" s="43">
        <f>'KiGa - PS'!F40+'KiGa - PS'!K40*Artengliederung!D39</f>
        <v>1418645.7369293449</v>
      </c>
      <c r="F39" s="365">
        <v>1048658.3500000001</v>
      </c>
      <c r="G39" s="43">
        <f>F39*'KiGa - PS'!L40</f>
        <v>890111.69588359934</v>
      </c>
      <c r="H39" s="42">
        <f t="shared" si="15"/>
        <v>0.62743761371337414</v>
      </c>
      <c r="I39" s="85">
        <f t="shared" si="16"/>
        <v>5362.118649901201</v>
      </c>
      <c r="J39" s="365">
        <v>299966</v>
      </c>
      <c r="K39" s="43">
        <f>J39*'KiGa - PS'!L40</f>
        <v>254614.14098063466</v>
      </c>
      <c r="L39" s="42">
        <f t="shared" si="17"/>
        <v>0.17947690135223351</v>
      </c>
      <c r="M39" s="43">
        <f t="shared" si="18"/>
        <v>1533.8201263893654</v>
      </c>
      <c r="N39" s="365">
        <v>45132.1</v>
      </c>
      <c r="O39" s="43">
        <f>N39*'KiGa - PS'!L40</f>
        <v>38308.57787933333</v>
      </c>
      <c r="P39" s="42">
        <f t="shared" si="19"/>
        <v>2.7003625275928398E-2</v>
      </c>
      <c r="Q39" s="43">
        <f>O39/Funktional!C39</f>
        <v>4788.5722349166663</v>
      </c>
      <c r="R39" s="85">
        <f t="shared" si="20"/>
        <v>230.77456553815259</v>
      </c>
      <c r="S39" s="365">
        <v>26796.05</v>
      </c>
      <c r="T39" s="365">
        <v>56752.65</v>
      </c>
      <c r="U39" s="43">
        <f>T39*'KiGa - PS'!L40</f>
        <v>48172.216945002489</v>
      </c>
      <c r="V39" s="42">
        <f t="shared" si="21"/>
        <v>3.3956480952934118E-2</v>
      </c>
      <c r="W39" s="43">
        <f t="shared" si="22"/>
        <v>290.19407798194271</v>
      </c>
      <c r="X39" s="365">
        <v>54250</v>
      </c>
      <c r="Y39" s="43">
        <f>X39*'KiGa - PS'!L40</f>
        <v>46047.942594158776</v>
      </c>
      <c r="Z39" s="91">
        <f t="shared" si="23"/>
        <v>3.2459085024164967E-2</v>
      </c>
      <c r="AA39" s="365">
        <v>117846.8</v>
      </c>
      <c r="AB39" s="43">
        <f>AA39*'KiGa - PS'!L40</f>
        <v>100029.54251254028</v>
      </c>
      <c r="AC39" s="43">
        <f t="shared" si="24"/>
        <v>602.58760549723058</v>
      </c>
      <c r="AD39" s="42">
        <f t="shared" si="25"/>
        <v>7.0510586194023298E-2</v>
      </c>
      <c r="AE39" s="365">
        <v>98800</v>
      </c>
      <c r="AF39" s="43">
        <f>AE39*'KiGa - PS'!L40</f>
        <v>83862.428171481777</v>
      </c>
      <c r="AG39" s="42">
        <f t="shared" si="26"/>
        <v>5.911442581359444E-2</v>
      </c>
      <c r="AH39" s="42">
        <f>AE39/'Kennzahlen Revision'!F39</f>
        <v>6.4072258981627217E-2</v>
      </c>
      <c r="AI39" s="97">
        <f t="shared" si="14"/>
        <v>8.8618417787434942E-2</v>
      </c>
      <c r="AJ39" s="365">
        <v>99397</v>
      </c>
      <c r="AK39" s="43">
        <f>AJ39*'KiGa - PS'!$L40</f>
        <v>84369.167742517966</v>
      </c>
      <c r="AL39" s="365">
        <v>0</v>
      </c>
      <c r="AM39" s="43">
        <f>AL39*'KiGa - PS'!$L40</f>
        <v>0</v>
      </c>
      <c r="AN39" s="97">
        <f>(AK39+AM39)/Funktional!E39</f>
        <v>6.4469163918996389E-2</v>
      </c>
    </row>
    <row r="40" spans="1:40" x14ac:dyDescent="0.25">
      <c r="A40" t="str">
        <f>Funktional!A40</f>
        <v>Engelswilen-Dotnacht</v>
      </c>
      <c r="B40" t="str">
        <f>Funktional!B40</f>
        <v>PSG</v>
      </c>
      <c r="C40" s="43">
        <f>Funktional!D40</f>
        <v>39</v>
      </c>
      <c r="D40" s="43">
        <f>Funktional!J40-'KiGa - PS'!H41</f>
        <v>292495.5</v>
      </c>
      <c r="E40" s="43">
        <f>'KiGa - PS'!F41+'KiGa - PS'!K41*Artengliederung!D40</f>
        <v>632979.9</v>
      </c>
      <c r="F40" s="365">
        <v>331654.25</v>
      </c>
      <c r="G40" s="43">
        <f>F40*'KiGa - PS'!L41</f>
        <v>331654.25</v>
      </c>
      <c r="H40" s="42">
        <f t="shared" si="15"/>
        <v>0.52395700084631436</v>
      </c>
      <c r="I40" s="85">
        <f t="shared" si="16"/>
        <v>8503.9551282051289</v>
      </c>
      <c r="J40" s="365">
        <v>152827</v>
      </c>
      <c r="K40" s="43">
        <f>J40*'KiGa - PS'!L41</f>
        <v>152827</v>
      </c>
      <c r="L40" s="42">
        <f t="shared" si="17"/>
        <v>0.24144052599458529</v>
      </c>
      <c r="M40" s="43">
        <f t="shared" si="18"/>
        <v>3918.6410256410259</v>
      </c>
      <c r="N40" s="365">
        <v>19287.75</v>
      </c>
      <c r="O40" s="43">
        <f>N40*'KiGa - PS'!L41</f>
        <v>19287.75</v>
      </c>
      <c r="P40" s="42">
        <f t="shared" si="19"/>
        <v>3.047134672048828E-2</v>
      </c>
      <c r="Q40" s="43">
        <f>O40/Funktional!C40</f>
        <v>9643.875</v>
      </c>
      <c r="R40" s="85">
        <f t="shared" si="20"/>
        <v>494.55769230769232</v>
      </c>
      <c r="S40" s="365">
        <v>19592.25</v>
      </c>
      <c r="T40" s="365">
        <v>27874.3</v>
      </c>
      <c r="U40" s="43">
        <f>T40*'KiGa - PS'!L41</f>
        <v>27874.3</v>
      </c>
      <c r="V40" s="42">
        <f t="shared" si="21"/>
        <v>4.4036627387378333E-2</v>
      </c>
      <c r="W40" s="43">
        <f t="shared" si="22"/>
        <v>714.72564102564104</v>
      </c>
      <c r="X40" s="365">
        <v>24234.15</v>
      </c>
      <c r="Y40" s="43">
        <f>X40*'KiGa - PS'!L41</f>
        <v>24234.15</v>
      </c>
      <c r="Z40" s="91">
        <f t="shared" si="23"/>
        <v>3.8285812867043648E-2</v>
      </c>
      <c r="AA40" s="365">
        <v>73918.649999999994</v>
      </c>
      <c r="AB40" s="43">
        <f>AA40*'KiGa - PS'!L41</f>
        <v>73918.649999999994</v>
      </c>
      <c r="AC40" s="43">
        <f t="shared" si="24"/>
        <v>1895.35</v>
      </c>
      <c r="AD40" s="42">
        <f t="shared" si="25"/>
        <v>0.11677882662624831</v>
      </c>
      <c r="AE40" s="365">
        <v>21353</v>
      </c>
      <c r="AF40" s="43">
        <f>AE40*'KiGa - PS'!L41</f>
        <v>21353</v>
      </c>
      <c r="AG40" s="42">
        <f t="shared" si="26"/>
        <v>3.373408855478665E-2</v>
      </c>
      <c r="AH40" s="42">
        <f>AE40/'Kennzahlen Revision'!F40</f>
        <v>5.8276168395829268E-2</v>
      </c>
      <c r="AI40" s="97">
        <f t="shared" ref="AI40:AI48" si="27">1-H40-L40-V40-AD40</f>
        <v>7.3787019145473726E-2</v>
      </c>
      <c r="AJ40" s="365">
        <v>156774</v>
      </c>
      <c r="AK40" s="43">
        <f>AJ40*'KiGa - PS'!$L41</f>
        <v>156774</v>
      </c>
      <c r="AL40" s="365">
        <v>183068</v>
      </c>
      <c r="AM40" s="43">
        <f>AL40*'KiGa - PS'!$L41</f>
        <v>183068</v>
      </c>
      <c r="AN40" s="97">
        <f>(AK40+AM40)/Funktional!E40</f>
        <v>0.57586293783600917</v>
      </c>
    </row>
    <row r="41" spans="1:40" x14ac:dyDescent="0.25">
      <c r="A41" t="str">
        <f>Funktional!A41</f>
        <v>Engwang-Wagerswil</v>
      </c>
      <c r="B41" t="str">
        <f>Funktional!B41</f>
        <v>PSG</v>
      </c>
      <c r="C41" s="43">
        <f>Funktional!D41</f>
        <v>51</v>
      </c>
      <c r="D41" s="43">
        <f>Funktional!J41-'KiGa - PS'!H42</f>
        <v>132998.70000000001</v>
      </c>
      <c r="E41" s="43">
        <f>'KiGa - PS'!F42+'KiGa - PS'!K42*Artengliederung!D41</f>
        <v>475914.1</v>
      </c>
      <c r="F41" s="365">
        <v>314906.59999999998</v>
      </c>
      <c r="G41" s="43">
        <f>F41*'KiGa - PS'!L42</f>
        <v>314906.59999999998</v>
      </c>
      <c r="H41" s="42">
        <f t="shared" ref="H41:H56" si="28">G41/$E41</f>
        <v>0.66168789703856223</v>
      </c>
      <c r="I41" s="85">
        <f t="shared" ref="I41:I56" si="29">G41/C41</f>
        <v>6174.6392156862739</v>
      </c>
      <c r="J41" s="365">
        <v>54186.85</v>
      </c>
      <c r="K41" s="43">
        <f>J41*'KiGa - PS'!L42</f>
        <v>54186.85</v>
      </c>
      <c r="L41" s="42">
        <f t="shared" ref="L41:L56" si="30">K41/$E41</f>
        <v>0.11385846731584545</v>
      </c>
      <c r="M41" s="43">
        <f t="shared" ref="M41:M56" si="31">K41/C41</f>
        <v>1062.4872549019608</v>
      </c>
      <c r="N41" s="365">
        <v>5952.9</v>
      </c>
      <c r="O41" s="43">
        <f>N41*'KiGa - PS'!L42</f>
        <v>5952.9</v>
      </c>
      <c r="P41" s="42">
        <f t="shared" ref="P41:P56" si="32">O41/$E41</f>
        <v>1.2508349721094625E-2</v>
      </c>
      <c r="Q41" s="43">
        <f>O41/Funktional!C41</f>
        <v>2976.45</v>
      </c>
      <c r="R41" s="85">
        <f t="shared" ref="R41:R56" si="33">O41/C41</f>
        <v>116.7235294117647</v>
      </c>
      <c r="S41" s="365">
        <v>11046</v>
      </c>
      <c r="T41" s="365">
        <v>27970.85</v>
      </c>
      <c r="U41" s="43">
        <f>T41*'KiGa - PS'!L42</f>
        <v>27970.85</v>
      </c>
      <c r="V41" s="42">
        <f t="shared" ref="V41:V56" si="34">U41/$E41</f>
        <v>5.8772896201226228E-2</v>
      </c>
      <c r="W41" s="43">
        <f t="shared" ref="W41:W56" si="35">U41/C41</f>
        <v>548.44803921568621</v>
      </c>
      <c r="X41" s="365">
        <v>27329.15</v>
      </c>
      <c r="Y41" s="43">
        <f>X41*'KiGa - PS'!L42</f>
        <v>27329.15</v>
      </c>
      <c r="Z41" s="91">
        <f t="shared" ref="Z41:Z56" si="36">Y41/$E41</f>
        <v>5.7424543630877928E-2</v>
      </c>
      <c r="AA41" s="365">
        <v>49576.45</v>
      </c>
      <c r="AB41" s="43">
        <f>AA41*'KiGa - PS'!L42</f>
        <v>49576.45</v>
      </c>
      <c r="AC41" s="43">
        <f t="shared" ref="AC41:AC56" si="37">AB41/C41</f>
        <v>972.0872549019607</v>
      </c>
      <c r="AD41" s="42">
        <f t="shared" ref="AD41:AD56" si="38">AB41/$E41</f>
        <v>0.10417100480948137</v>
      </c>
      <c r="AE41" s="365">
        <v>47000</v>
      </c>
      <c r="AF41" s="43">
        <f>AE41*'KiGa - PS'!L42</f>
        <v>47000</v>
      </c>
      <c r="AG41" s="42">
        <f t="shared" ref="AG41:AG56" si="39">AF41/$E41</f>
        <v>9.8757317759654531E-2</v>
      </c>
      <c r="AH41" s="42">
        <f>AE41/'Kennzahlen Revision'!F41</f>
        <v>6.2761063490226865E-2</v>
      </c>
      <c r="AI41" s="97">
        <f t="shared" si="27"/>
        <v>6.1509734634884725E-2</v>
      </c>
      <c r="AJ41" s="365">
        <v>140926</v>
      </c>
      <c r="AK41" s="43">
        <f>AJ41*'KiGa - PS'!$L42</f>
        <v>140926</v>
      </c>
      <c r="AL41" s="365">
        <v>172309</v>
      </c>
      <c r="AM41" s="43">
        <f>AL41*'KiGa - PS'!$L42</f>
        <v>172309</v>
      </c>
      <c r="AN41" s="97">
        <f>(AK41+AM41)/Funktional!E41</f>
        <v>0.67904432805535808</v>
      </c>
    </row>
    <row r="42" spans="1:40" x14ac:dyDescent="0.25">
      <c r="A42" t="str">
        <f>Funktional!A42</f>
        <v>Ermatingen</v>
      </c>
      <c r="B42" t="str">
        <f>Funktional!B42</f>
        <v>PSG</v>
      </c>
      <c r="C42" s="43">
        <f>Funktional!D42</f>
        <v>180</v>
      </c>
      <c r="D42" s="43">
        <f>Funktional!J42-'KiGa - PS'!H43</f>
        <v>1459922.85</v>
      </c>
      <c r="E42" s="43">
        <f>'KiGa - PS'!F43+'KiGa - PS'!K43*Artengliederung!D42</f>
        <v>2621644.1713840999</v>
      </c>
      <c r="F42" s="365">
        <v>1788190.3</v>
      </c>
      <c r="G42" s="43">
        <f>F42*'KiGa - PS'!L43</f>
        <v>1504971.1501060142</v>
      </c>
      <c r="H42" s="42">
        <f t="shared" si="28"/>
        <v>0.57405622263049649</v>
      </c>
      <c r="I42" s="85">
        <f t="shared" si="29"/>
        <v>8360.9508339223012</v>
      </c>
      <c r="J42" s="365">
        <v>469699.45</v>
      </c>
      <c r="K42" s="43">
        <f>J42*'KiGa - PS'!L43</f>
        <v>395306.98800382845</v>
      </c>
      <c r="L42" s="42">
        <f t="shared" si="30"/>
        <v>0.15078590463141522</v>
      </c>
      <c r="M42" s="43">
        <f t="shared" si="31"/>
        <v>2196.1499333546026</v>
      </c>
      <c r="N42" s="365">
        <v>68757.05</v>
      </c>
      <c r="O42" s="43">
        <f>N42*'KiGa - PS'!L43</f>
        <v>57867.094244050386</v>
      </c>
      <c r="P42" s="42">
        <f t="shared" si="32"/>
        <v>2.2072825471772316E-2</v>
      </c>
      <c r="Q42" s="43">
        <f>O42/Funktional!C42</f>
        <v>6429.6771382278203</v>
      </c>
      <c r="R42" s="85">
        <f t="shared" si="33"/>
        <v>321.48385691139106</v>
      </c>
      <c r="S42" s="365">
        <v>60681.8</v>
      </c>
      <c r="T42" s="365">
        <v>156642.25</v>
      </c>
      <c r="U42" s="43">
        <f>T42*'KiGa - PS'!L43</f>
        <v>131832.76250726436</v>
      </c>
      <c r="V42" s="42">
        <f t="shared" si="34"/>
        <v>5.0286291307665563E-2</v>
      </c>
      <c r="W42" s="43">
        <f t="shared" si="35"/>
        <v>732.40423615146869</v>
      </c>
      <c r="X42" s="365">
        <v>156642.25</v>
      </c>
      <c r="Y42" s="43">
        <f>X42*'KiGa - PS'!L43</f>
        <v>131832.76250726436</v>
      </c>
      <c r="Z42" s="91">
        <f t="shared" si="36"/>
        <v>5.0286291307665563E-2</v>
      </c>
      <c r="AA42" s="365">
        <v>451242</v>
      </c>
      <c r="AB42" s="43">
        <f>AA42*'KiGa - PS'!L43</f>
        <v>379772.88642944663</v>
      </c>
      <c r="AC42" s="43">
        <f t="shared" si="37"/>
        <v>2109.8493690524815</v>
      </c>
      <c r="AD42" s="42">
        <f t="shared" si="38"/>
        <v>0.14486057664680907</v>
      </c>
      <c r="AE42" s="365">
        <v>437897.25</v>
      </c>
      <c r="AF42" s="43">
        <f>AE42*'KiGa - PS'!L43</f>
        <v>368541.71950309811</v>
      </c>
      <c r="AG42" s="42">
        <f t="shared" si="39"/>
        <v>0.14057656013192901</v>
      </c>
      <c r="AH42" s="42">
        <f>AE42/'Kennzahlen Revision'!F42</f>
        <v>6.8384385249718724E-2</v>
      </c>
      <c r="AI42" s="97">
        <f t="shared" si="27"/>
        <v>8.0011004783613643E-2</v>
      </c>
      <c r="AJ42" s="365">
        <v>59404</v>
      </c>
      <c r="AK42" s="43">
        <f>AJ42*'KiGa - PS'!$L43</f>
        <v>49995.409437629583</v>
      </c>
      <c r="AL42" s="365">
        <v>0</v>
      </c>
      <c r="AM42" s="43">
        <f>AL42*'KiGa - PS'!$L43</f>
        <v>0</v>
      </c>
      <c r="AN42" s="97">
        <f>(AK42+AM42)/Funktional!E42</f>
        <v>1.9636690808363336E-2</v>
      </c>
    </row>
    <row r="43" spans="1:40" x14ac:dyDescent="0.25">
      <c r="A43" t="str">
        <f>Funktional!A43</f>
        <v>Eschenz</v>
      </c>
      <c r="B43" t="str">
        <f>Funktional!B43</f>
        <v>PSG</v>
      </c>
      <c r="C43" s="43">
        <f>Funktional!D43</f>
        <v>148</v>
      </c>
      <c r="D43" s="43">
        <f>Funktional!J43-'KiGa - PS'!H44</f>
        <v>547044.60000000009</v>
      </c>
      <c r="E43" s="43">
        <f>'KiGa - PS'!F44+'KiGa - PS'!K44*Artengliederung!D43</f>
        <v>1426995.9596423919</v>
      </c>
      <c r="F43" s="365">
        <v>1165497.95</v>
      </c>
      <c r="G43" s="43">
        <f>F43*'KiGa - PS'!L44</f>
        <v>981387.31768473319</v>
      </c>
      <c r="H43" s="42">
        <f t="shared" si="28"/>
        <v>0.68772956997766899</v>
      </c>
      <c r="I43" s="85">
        <f t="shared" si="29"/>
        <v>6630.9953897617106</v>
      </c>
      <c r="J43" s="365">
        <v>175867.5</v>
      </c>
      <c r="K43" s="43">
        <f>J43*'KiGa - PS'!L44</f>
        <v>148086.17560667507</v>
      </c>
      <c r="L43" s="42">
        <f t="shared" si="30"/>
        <v>0.1037747686712342</v>
      </c>
      <c r="M43" s="43">
        <f t="shared" si="31"/>
        <v>1000.5822676126694</v>
      </c>
      <c r="N43" s="365">
        <v>36267.85</v>
      </c>
      <c r="O43" s="43">
        <f>N43*'KiGa - PS'!L44</f>
        <v>30538.713542732741</v>
      </c>
      <c r="P43" s="42">
        <f t="shared" si="32"/>
        <v>2.1400700777306901E-2</v>
      </c>
      <c r="Q43" s="43">
        <f>O43/Funktional!C43</f>
        <v>3393.1903936369713</v>
      </c>
      <c r="R43" s="85">
        <f t="shared" si="33"/>
        <v>206.34265907251853</v>
      </c>
      <c r="S43" s="365">
        <v>5092.2</v>
      </c>
      <c r="T43" s="365">
        <v>88392.7</v>
      </c>
      <c r="U43" s="43">
        <f>T43*'KiGa - PS'!L44</f>
        <v>74429.53868422618</v>
      </c>
      <c r="V43" s="42">
        <f t="shared" si="34"/>
        <v>5.2158198613875807E-2</v>
      </c>
      <c r="W43" s="43">
        <f t="shared" si="35"/>
        <v>502.90228840693362</v>
      </c>
      <c r="X43" s="365">
        <v>84413.4</v>
      </c>
      <c r="Y43" s="43">
        <f>X43*'KiGa - PS'!L44</f>
        <v>71078.838193279065</v>
      </c>
      <c r="Z43" s="91">
        <f t="shared" si="36"/>
        <v>4.9810118741395432E-2</v>
      </c>
      <c r="AA43" s="365">
        <v>112722.85</v>
      </c>
      <c r="AB43" s="43">
        <f>AA43*'KiGa - PS'!L44</f>
        <v>94916.319160645915</v>
      </c>
      <c r="AC43" s="43">
        <f t="shared" si="37"/>
        <v>641.32648081517505</v>
      </c>
      <c r="AD43" s="42">
        <f t="shared" si="38"/>
        <v>6.6514777788461391E-2</v>
      </c>
      <c r="AE43" s="365">
        <v>74119</v>
      </c>
      <c r="AF43" s="43">
        <f>AE43*'KiGa - PS'!L44</f>
        <v>62410.617367001578</v>
      </c>
      <c r="AG43" s="42">
        <f t="shared" si="39"/>
        <v>4.3735665083902413E-2</v>
      </c>
      <c r="AH43" s="42">
        <f>AE43/'Kennzahlen Revision'!F43</f>
        <v>2.5227924455642411E-2</v>
      </c>
      <c r="AI43" s="97">
        <f t="shared" si="27"/>
        <v>8.9822684948759626E-2</v>
      </c>
      <c r="AJ43" s="365">
        <v>410756.65</v>
      </c>
      <c r="AK43" s="43">
        <f>AJ43*'KiGa - PS'!$L44</f>
        <v>345870.50707782607</v>
      </c>
      <c r="AL43" s="365">
        <v>0</v>
      </c>
      <c r="AM43" s="43">
        <f>AL43*'KiGa - PS'!$L44</f>
        <v>0</v>
      </c>
      <c r="AN43" s="97">
        <f>(AK43+AM43)/Funktional!E43</f>
        <v>0.26279325805294751</v>
      </c>
    </row>
    <row r="44" spans="1:40" x14ac:dyDescent="0.25">
      <c r="A44" t="str">
        <f>Funktional!A44</f>
        <v>Ettenhausen</v>
      </c>
      <c r="B44" t="str">
        <f>Funktional!B44</f>
        <v>PSG</v>
      </c>
      <c r="C44" s="43">
        <f>Funktional!D44</f>
        <v>99</v>
      </c>
      <c r="D44" s="43">
        <f>Funktional!J44-'KiGa - PS'!H45</f>
        <v>430440.49999999988</v>
      </c>
      <c r="E44" s="43">
        <f>'KiGa - PS'!F45+'KiGa - PS'!K45*Artengliederung!D44</f>
        <v>936239.29142304114</v>
      </c>
      <c r="F44" s="365">
        <v>756875.9</v>
      </c>
      <c r="G44" s="43">
        <f>F44*'KiGa - PS'!L45</f>
        <v>629396.32052770734</v>
      </c>
      <c r="H44" s="42">
        <f t="shared" si="28"/>
        <v>0.67226010090972954</v>
      </c>
      <c r="I44" s="85">
        <f t="shared" si="29"/>
        <v>6357.5385911889634</v>
      </c>
      <c r="J44" s="365">
        <v>160041.1</v>
      </c>
      <c r="K44" s="43">
        <f>J44*'KiGa - PS'!L45</f>
        <v>133085.59497429748</v>
      </c>
      <c r="L44" s="42">
        <f t="shared" si="30"/>
        <v>0.14214912383351636</v>
      </c>
      <c r="M44" s="43">
        <f t="shared" si="31"/>
        <v>1344.2989391343181</v>
      </c>
      <c r="N44" s="365">
        <v>41288.6</v>
      </c>
      <c r="O44" s="43">
        <f>N44*'KiGa - PS'!L45</f>
        <v>34334.417200680189</v>
      </c>
      <c r="P44" s="42">
        <f t="shared" si="32"/>
        <v>3.6672694166139337E-2</v>
      </c>
      <c r="Q44" s="43">
        <f>O44/Funktional!C44</f>
        <v>7629.8704890400422</v>
      </c>
      <c r="R44" s="85">
        <f t="shared" si="33"/>
        <v>346.81229495636552</v>
      </c>
      <c r="S44" s="365">
        <v>9384.35</v>
      </c>
      <c r="T44" s="365">
        <v>56842.2</v>
      </c>
      <c r="U44" s="43">
        <f>T44*'KiGa - PS'!L45</f>
        <v>47268.345485303529</v>
      </c>
      <c r="V44" s="42">
        <f t="shared" si="34"/>
        <v>5.0487461825552943E-2</v>
      </c>
      <c r="W44" s="43">
        <f t="shared" si="35"/>
        <v>477.45803520508616</v>
      </c>
      <c r="X44" s="365">
        <v>37030.449999999997</v>
      </c>
      <c r="Y44" s="43">
        <f>X44*'KiGa - PS'!L45</f>
        <v>30793.461619646285</v>
      </c>
      <c r="Z44" s="91">
        <f t="shared" si="36"/>
        <v>3.2890588871613821E-2</v>
      </c>
      <c r="AA44" s="365">
        <v>98824.7</v>
      </c>
      <c r="AB44" s="43">
        <f>AA44*'KiGa - PS'!L45</f>
        <v>82179.79005178329</v>
      </c>
      <c r="AC44" s="43">
        <f t="shared" si="37"/>
        <v>830.09888941195243</v>
      </c>
      <c r="AD44" s="42">
        <f t="shared" si="38"/>
        <v>8.7776480654719949E-2</v>
      </c>
      <c r="AE44" s="365">
        <v>69688</v>
      </c>
      <c r="AF44" s="43">
        <f>AE44*'KiGa - PS'!L45</f>
        <v>57950.544844848235</v>
      </c>
      <c r="AG44" s="42">
        <f t="shared" si="39"/>
        <v>6.1897151055010778E-2</v>
      </c>
      <c r="AH44" s="42">
        <f>AE44/'Kennzahlen Revision'!F44</f>
        <v>6.3829241574371587E-2</v>
      </c>
      <c r="AI44" s="97">
        <f t="shared" si="27"/>
        <v>4.7326832776481212E-2</v>
      </c>
      <c r="AJ44" s="365">
        <v>55047</v>
      </c>
      <c r="AK44" s="43">
        <f>AJ44*'KiGa - PS'!$L45</f>
        <v>45775.508582171409</v>
      </c>
      <c r="AL44" s="365">
        <v>208307</v>
      </c>
      <c r="AM44" s="43">
        <f>AL44*'KiGa - PS'!$L45</f>
        <v>173222.13501601139</v>
      </c>
      <c r="AN44" s="97">
        <f>(AK44+AM44)/Funktional!E44</f>
        <v>0.24974524427933473</v>
      </c>
    </row>
    <row r="45" spans="1:40" x14ac:dyDescent="0.25">
      <c r="A45" t="str">
        <f>Funktional!A45</f>
        <v>Felben-Wellhausen</v>
      </c>
      <c r="B45" t="str">
        <f>Funktional!B45</f>
        <v>PSG</v>
      </c>
      <c r="C45" s="43">
        <f>Funktional!D45</f>
        <v>178</v>
      </c>
      <c r="D45" s="43">
        <f>Funktional!J45-'KiGa - PS'!H46</f>
        <v>876015.5</v>
      </c>
      <c r="E45" s="43">
        <f>'KiGa - PS'!F46+'KiGa - PS'!K46*Artengliederung!D45</f>
        <v>2048649.6655899854</v>
      </c>
      <c r="F45" s="365">
        <v>1527061.5</v>
      </c>
      <c r="G45" s="43">
        <f>F45*'KiGa - PS'!L46</f>
        <v>1295905.898246882</v>
      </c>
      <c r="H45" s="42">
        <f t="shared" si="28"/>
        <v>0.63256588962646154</v>
      </c>
      <c r="I45" s="85">
        <f t="shared" si="29"/>
        <v>7280.3702148701241</v>
      </c>
      <c r="J45" s="365">
        <v>337960.65</v>
      </c>
      <c r="K45" s="43">
        <f>J45*'KiGa - PS'!L46</f>
        <v>286802.59420485038</v>
      </c>
      <c r="L45" s="42">
        <f t="shared" si="30"/>
        <v>0.13999591976222778</v>
      </c>
      <c r="M45" s="43">
        <f t="shared" si="31"/>
        <v>1611.2505292407325</v>
      </c>
      <c r="N45" s="365">
        <v>66345.5</v>
      </c>
      <c r="O45" s="43">
        <f>N45*'KiGa - PS'!L46</f>
        <v>56302.594736452011</v>
      </c>
      <c r="P45" s="42">
        <f t="shared" si="32"/>
        <v>2.7482783260669202E-2</v>
      </c>
      <c r="Q45" s="43">
        <f>O45/Funktional!C45</f>
        <v>7037.8243420565013</v>
      </c>
      <c r="R45" s="85">
        <f t="shared" si="33"/>
        <v>316.30671200253937</v>
      </c>
      <c r="S45" s="365">
        <v>48600.4</v>
      </c>
      <c r="T45" s="365">
        <v>110977.15</v>
      </c>
      <c r="U45" s="43">
        <f>T45*'KiGa - PS'!L46</f>
        <v>94178.226126209687</v>
      </c>
      <c r="V45" s="42">
        <f t="shared" si="34"/>
        <v>4.5970879115189045E-2</v>
      </c>
      <c r="W45" s="43">
        <f t="shared" si="35"/>
        <v>529.09115801241398</v>
      </c>
      <c r="X45" s="365">
        <v>106982.39999999999</v>
      </c>
      <c r="Y45" s="43">
        <f>X45*'KiGa - PS'!L46</f>
        <v>90788.172688923936</v>
      </c>
      <c r="Z45" s="91">
        <f t="shared" si="36"/>
        <v>4.4316104512080193E-2</v>
      </c>
      <c r="AA45" s="365">
        <v>187106.05</v>
      </c>
      <c r="AB45" s="43">
        <f>AA45*'KiGa - PS'!L46</f>
        <v>158783.28003991718</v>
      </c>
      <c r="AC45" s="43">
        <f t="shared" si="37"/>
        <v>892.04089910065829</v>
      </c>
      <c r="AD45" s="42">
        <f t="shared" si="38"/>
        <v>7.7506311941426834E-2</v>
      </c>
      <c r="AE45" s="365">
        <v>165300</v>
      </c>
      <c r="AF45" s="43">
        <f>AE45*'KiGa - PS'!L46</f>
        <v>140278.07326699651</v>
      </c>
      <c r="AG45" s="42">
        <f t="shared" si="39"/>
        <v>6.8473431852780056E-2</v>
      </c>
      <c r="AH45" s="42">
        <f>AE45/'Kennzahlen Revision'!F45</f>
        <v>6.5853934300481823E-2</v>
      </c>
      <c r="AI45" s="97">
        <f t="shared" si="27"/>
        <v>0.1039609995546948</v>
      </c>
      <c r="AJ45" s="365">
        <v>138653</v>
      </c>
      <c r="AK45" s="43">
        <f>AJ45*'KiGa - PS'!$L46</f>
        <v>117664.70473495987</v>
      </c>
      <c r="AL45" s="365">
        <v>0</v>
      </c>
      <c r="AM45" s="43">
        <f>AL45*'KiGa - PS'!$L46</f>
        <v>0</v>
      </c>
      <c r="AN45" s="97">
        <f>(AK45+AM45)/Funktional!E45</f>
        <v>6.2086055276663173E-2</v>
      </c>
    </row>
    <row r="46" spans="1:40" x14ac:dyDescent="0.25">
      <c r="A46" t="str">
        <f>Funktional!A46</f>
        <v>Fimmelsberg-Holzhäusern</v>
      </c>
      <c r="B46" t="str">
        <f>Funktional!B46</f>
        <v>PSG</v>
      </c>
      <c r="C46" s="43">
        <f>Funktional!D46</f>
        <v>71</v>
      </c>
      <c r="D46" s="43">
        <f>Funktional!J46-'KiGa - PS'!H47</f>
        <v>224812.64</v>
      </c>
      <c r="E46" s="43">
        <f>'KiGa - PS'!F47+'KiGa - PS'!K47*Artengliederung!D46</f>
        <v>602587.81247786491</v>
      </c>
      <c r="F46" s="365">
        <v>450813.95</v>
      </c>
      <c r="G46" s="43">
        <f>F46*'KiGa - PS'!L47</f>
        <v>358817.22538429371</v>
      </c>
      <c r="H46" s="42">
        <f t="shared" si="28"/>
        <v>0.59546047555927673</v>
      </c>
      <c r="I46" s="85">
        <f t="shared" si="29"/>
        <v>5053.7637378069539</v>
      </c>
      <c r="J46" s="365">
        <v>156130.69</v>
      </c>
      <c r="K46" s="43">
        <f>J46*'KiGa - PS'!L47</f>
        <v>124269.40422570173</v>
      </c>
      <c r="L46" s="42">
        <f t="shared" si="30"/>
        <v>0.20622621575219224</v>
      </c>
      <c r="M46" s="43">
        <f t="shared" si="31"/>
        <v>1750.2732989535455</v>
      </c>
      <c r="N46" s="365">
        <v>17203.2</v>
      </c>
      <c r="O46" s="43">
        <f>N46*'KiGa - PS'!L47</f>
        <v>13692.576486887954</v>
      </c>
      <c r="P46" s="42">
        <f t="shared" si="32"/>
        <v>2.2722956228708874E-2</v>
      </c>
      <c r="Q46" s="43">
        <f>O46/Funktional!C46</f>
        <v>4564.1921622959844</v>
      </c>
      <c r="R46" s="85">
        <f t="shared" si="33"/>
        <v>192.85318995616836</v>
      </c>
      <c r="S46" s="365">
        <v>18380.45</v>
      </c>
      <c r="T46" s="365">
        <v>45955.9</v>
      </c>
      <c r="U46" s="43">
        <f>T46*'KiGa - PS'!L47</f>
        <v>36577.769006567039</v>
      </c>
      <c r="V46" s="42">
        <f t="shared" si="34"/>
        <v>6.0701143051927663E-2</v>
      </c>
      <c r="W46" s="43">
        <f t="shared" si="35"/>
        <v>515.17984516291608</v>
      </c>
      <c r="X46" s="365">
        <v>38555.449999999997</v>
      </c>
      <c r="Y46" s="43">
        <f>X46*'KiGa - PS'!L47</f>
        <v>30687.514422397235</v>
      </c>
      <c r="Z46" s="91">
        <f t="shared" si="36"/>
        <v>5.0926211561114987E-2</v>
      </c>
      <c r="AA46" s="365">
        <v>51082.25</v>
      </c>
      <c r="AB46" s="43">
        <f>AA46*'KiGa - PS'!L47</f>
        <v>40657.994747915051</v>
      </c>
      <c r="AC46" s="43">
        <f t="shared" si="37"/>
        <v>572.64781335091618</v>
      </c>
      <c r="AD46" s="42">
        <f t="shared" si="38"/>
        <v>6.747231508172688E-2</v>
      </c>
      <c r="AE46" s="365">
        <v>46500</v>
      </c>
      <c r="AF46" s="43">
        <f>AE46*'KiGa - PS'!L47</f>
        <v>37010.835579443927</v>
      </c>
      <c r="AG46" s="42">
        <f t="shared" si="39"/>
        <v>6.1419821000451215E-2</v>
      </c>
      <c r="AH46" s="42">
        <f>AE46/'Kennzahlen Revision'!F46</f>
        <v>6.3840916673188045E-2</v>
      </c>
      <c r="AI46" s="97">
        <f t="shared" si="27"/>
        <v>7.0139850554876482E-2</v>
      </c>
      <c r="AJ46" s="365">
        <v>244895</v>
      </c>
      <c r="AK46" s="43">
        <f>AJ46*'KiGa - PS'!$L47</f>
        <v>194919.75439199831</v>
      </c>
      <c r="AL46" s="365">
        <v>73286</v>
      </c>
      <c r="AM46" s="43">
        <f>AL46*'KiGa - PS'!$L47</f>
        <v>58330.668737099521</v>
      </c>
      <c r="AN46" s="97">
        <f>(AK46+AM46)/Funktional!E46</f>
        <v>0.44739149278849594</v>
      </c>
    </row>
    <row r="47" spans="1:40" x14ac:dyDescent="0.25">
      <c r="A47" t="str">
        <f>Funktional!A47</f>
        <v>Fischingen</v>
      </c>
      <c r="B47" t="str">
        <f>Funktional!B47</f>
        <v>PSG</v>
      </c>
      <c r="C47" s="43">
        <f>Funktional!D47</f>
        <v>39</v>
      </c>
      <c r="D47" s="43">
        <f>Funktional!J47-'KiGa - PS'!H48</f>
        <v>266668.84999999998</v>
      </c>
      <c r="E47" s="43">
        <f>'KiGa - PS'!F48+'KiGa - PS'!K48*Artengliederung!D47</f>
        <v>531704.81750981044</v>
      </c>
      <c r="F47" s="365">
        <v>407281.55</v>
      </c>
      <c r="G47" s="43">
        <f>F47*'KiGa - PS'!L48</f>
        <v>307460.58800300531</v>
      </c>
      <c r="H47" s="42">
        <f t="shared" si="28"/>
        <v>0.57825428297409098</v>
      </c>
      <c r="I47" s="85">
        <f t="shared" si="29"/>
        <v>7883.6048205898796</v>
      </c>
      <c r="J47" s="365">
        <v>152225.20000000001</v>
      </c>
      <c r="K47" s="43">
        <f>J47*'KiGa - PS'!L48</f>
        <v>114916.20354733743</v>
      </c>
      <c r="L47" s="42">
        <f t="shared" si="30"/>
        <v>0.21612782085657353</v>
      </c>
      <c r="M47" s="43">
        <f t="shared" si="31"/>
        <v>2946.5693217266007</v>
      </c>
      <c r="N47" s="365">
        <v>16145.05</v>
      </c>
      <c r="O47" s="43">
        <f>N47*'KiGa - PS'!L48</f>
        <v>12188.046736558335</v>
      </c>
      <c r="P47" s="42">
        <f t="shared" si="32"/>
        <v>2.2922580979498938E-2</v>
      </c>
      <c r="Q47" s="43">
        <f>O47/Funktional!C47</f>
        <v>6094.0233682791677</v>
      </c>
      <c r="R47" s="85">
        <f t="shared" si="33"/>
        <v>312.51401888611116</v>
      </c>
      <c r="S47" s="365">
        <v>3872.65</v>
      </c>
      <c r="T47" s="365">
        <v>19591.650000000001</v>
      </c>
      <c r="U47" s="43">
        <f>T47*'KiGa - PS'!L48</f>
        <v>14789.91677611981</v>
      </c>
      <c r="V47" s="42">
        <f t="shared" si="34"/>
        <v>2.7816029287428681E-2</v>
      </c>
      <c r="W47" s="43">
        <f t="shared" si="35"/>
        <v>379.22863528512335</v>
      </c>
      <c r="X47" s="365">
        <v>14406.65</v>
      </c>
      <c r="Y47" s="43">
        <f>X47*'KiGa - PS'!L48</f>
        <v>10875.712587897724</v>
      </c>
      <c r="Z47" s="91">
        <f t="shared" si="36"/>
        <v>2.0454417996122552E-2</v>
      </c>
      <c r="AA47" s="365">
        <v>57455.7</v>
      </c>
      <c r="AB47" s="43">
        <f>AA47*'KiGa - PS'!L48</f>
        <v>43373.83636976502</v>
      </c>
      <c r="AC47" s="43">
        <f t="shared" si="37"/>
        <v>1112.1496505067953</v>
      </c>
      <c r="AD47" s="42">
        <f t="shared" si="38"/>
        <v>8.1575029868832694E-2</v>
      </c>
      <c r="AE47" s="365">
        <v>16739</v>
      </c>
      <c r="AF47" s="43">
        <f>AE47*'KiGa - PS'!L48</f>
        <v>12636.425054320054</v>
      </c>
      <c r="AG47" s="42">
        <f t="shared" si="39"/>
        <v>2.3765865266185782E-2</v>
      </c>
      <c r="AH47" s="42">
        <f>AE47/'Kennzahlen Revision'!F47</f>
        <v>6.3830622911986643E-2</v>
      </c>
      <c r="AI47" s="97">
        <f t="shared" si="27"/>
        <v>9.6226837013074107E-2</v>
      </c>
      <c r="AJ47" s="365">
        <v>184806</v>
      </c>
      <c r="AK47" s="43">
        <f>AJ47*'KiGa - PS'!$L48</f>
        <v>139511.74912412162</v>
      </c>
      <c r="AL47" s="365">
        <v>207504</v>
      </c>
      <c r="AM47" s="43">
        <f>AL47*'KiGa - PS'!$L48</f>
        <v>156646.67808540704</v>
      </c>
      <c r="AN47" s="97">
        <f>(AK47+AM47)/Funktional!E47</f>
        <v>0.61164091528646247</v>
      </c>
    </row>
    <row r="48" spans="1:40" x14ac:dyDescent="0.25">
      <c r="A48" t="str">
        <f>Funktional!A48</f>
        <v>Frauenfeld</v>
      </c>
      <c r="B48" t="str">
        <f>Funktional!B48</f>
        <v>PSG</v>
      </c>
      <c r="C48" s="43">
        <f>Funktional!D48</f>
        <v>1599</v>
      </c>
      <c r="D48" s="43">
        <f>Funktional!J48-'KiGa - PS'!H49</f>
        <v>9542874.1000000015</v>
      </c>
      <c r="E48" s="43">
        <f>'KiGa - PS'!F49+'KiGa - PS'!K49*Artengliederung!D48</f>
        <v>18895957.237325668</v>
      </c>
      <c r="F48" s="365">
        <v>14702484.449999999</v>
      </c>
      <c r="G48" s="43">
        <f>F48*'KiGa - PS'!L49</f>
        <v>12269879.757246045</v>
      </c>
      <c r="H48" s="42">
        <f t="shared" si="28"/>
        <v>0.649338882552562</v>
      </c>
      <c r="I48" s="85">
        <f t="shared" si="29"/>
        <v>7673.470767508471</v>
      </c>
      <c r="J48" s="365">
        <v>2136978.7000000002</v>
      </c>
      <c r="K48" s="43">
        <f>J48*'KiGa - PS'!L49</f>
        <v>1783404.1438347499</v>
      </c>
      <c r="L48" s="42">
        <f t="shared" si="30"/>
        <v>9.4380195797223024E-2</v>
      </c>
      <c r="M48" s="43">
        <f t="shared" si="31"/>
        <v>1115.3246678141024</v>
      </c>
      <c r="N48" s="365">
        <v>462392.25</v>
      </c>
      <c r="O48" s="43">
        <f>N48*'KiGa - PS'!L49</f>
        <v>385886.97899846802</v>
      </c>
      <c r="P48" s="42">
        <f t="shared" si="32"/>
        <v>2.0421668727965556E-2</v>
      </c>
      <c r="Q48" s="43">
        <f>O48/Funktional!C48</f>
        <v>4793.6270683039502</v>
      </c>
      <c r="R48" s="85">
        <f t="shared" si="33"/>
        <v>241.33019324482052</v>
      </c>
      <c r="S48" s="365">
        <v>171569.5</v>
      </c>
      <c r="T48" s="365">
        <v>1391175</v>
      </c>
      <c r="U48" s="43">
        <f>T48*'KiGa - PS'!L49</f>
        <v>1160997.6551471045</v>
      </c>
      <c r="V48" s="42">
        <f t="shared" si="34"/>
        <v>6.144158988959586E-2</v>
      </c>
      <c r="W48" s="43">
        <f t="shared" si="35"/>
        <v>726.07733279994034</v>
      </c>
      <c r="X48" s="365">
        <v>1360338.55</v>
      </c>
      <c r="Y48" s="43">
        <f>X48*'KiGa - PS'!L49</f>
        <v>1135263.2607372995</v>
      </c>
      <c r="Z48" s="91">
        <f t="shared" si="36"/>
        <v>6.0079690405669677E-2</v>
      </c>
      <c r="AA48" s="365">
        <v>1623009.4</v>
      </c>
      <c r="AB48" s="43">
        <f>AA48*'KiGa - PS'!L49</f>
        <v>1354473.8136335898</v>
      </c>
      <c r="AC48" s="43">
        <f t="shared" si="37"/>
        <v>847.07555574333321</v>
      </c>
      <c r="AD48" s="42">
        <f t="shared" si="38"/>
        <v>7.1680613827706116E-2</v>
      </c>
      <c r="AE48" s="365">
        <v>1346100</v>
      </c>
      <c r="AF48" s="43">
        <f>AE48*'KiGa - PS'!L49</f>
        <v>1123380.5549938129</v>
      </c>
      <c r="AG48" s="42">
        <f t="shared" si="39"/>
        <v>5.9450841303491653E-2</v>
      </c>
      <c r="AH48" s="42">
        <f>AE48/'Kennzahlen Revision'!F48</f>
        <v>9.0854903844501192E-2</v>
      </c>
      <c r="AI48" s="97">
        <f t="shared" si="27"/>
        <v>0.12315871793291301</v>
      </c>
      <c r="AJ48" s="365">
        <v>717278</v>
      </c>
      <c r="AK48" s="43">
        <f>AJ48*'KiGa - PS'!$L49</f>
        <v>598600.51833062328</v>
      </c>
      <c r="AL48" s="365">
        <v>0</v>
      </c>
      <c r="AM48" s="43">
        <f>AL48*'KiGa - PS'!$L49</f>
        <v>0</v>
      </c>
      <c r="AN48" s="97">
        <f>(AK48+AM48)/Funktional!E48</f>
        <v>3.5294488632482635E-2</v>
      </c>
    </row>
    <row r="49" spans="1:40" x14ac:dyDescent="0.25">
      <c r="A49" t="str">
        <f>Funktional!A49</f>
        <v>Friltschen</v>
      </c>
      <c r="B49" t="str">
        <f>Funktional!B49</f>
        <v>PSG</v>
      </c>
      <c r="C49" s="43">
        <f>Funktional!D49</f>
        <v>37</v>
      </c>
      <c r="D49" s="43">
        <f>Funktional!J49-'KiGa - PS'!H50</f>
        <v>223910.2</v>
      </c>
      <c r="E49" s="43">
        <f>'KiGa - PS'!F50+'KiGa - PS'!K50*Artengliederung!D49</f>
        <v>478710.88424742635</v>
      </c>
      <c r="F49" s="365">
        <v>270962.8</v>
      </c>
      <c r="G49" s="43">
        <f>F49*'KiGa - PS'!L50</f>
        <v>270962.8</v>
      </c>
      <c r="H49" s="42">
        <f t="shared" si="28"/>
        <v>0.56602598544625993</v>
      </c>
      <c r="I49" s="85">
        <f t="shared" si="29"/>
        <v>7323.3189189189188</v>
      </c>
      <c r="J49" s="365">
        <v>64015.35</v>
      </c>
      <c r="K49" s="43">
        <f>J49*'KiGa - PS'!L50</f>
        <v>64015.35</v>
      </c>
      <c r="L49" s="42">
        <f t="shared" si="30"/>
        <v>0.13372445061623675</v>
      </c>
      <c r="M49" s="43">
        <f t="shared" si="31"/>
        <v>1730.1445945945945</v>
      </c>
      <c r="N49" s="365">
        <v>15036.7</v>
      </c>
      <c r="O49" s="43">
        <f>N49*'KiGa - PS'!L50</f>
        <v>15036.7</v>
      </c>
      <c r="P49" s="42">
        <f t="shared" si="32"/>
        <v>3.1410817039681384E-2</v>
      </c>
      <c r="Q49" s="43">
        <f>O49/Funktional!C49</f>
        <v>7518.35</v>
      </c>
      <c r="R49" s="85">
        <f t="shared" si="33"/>
        <v>406.39729729729731</v>
      </c>
      <c r="S49" s="365">
        <v>6027.3</v>
      </c>
      <c r="T49" s="365">
        <v>58334.85</v>
      </c>
      <c r="U49" s="43">
        <f>T49*'KiGa - PS'!L50</f>
        <v>58334.85</v>
      </c>
      <c r="V49" s="42">
        <f t="shared" si="34"/>
        <v>0.12185820694615555</v>
      </c>
      <c r="W49" s="43">
        <f t="shared" si="35"/>
        <v>1576.6175675675674</v>
      </c>
      <c r="X49" s="365">
        <v>57608.5</v>
      </c>
      <c r="Y49" s="43">
        <f>X49*'KiGa - PS'!L50</f>
        <v>57608.5</v>
      </c>
      <c r="Z49" s="91">
        <f t="shared" si="36"/>
        <v>0.12034090281979987</v>
      </c>
      <c r="AA49" s="365">
        <v>77879.7</v>
      </c>
      <c r="AB49" s="43">
        <f>AA49*'KiGa - PS'!L50</f>
        <v>77879.7</v>
      </c>
      <c r="AC49" s="43">
        <f t="shared" si="37"/>
        <v>2104.8567567567566</v>
      </c>
      <c r="AD49" s="42">
        <f t="shared" si="38"/>
        <v>0.16268629471927176</v>
      </c>
      <c r="AE49" s="365">
        <v>70400</v>
      </c>
      <c r="AF49" s="43">
        <f>AE49*'KiGa - PS'!L50</f>
        <v>70400</v>
      </c>
      <c r="AG49" s="42">
        <f t="shared" si="39"/>
        <v>0.1470616238665112</v>
      </c>
      <c r="AH49" s="42">
        <f>AE49/'Kennzahlen Revision'!F49</f>
        <v>6.3839241183565029E-2</v>
      </c>
      <c r="AI49" s="97">
        <f t="shared" ref="AI49:AI53" si="40">1-H49-L49-V49-AD49</f>
        <v>1.570506227207602E-2</v>
      </c>
      <c r="AJ49" s="365">
        <v>128438</v>
      </c>
      <c r="AK49" s="43">
        <f>AJ49*'KiGa - PS'!$L50</f>
        <v>128438</v>
      </c>
      <c r="AL49" s="365">
        <v>161180</v>
      </c>
      <c r="AM49" s="43">
        <f>AL49*'KiGa - PS'!$L50</f>
        <v>161180</v>
      </c>
      <c r="AN49" s="97">
        <f>(AK49+AM49)/Funktional!E49</f>
        <v>0.61106445306009594</v>
      </c>
    </row>
    <row r="50" spans="1:40" x14ac:dyDescent="0.25">
      <c r="A50" t="str">
        <f>Funktional!A50</f>
        <v>Gachnang</v>
      </c>
      <c r="B50" t="str">
        <f>Funktional!B50</f>
        <v>PSG</v>
      </c>
      <c r="C50" s="43">
        <f>Funktional!D50</f>
        <v>254</v>
      </c>
      <c r="D50" s="43">
        <f>Funktional!J50-'KiGa - PS'!H51</f>
        <v>1374683.85</v>
      </c>
      <c r="E50" s="43">
        <f>'KiGa - PS'!F51+'KiGa - PS'!K51*Artengliederung!D50</f>
        <v>2892112.923843849</v>
      </c>
      <c r="F50" s="365">
        <v>2388040.9500000002</v>
      </c>
      <c r="G50" s="43">
        <f>F50*'KiGa - PS'!L51</f>
        <v>1986647.2758716692</v>
      </c>
      <c r="H50" s="42">
        <f t="shared" si="28"/>
        <v>0.68691898559453768</v>
      </c>
      <c r="I50" s="85">
        <f t="shared" si="29"/>
        <v>7821.4459679986976</v>
      </c>
      <c r="J50" s="365">
        <v>452897.15</v>
      </c>
      <c r="K50" s="43">
        <f>J50*'KiGa - PS'!L51</f>
        <v>376771.96837748645</v>
      </c>
      <c r="L50" s="42">
        <f t="shared" si="30"/>
        <v>0.13027567674526569</v>
      </c>
      <c r="M50" s="43">
        <f t="shared" si="31"/>
        <v>1483.3542062105766</v>
      </c>
      <c r="N50" s="365">
        <v>78896.399999999994</v>
      </c>
      <c r="O50" s="43">
        <f>N50*'KiGa - PS'!L51</f>
        <v>65635.104848634001</v>
      </c>
      <c r="P50" s="42">
        <f t="shared" si="32"/>
        <v>2.2694516630906551E-2</v>
      </c>
      <c r="Q50" s="43">
        <f>O50/Funktional!C50</f>
        <v>5469.5920707195</v>
      </c>
      <c r="R50" s="85">
        <f t="shared" si="33"/>
        <v>258.40592460092125</v>
      </c>
      <c r="S50" s="365">
        <v>24650.1</v>
      </c>
      <c r="T50" s="365">
        <v>150378.4</v>
      </c>
      <c r="U50" s="43">
        <f>T50*'KiGa - PS'!L51</f>
        <v>125102.0585346077</v>
      </c>
      <c r="V50" s="42">
        <f t="shared" si="34"/>
        <v>4.3256284186973262E-2</v>
      </c>
      <c r="W50" s="43">
        <f t="shared" si="35"/>
        <v>492.5277895063295</v>
      </c>
      <c r="X50" s="365">
        <v>146555.20000000001</v>
      </c>
      <c r="Y50" s="43">
        <f>X50*'KiGa - PS'!L51</f>
        <v>121921.48080409912</v>
      </c>
      <c r="Z50" s="91">
        <f t="shared" si="36"/>
        <v>4.2156542297821391E-2</v>
      </c>
      <c r="AA50" s="365">
        <v>229392.35</v>
      </c>
      <c r="AB50" s="43">
        <f>AA50*'KiGa - PS'!L51</f>
        <v>190834.95500079278</v>
      </c>
      <c r="AC50" s="43">
        <f t="shared" si="37"/>
        <v>751.31872047556215</v>
      </c>
      <c r="AD50" s="42">
        <f t="shared" si="38"/>
        <v>6.5984614026466812E-2</v>
      </c>
      <c r="AE50" s="365">
        <v>204645</v>
      </c>
      <c r="AF50" s="43">
        <f>AE50*'KiGa - PS'!L51</f>
        <v>170247.26136742241</v>
      </c>
      <c r="AG50" s="42">
        <f t="shared" si="39"/>
        <v>5.8866049096433691E-2</v>
      </c>
      <c r="AH50" s="42">
        <f>AE50/'Kennzahlen Revision'!F50</f>
        <v>6.1477644451961397E-2</v>
      </c>
      <c r="AI50" s="97">
        <f t="shared" si="40"/>
        <v>7.3564439446756572E-2</v>
      </c>
      <c r="AJ50" s="365">
        <v>269633.90000000002</v>
      </c>
      <c r="AK50" s="43">
        <f>AJ50*'KiGa - PS'!$L51</f>
        <v>224312.50725313317</v>
      </c>
      <c r="AL50" s="365">
        <v>0</v>
      </c>
      <c r="AM50" s="43">
        <f>AL50*'KiGa - PS'!$L51</f>
        <v>0</v>
      </c>
      <c r="AN50" s="97">
        <f>(AK50+AM50)/Funktional!E50</f>
        <v>8.2066507211037656E-2</v>
      </c>
    </row>
    <row r="51" spans="1:40" x14ac:dyDescent="0.25">
      <c r="A51" t="str">
        <f>Funktional!A51</f>
        <v>Götighofen</v>
      </c>
      <c r="B51" t="str">
        <f>Funktional!B51</f>
        <v>PSG</v>
      </c>
      <c r="C51" s="43">
        <f>Funktional!D51</f>
        <v>70</v>
      </c>
      <c r="D51" s="43">
        <f>Funktional!J51-'KiGa - PS'!H52</f>
        <v>342045.80000000005</v>
      </c>
      <c r="E51" s="43">
        <f>'KiGa - PS'!F52+'KiGa - PS'!K52*Artengliederung!D51</f>
        <v>700342.85528301483</v>
      </c>
      <c r="F51" s="365">
        <v>557449.44999999995</v>
      </c>
      <c r="G51" s="43">
        <f>F51*'KiGa - PS'!L52</f>
        <v>444526.38196705293</v>
      </c>
      <c r="H51" s="42">
        <f t="shared" si="28"/>
        <v>0.63472680361309008</v>
      </c>
      <c r="I51" s="85">
        <f t="shared" si="29"/>
        <v>6350.3768852436133</v>
      </c>
      <c r="J51" s="365">
        <v>71959.100000000006</v>
      </c>
      <c r="K51" s="43">
        <f>J51*'KiGa - PS'!L52</f>
        <v>57382.276316902571</v>
      </c>
      <c r="L51" s="42">
        <f t="shared" si="30"/>
        <v>8.1934549462511302E-2</v>
      </c>
      <c r="M51" s="43">
        <f t="shared" si="31"/>
        <v>819.74680452717962</v>
      </c>
      <c r="N51" s="365">
        <v>19278.599999999999</v>
      </c>
      <c r="O51" s="43">
        <f>N51*'KiGa - PS'!L52</f>
        <v>15373.315566801664</v>
      </c>
      <c r="P51" s="42">
        <f t="shared" si="32"/>
        <v>2.1951127866634935E-2</v>
      </c>
      <c r="Q51" s="43">
        <f>O51/Funktional!C51</f>
        <v>5124.4385222672217</v>
      </c>
      <c r="R51" s="85">
        <f t="shared" si="33"/>
        <v>219.61879381145235</v>
      </c>
      <c r="S51" s="365">
        <v>7715.95</v>
      </c>
      <c r="T51" s="365">
        <v>45739.75</v>
      </c>
      <c r="U51" s="43">
        <f>T51*'KiGa - PS'!L52</f>
        <v>36474.20511326634</v>
      </c>
      <c r="V51" s="42">
        <f t="shared" si="34"/>
        <v>5.2080498627385563E-2</v>
      </c>
      <c r="W51" s="43">
        <f t="shared" si="35"/>
        <v>521.06007304666196</v>
      </c>
      <c r="X51" s="365">
        <v>45525.5</v>
      </c>
      <c r="Y51" s="43">
        <f>X51*'KiGa - PS'!L52</f>
        <v>36303.355940598864</v>
      </c>
      <c r="Z51" s="91">
        <f t="shared" si="36"/>
        <v>5.1836547866156713E-2</v>
      </c>
      <c r="AA51" s="365">
        <v>169023.1</v>
      </c>
      <c r="AB51" s="43">
        <f>AA51*'KiGa - PS'!L52</f>
        <v>134783.92903940508</v>
      </c>
      <c r="AC51" s="43">
        <f t="shared" si="37"/>
        <v>1925.4847005629297</v>
      </c>
      <c r="AD51" s="42">
        <f t="shared" si="38"/>
        <v>0.19245420728242837</v>
      </c>
      <c r="AE51" s="365">
        <v>99883.7</v>
      </c>
      <c r="AF51" s="43">
        <f>AE51*'KiGa - PS'!L52</f>
        <v>79650.163397744007</v>
      </c>
      <c r="AG51" s="42">
        <f t="shared" si="39"/>
        <v>0.11373024340422044</v>
      </c>
      <c r="AH51" s="42">
        <f>AE51/'Kennzahlen Revision'!F51</f>
        <v>6.3464767080923926E-2</v>
      </c>
      <c r="AI51" s="97">
        <f t="shared" si="40"/>
        <v>3.8803941014584648E-2</v>
      </c>
      <c r="AJ51" s="365">
        <v>229153.95</v>
      </c>
      <c r="AK51" s="43">
        <f>AJ51*'KiGa - PS'!$L52</f>
        <v>182734.01526714029</v>
      </c>
      <c r="AL51" s="365">
        <v>170945</v>
      </c>
      <c r="AM51" s="43">
        <f>AL51*'KiGa - PS'!$L52</f>
        <v>136316.50791898326</v>
      </c>
      <c r="AN51" s="97">
        <f>(AK51+AM51)/Funktional!E51</f>
        <v>0.4703103886265696</v>
      </c>
    </row>
    <row r="52" spans="1:40" x14ac:dyDescent="0.25">
      <c r="A52" t="str">
        <f>Funktional!A52</f>
        <v>Gottlieben</v>
      </c>
      <c r="B52" t="str">
        <f>Funktional!B52</f>
        <v>PSG</v>
      </c>
      <c r="C52" s="43">
        <f>Funktional!D52</f>
        <v>21</v>
      </c>
      <c r="D52" s="43">
        <f>Funktional!J52-'KiGa - PS'!H53</f>
        <v>82037.800000000017</v>
      </c>
      <c r="E52" s="43">
        <f>'KiGa - PS'!F53+'KiGa - PS'!K53*Artengliederung!D52</f>
        <v>241462.48735222768</v>
      </c>
      <c r="F52" s="365">
        <v>142460.6</v>
      </c>
      <c r="G52" s="43">
        <f>F52*'KiGa - PS'!L53</f>
        <v>142460.6</v>
      </c>
      <c r="H52" s="42">
        <f t="shared" si="28"/>
        <v>0.58999060915076629</v>
      </c>
      <c r="I52" s="85">
        <f t="shared" si="29"/>
        <v>6783.8380952380958</v>
      </c>
      <c r="J52" s="365">
        <v>45484.55</v>
      </c>
      <c r="K52" s="43">
        <f>J52*'KiGa - PS'!L53</f>
        <v>45484.55</v>
      </c>
      <c r="L52" s="42">
        <f t="shared" si="30"/>
        <v>0.18837108197949809</v>
      </c>
      <c r="M52" s="43">
        <f t="shared" si="31"/>
        <v>2165.9309523809525</v>
      </c>
      <c r="N52" s="365">
        <v>8154.05</v>
      </c>
      <c r="O52" s="43">
        <f>N52*'KiGa - PS'!L53</f>
        <v>8154.05</v>
      </c>
      <c r="P52" s="42">
        <f t="shared" si="32"/>
        <v>3.3769427663127953E-2</v>
      </c>
      <c r="Q52" s="43">
        <f>O52/Funktional!C52</f>
        <v>8154.05</v>
      </c>
      <c r="R52" s="85">
        <f t="shared" si="33"/>
        <v>388.28809523809525</v>
      </c>
      <c r="S52" s="365">
        <v>3767.25</v>
      </c>
      <c r="T52" s="365">
        <v>79.5</v>
      </c>
      <c r="U52" s="43">
        <f>T52*'KiGa - PS'!L53</f>
        <v>79.5</v>
      </c>
      <c r="V52" s="42">
        <f t="shared" si="34"/>
        <v>3.2924368862328194E-4</v>
      </c>
      <c r="W52" s="43">
        <f t="shared" si="35"/>
        <v>3.7857142857142856</v>
      </c>
      <c r="X52" s="365">
        <v>0</v>
      </c>
      <c r="Y52" s="43">
        <f>X52*'KiGa - PS'!L53</f>
        <v>0</v>
      </c>
      <c r="Z52" s="91">
        <f t="shared" si="36"/>
        <v>0</v>
      </c>
      <c r="AA52" s="365">
        <v>8593.7999999999993</v>
      </c>
      <c r="AB52" s="43">
        <f>AA52*'KiGa - PS'!L53</f>
        <v>8593.7999999999993</v>
      </c>
      <c r="AC52" s="43">
        <f t="shared" si="37"/>
        <v>409.2285714285714</v>
      </c>
      <c r="AD52" s="42">
        <f t="shared" si="38"/>
        <v>3.5590621525669934E-2</v>
      </c>
      <c r="AE52" s="365">
        <v>8481.65</v>
      </c>
      <c r="AF52" s="43">
        <f>AE52*'KiGa - PS'!L53</f>
        <v>8481.65</v>
      </c>
      <c r="AG52" s="42">
        <f t="shared" si="39"/>
        <v>3.5126160146058606E-2</v>
      </c>
      <c r="AH52" s="42">
        <f>AE52/'Kennzahlen Revision'!F52</f>
        <v>6.3829875300085034E-2</v>
      </c>
      <c r="AI52" s="97">
        <f t="shared" si="40"/>
        <v>0.18571844365544241</v>
      </c>
      <c r="AJ52" s="365">
        <v>0</v>
      </c>
      <c r="AK52" s="43">
        <f>AJ52*'KiGa - PS'!$L53</f>
        <v>0</v>
      </c>
      <c r="AL52" s="365">
        <v>0</v>
      </c>
      <c r="AM52" s="43">
        <f>AL52*'KiGa - PS'!$L53</f>
        <v>0</v>
      </c>
      <c r="AN52" s="97">
        <f>(AK52+AM52)/Funktional!E52</f>
        <v>0</v>
      </c>
    </row>
    <row r="53" spans="1:40" x14ac:dyDescent="0.25">
      <c r="A53" t="str">
        <f>Funktional!A53</f>
        <v>Gottshaus</v>
      </c>
      <c r="B53" t="str">
        <f>Funktional!B53</f>
        <v>PSG</v>
      </c>
      <c r="C53" s="43">
        <f>Funktional!D53</f>
        <v>78</v>
      </c>
      <c r="D53" s="43">
        <f>Funktional!J53-'KiGa - PS'!H54</f>
        <v>415015</v>
      </c>
      <c r="E53" s="43">
        <f>'KiGa - PS'!F54+'KiGa - PS'!K54*Artengliederung!D53</f>
        <v>835709.08189613954</v>
      </c>
      <c r="F53" s="365">
        <v>712192.8</v>
      </c>
      <c r="G53" s="43">
        <f>F53*'KiGa - PS'!L54</f>
        <v>617706.90531108738</v>
      </c>
      <c r="H53" s="42">
        <f t="shared" si="28"/>
        <v>0.73914107037053223</v>
      </c>
      <c r="I53" s="85">
        <f t="shared" si="29"/>
        <v>7919.3192988600949</v>
      </c>
      <c r="J53" s="365">
        <v>200908.35</v>
      </c>
      <c r="K53" s="43">
        <f>J53*'KiGa - PS'!L54</f>
        <v>174254.04346920777</v>
      </c>
      <c r="L53" s="42">
        <f t="shared" si="30"/>
        <v>0.20851041019423044</v>
      </c>
      <c r="M53" s="43">
        <f t="shared" si="31"/>
        <v>2234.0261983231767</v>
      </c>
      <c r="N53" s="365">
        <v>23237.35</v>
      </c>
      <c r="O53" s="43">
        <f>N53*'KiGa - PS'!L54</f>
        <v>20154.474400935527</v>
      </c>
      <c r="P53" s="42">
        <f t="shared" si="32"/>
        <v>2.4116615264258057E-2</v>
      </c>
      <c r="Q53" s="43">
        <f>O53/Funktional!C53</f>
        <v>4478.7720890967839</v>
      </c>
      <c r="R53" s="85">
        <f t="shared" si="33"/>
        <v>258.3906974478914</v>
      </c>
      <c r="S53" s="365">
        <v>11112.2</v>
      </c>
      <c r="T53" s="365">
        <v>12277</v>
      </c>
      <c r="U53" s="43">
        <f>T53*'KiGa - PS'!L54</f>
        <v>10648.222892037407</v>
      </c>
      <c r="V53" s="42">
        <f t="shared" si="34"/>
        <v>1.2741542628539665E-2</v>
      </c>
      <c r="W53" s="43">
        <f t="shared" si="35"/>
        <v>136.51567810304368</v>
      </c>
      <c r="X53" s="365">
        <v>2948.5</v>
      </c>
      <c r="Y53" s="43">
        <f>X53*'KiGa - PS'!L54</f>
        <v>2557.325502742714</v>
      </c>
      <c r="Z53" s="91">
        <f t="shared" si="36"/>
        <v>3.0600666645148817E-3</v>
      </c>
      <c r="AA53" s="365">
        <v>19239.900000000001</v>
      </c>
      <c r="AB53" s="43">
        <f>AA53*'KiGa - PS'!L54</f>
        <v>16687.362028224365</v>
      </c>
      <c r="AC53" s="43">
        <f t="shared" si="37"/>
        <v>213.94053882338929</v>
      </c>
      <c r="AD53" s="42">
        <f t="shared" si="38"/>
        <v>1.9967907959504788E-2</v>
      </c>
      <c r="AE53" s="365">
        <v>16980</v>
      </c>
      <c r="AF53" s="43">
        <f>AE53*'KiGa - PS'!L54</f>
        <v>14727.280663581916</v>
      </c>
      <c r="AG53" s="42">
        <f t="shared" si="39"/>
        <v>1.7622496850419771E-2</v>
      </c>
      <c r="AH53" s="42">
        <f>AE53/'Kennzahlen Revision'!F53</f>
        <v>6.3829787234042548E-2</v>
      </c>
      <c r="AI53" s="97">
        <f t="shared" si="40"/>
        <v>1.9639068847192874E-2</v>
      </c>
      <c r="AJ53" s="365">
        <v>300713</v>
      </c>
      <c r="AK53" s="43">
        <f>AJ53*'KiGa - PS'!$L54</f>
        <v>260817.71202518899</v>
      </c>
      <c r="AL53" s="365">
        <v>77690</v>
      </c>
      <c r="AM53" s="43">
        <f>AL53*'KiGa - PS'!$L54</f>
        <v>67382.946687495831</v>
      </c>
      <c r="AN53" s="97">
        <f>(AK53+AM53)/Funktional!E53</f>
        <v>0.39803506457052662</v>
      </c>
    </row>
    <row r="54" spans="1:40" x14ac:dyDescent="0.25">
      <c r="A54" t="str">
        <f>Funktional!A54</f>
        <v>Gündelhart-Hörhausen</v>
      </c>
      <c r="B54" t="str">
        <f>Funktional!B54</f>
        <v>PSG</v>
      </c>
      <c r="C54" s="43">
        <f>Funktional!D54</f>
        <v>66</v>
      </c>
      <c r="D54" s="43">
        <f>Funktional!J54-'KiGa - PS'!H55</f>
        <v>312037.90000000002</v>
      </c>
      <c r="E54" s="43">
        <f>'KiGa - PS'!F55+'KiGa - PS'!K55*Artengliederung!D54</f>
        <v>793683.92932212795</v>
      </c>
      <c r="F54" s="365">
        <v>573862.85</v>
      </c>
      <c r="G54" s="43">
        <f>F54*'KiGa - PS'!L55</f>
        <v>503164.23166562425</v>
      </c>
      <c r="H54" s="42">
        <f t="shared" si="28"/>
        <v>0.63396046344968626</v>
      </c>
      <c r="I54" s="85">
        <f t="shared" si="29"/>
        <v>7623.7004797821855</v>
      </c>
      <c r="J54" s="365">
        <v>185707.6</v>
      </c>
      <c r="K54" s="43">
        <f>J54*'KiGa - PS'!L55</f>
        <v>162828.83944912461</v>
      </c>
      <c r="L54" s="42">
        <f t="shared" si="30"/>
        <v>0.20515577225835224</v>
      </c>
      <c r="M54" s="43">
        <f t="shared" si="31"/>
        <v>2467.1036280170397</v>
      </c>
      <c r="N54" s="365">
        <v>25524.25</v>
      </c>
      <c r="O54" s="43">
        <f>N54*'KiGa - PS'!L55</f>
        <v>22379.719544646094</v>
      </c>
      <c r="P54" s="42">
        <f t="shared" si="32"/>
        <v>2.819726936358688E-2</v>
      </c>
      <c r="Q54" s="43">
        <f>O54/Funktional!C54</f>
        <v>7459.9065148820309</v>
      </c>
      <c r="R54" s="85">
        <f t="shared" si="33"/>
        <v>339.08665976736506</v>
      </c>
      <c r="S54" s="365">
        <v>30824.2</v>
      </c>
      <c r="T54" s="365">
        <v>34502.15</v>
      </c>
      <c r="U54" s="43">
        <f>T54*'KiGa - PS'!L55</f>
        <v>30251.562364704598</v>
      </c>
      <c r="V54" s="42">
        <f t="shared" si="34"/>
        <v>3.8115377226475969E-2</v>
      </c>
      <c r="W54" s="43">
        <f t="shared" si="35"/>
        <v>458.35700552582722</v>
      </c>
      <c r="X54" s="365">
        <v>34502.15</v>
      </c>
      <c r="Y54" s="43">
        <f>X54*'KiGa - PS'!L55</f>
        <v>30251.562364704598</v>
      </c>
      <c r="Z54" s="91">
        <f t="shared" si="36"/>
        <v>3.8115377226475969E-2</v>
      </c>
      <c r="AA54" s="365">
        <v>63991.45</v>
      </c>
      <c r="AB54" s="43">
        <f>AA54*'KiGa - PS'!L55</f>
        <v>56107.846626453014</v>
      </c>
      <c r="AC54" s="43">
        <f t="shared" si="37"/>
        <v>850.11888827959115</v>
      </c>
      <c r="AD54" s="42">
        <f t="shared" si="38"/>
        <v>7.0692935252416891E-2</v>
      </c>
      <c r="AE54" s="365">
        <v>41670</v>
      </c>
      <c r="AF54" s="43">
        <f>AE54*'KiGa - PS'!L55</f>
        <v>36536.349292355415</v>
      </c>
      <c r="AG54" s="42">
        <f t="shared" si="39"/>
        <v>4.6033878150412461E-2</v>
      </c>
      <c r="AH54" s="42">
        <f>AE54/'Kennzahlen Revision'!F54</f>
        <v>6.3828809509221249E-2</v>
      </c>
      <c r="AI54" s="97">
        <f t="shared" ref="AI54:AI64" si="41">1-H54-L54-V54-AD54</f>
        <v>5.2075451813068635E-2</v>
      </c>
      <c r="AJ54" s="365">
        <v>266352</v>
      </c>
      <c r="AK54" s="43">
        <f>AJ54*'KiGa - PS'!$L55</f>
        <v>233538.02991882531</v>
      </c>
      <c r="AL54" s="365">
        <v>206551</v>
      </c>
      <c r="AM54" s="43">
        <f>AL54*'KiGa - PS'!$L55</f>
        <v>181104.37923410855</v>
      </c>
      <c r="AN54" s="97">
        <f>(AK54+AM54)/Funktional!E54</f>
        <v>0.54867826692094357</v>
      </c>
    </row>
    <row r="55" spans="1:40" x14ac:dyDescent="0.25">
      <c r="A55" t="str">
        <f>Funktional!A55</f>
        <v>Guntershausen</v>
      </c>
      <c r="B55" t="str">
        <f>Funktional!B55</f>
        <v>PSG</v>
      </c>
      <c r="C55" s="43">
        <f>Funktional!D55</f>
        <v>133</v>
      </c>
      <c r="D55" s="43">
        <f>Funktional!J55-'KiGa - PS'!H56</f>
        <v>876271.25999999989</v>
      </c>
      <c r="E55" s="43">
        <f>'KiGa - PS'!F56+'KiGa - PS'!K56*Artengliederung!D55</f>
        <v>1532100.1522984584</v>
      </c>
      <c r="F55" s="365">
        <v>876711.05</v>
      </c>
      <c r="G55" s="43">
        <f>F55*'KiGa - PS'!L56</f>
        <v>776944.14560761</v>
      </c>
      <c r="H55" s="42">
        <f t="shared" si="28"/>
        <v>0.50711054655404708</v>
      </c>
      <c r="I55" s="85">
        <f t="shared" si="29"/>
        <v>5841.6853053203758</v>
      </c>
      <c r="J55" s="365">
        <v>198421.41</v>
      </c>
      <c r="K55" s="43">
        <f>J55*'KiGa - PS'!L56</f>
        <v>175841.69021561585</v>
      </c>
      <c r="L55" s="42">
        <f t="shared" si="30"/>
        <v>0.11477166812614563</v>
      </c>
      <c r="M55" s="43">
        <f t="shared" si="31"/>
        <v>1322.1179715459839</v>
      </c>
      <c r="N55" s="365">
        <v>50674.15</v>
      </c>
      <c r="O55" s="43">
        <f>N55*'KiGa - PS'!L56</f>
        <v>44907.594327848237</v>
      </c>
      <c r="P55" s="42">
        <f t="shared" si="32"/>
        <v>2.9311134954511826E-2</v>
      </c>
      <c r="Q55" s="43">
        <f>O55/Funktional!C55</f>
        <v>7484.5990546413732</v>
      </c>
      <c r="R55" s="85">
        <f t="shared" si="33"/>
        <v>337.65108517179124</v>
      </c>
      <c r="S55" s="365">
        <v>22730.3</v>
      </c>
      <c r="T55" s="365">
        <v>193741.85</v>
      </c>
      <c r="U55" s="43">
        <f>T55*'KiGa - PS'!L56</f>
        <v>171694.64912833908</v>
      </c>
      <c r="V55" s="42">
        <f t="shared" si="34"/>
        <v>0.11206489919785112</v>
      </c>
      <c r="W55" s="43">
        <f t="shared" si="35"/>
        <v>1290.9372114912712</v>
      </c>
      <c r="X55" s="365">
        <v>179912.65</v>
      </c>
      <c r="Y55" s="43">
        <f>X55*'KiGa - PS'!L56</f>
        <v>159439.16771466605</v>
      </c>
      <c r="Z55" s="91">
        <f t="shared" si="36"/>
        <v>0.10406576063286413</v>
      </c>
      <c r="AA55" s="365">
        <v>418415.55</v>
      </c>
      <c r="AB55" s="43">
        <f>AA55*'KiGa - PS'!L56</f>
        <v>370801.20297752402</v>
      </c>
      <c r="AC55" s="43">
        <f t="shared" si="37"/>
        <v>2787.9789697558199</v>
      </c>
      <c r="AD55" s="42">
        <f t="shared" si="38"/>
        <v>0.24202151694929841</v>
      </c>
      <c r="AE55" s="365">
        <v>242984.8</v>
      </c>
      <c r="AF55" s="43">
        <f>AE55*'KiGa - PS'!L56</f>
        <v>215333.90942390426</v>
      </c>
      <c r="AG55" s="42">
        <f t="shared" si="39"/>
        <v>0.14054819399427648</v>
      </c>
      <c r="AH55" s="42">
        <f>AE55/'Kennzahlen Revision'!F55</f>
        <v>6.3829781644884453E-2</v>
      </c>
      <c r="AI55" s="97">
        <f t="shared" si="41"/>
        <v>2.4031369172657746E-2</v>
      </c>
      <c r="AJ55" s="365">
        <v>145347</v>
      </c>
      <c r="AK55" s="43">
        <f>AJ55*'KiGa - PS'!$L56</f>
        <v>128806.9777740674</v>
      </c>
      <c r="AL55" s="365">
        <v>631378</v>
      </c>
      <c r="AM55" s="43">
        <f>AL55*'KiGa - PS'!$L56</f>
        <v>559529.20949888974</v>
      </c>
      <c r="AN55" s="97">
        <f>(AK55+AM55)/Funktional!E55</f>
        <v>0.45726744276235859</v>
      </c>
    </row>
    <row r="56" spans="1:40" x14ac:dyDescent="0.25">
      <c r="A56" t="str">
        <f>Funktional!A56</f>
        <v>Güttingen</v>
      </c>
      <c r="B56" t="str">
        <f>Funktional!B56</f>
        <v>PSG</v>
      </c>
      <c r="C56" s="43">
        <f>Funktional!D56</f>
        <v>119</v>
      </c>
      <c r="D56" s="43">
        <f>Funktional!J56-'KiGa - PS'!H57</f>
        <v>465438.30000000005</v>
      </c>
      <c r="E56" s="43">
        <f>'KiGa - PS'!F57+'KiGa - PS'!K57*Artengliederung!D56</f>
        <v>1233118.7605183013</v>
      </c>
      <c r="F56" s="365">
        <v>976565.85</v>
      </c>
      <c r="G56" s="43">
        <f>F56*'KiGa - PS'!L57</f>
        <v>842633.24975481455</v>
      </c>
      <c r="H56" s="42">
        <f t="shared" si="28"/>
        <v>0.68333503368373139</v>
      </c>
      <c r="I56" s="85">
        <f t="shared" si="29"/>
        <v>7080.9516786118866</v>
      </c>
      <c r="J56" s="365">
        <v>228903.75</v>
      </c>
      <c r="K56" s="43">
        <f>J56*'KiGa - PS'!L57</f>
        <v>197510.39906173621</v>
      </c>
      <c r="L56" s="42">
        <f t="shared" si="30"/>
        <v>0.16017143310569629</v>
      </c>
      <c r="M56" s="43">
        <f t="shared" si="31"/>
        <v>1659.7512526196319</v>
      </c>
      <c r="N56" s="365">
        <v>51760.05</v>
      </c>
      <c r="O56" s="43">
        <f>N56*'KiGa - PS'!L57</f>
        <v>44661.339672047405</v>
      </c>
      <c r="P56" s="42">
        <f t="shared" si="32"/>
        <v>3.6218198199559841E-2</v>
      </c>
      <c r="Q56" s="43">
        <f>O56/Funktional!C56</f>
        <v>8120.243576735892</v>
      </c>
      <c r="R56" s="85">
        <f t="shared" si="33"/>
        <v>375.30537539535635</v>
      </c>
      <c r="S56" s="365">
        <v>14821.4</v>
      </c>
      <c r="T56" s="365">
        <v>29733.9</v>
      </c>
      <c r="U56" s="43">
        <f>T56*'KiGa - PS'!L57</f>
        <v>25655.999321381842</v>
      </c>
      <c r="V56" s="42">
        <f t="shared" si="34"/>
        <v>2.0805781359289496E-2</v>
      </c>
      <c r="W56" s="43">
        <f t="shared" si="35"/>
        <v>215.59663295278858</v>
      </c>
      <c r="X56" s="365">
        <v>10820.65</v>
      </c>
      <c r="Y56" s="43">
        <f>X56*'KiGa - PS'!L57</f>
        <v>9336.6355929397232</v>
      </c>
      <c r="Z56" s="91">
        <f t="shared" si="36"/>
        <v>7.5715623603158652E-3</v>
      </c>
      <c r="AA56" s="365">
        <v>70648.649999999994</v>
      </c>
      <c r="AB56" s="43">
        <f>AA56*'KiGa - PS'!L57</f>
        <v>60959.434062014843</v>
      </c>
      <c r="AC56" s="43">
        <f t="shared" si="37"/>
        <v>512.26415178163734</v>
      </c>
      <c r="AD56" s="42">
        <f t="shared" si="38"/>
        <v>4.9435168788116185E-2</v>
      </c>
      <c r="AE56" s="365">
        <v>0</v>
      </c>
      <c r="AF56" s="43">
        <f>AE56*'KiGa - PS'!L57</f>
        <v>0</v>
      </c>
      <c r="AG56" s="42">
        <f t="shared" si="39"/>
        <v>0</v>
      </c>
      <c r="AH56" s="42">
        <f>AE56/'Kennzahlen Revision'!F56</f>
        <v>0</v>
      </c>
      <c r="AI56" s="97">
        <f t="shared" si="41"/>
        <v>8.625258306316666E-2</v>
      </c>
      <c r="AJ56" s="365">
        <v>86720</v>
      </c>
      <c r="AK56" s="43">
        <f>AJ56*'KiGa - PS'!$L57</f>
        <v>74826.654463431754</v>
      </c>
      <c r="AL56" s="365">
        <v>0</v>
      </c>
      <c r="AM56" s="43">
        <f>AL56*'KiGa - PS'!$L57</f>
        <v>0</v>
      </c>
      <c r="AN56" s="97">
        <f>(AK56+AM56)/Funktional!E56</f>
        <v>6.436205675661695E-2</v>
      </c>
    </row>
    <row r="57" spans="1:40" x14ac:dyDescent="0.25">
      <c r="A57" t="str">
        <f>Funktional!A57</f>
        <v>Halden-Kenzenau</v>
      </c>
      <c r="B57" t="str">
        <f>Funktional!B57</f>
        <v>PSG</v>
      </c>
      <c r="C57" s="43">
        <f>Funktional!D57</f>
        <v>59</v>
      </c>
      <c r="D57" s="43">
        <f>Funktional!J57-'KiGa - PS'!H58</f>
        <v>183454.35000000009</v>
      </c>
      <c r="E57" s="43">
        <f>'KiGa - PS'!F58+'KiGa - PS'!K58*Artengliederung!D57</f>
        <v>643435.9655022251</v>
      </c>
      <c r="F57" s="365">
        <v>547122.75</v>
      </c>
      <c r="G57" s="43">
        <f>F57*'KiGa - PS'!L58</f>
        <v>476311.67066061683</v>
      </c>
      <c r="H57" s="42">
        <f t="shared" ref="H57:H64" si="42">G57/$E57</f>
        <v>0.74026273972552703</v>
      </c>
      <c r="I57" s="85">
        <f t="shared" ref="I57:I64" si="43">G57/C57</f>
        <v>8073.0791637392686</v>
      </c>
      <c r="J57" s="365">
        <v>103869.35</v>
      </c>
      <c r="K57" s="43">
        <f>J57*'KiGa - PS'!L58</f>
        <v>90426.113022959369</v>
      </c>
      <c r="L57" s="42">
        <f t="shared" ref="L57:L64" si="44">K57/$E57</f>
        <v>0.14053630488680954</v>
      </c>
      <c r="M57" s="43">
        <f t="shared" ref="M57:M64" si="45">K57/C57</f>
        <v>1532.6459834399893</v>
      </c>
      <c r="N57" s="365">
        <v>26013.75</v>
      </c>
      <c r="O57" s="43">
        <f>N57*'KiGa - PS'!L58</f>
        <v>22646.93384189859</v>
      </c>
      <c r="P57" s="42">
        <f t="shared" ref="P57:P64" si="46">O57/$E57</f>
        <v>3.5196872814254078E-2</v>
      </c>
      <c r="Q57" s="43">
        <f>O57/Funktional!C57</f>
        <v>7548.9779472995297</v>
      </c>
      <c r="R57" s="85">
        <f t="shared" ref="R57:R64" si="47">O57/C57</f>
        <v>383.84633630336594</v>
      </c>
      <c r="S57" s="365">
        <v>5631.05</v>
      </c>
      <c r="T57" s="365">
        <v>22205.75</v>
      </c>
      <c r="U57" s="43">
        <f>T57*'KiGa - PS'!L58</f>
        <v>19331.782275132944</v>
      </c>
      <c r="V57" s="42">
        <f t="shared" ref="V57:V64" si="48">U57/$E57</f>
        <v>3.0044609427519003E-2</v>
      </c>
      <c r="W57" s="43">
        <f t="shared" ref="W57:W64" si="49">U57/C57</f>
        <v>327.65732669716857</v>
      </c>
      <c r="X57" s="365">
        <v>18813.3</v>
      </c>
      <c r="Y57" s="43">
        <f>X57*'KiGa - PS'!L58</f>
        <v>16378.39836424163</v>
      </c>
      <c r="Z57" s="91">
        <f t="shared" ref="Z57:Z64" si="50">Y57/$E57</f>
        <v>2.5454589488882077E-2</v>
      </c>
      <c r="AA57" s="365">
        <v>41685</v>
      </c>
      <c r="AB57" s="43">
        <f>AA57*'KiGa - PS'!L58</f>
        <v>36289.940404576148</v>
      </c>
      <c r="AC57" s="43">
        <f t="shared" ref="AC57:AC64" si="51">AB57/C57</f>
        <v>615.08373567078218</v>
      </c>
      <c r="AD57" s="42">
        <f t="shared" ref="AD57:AD64" si="52">AB57/$E57</f>
        <v>5.6400236154425305E-2</v>
      </c>
      <c r="AE57" s="365">
        <v>37898</v>
      </c>
      <c r="AF57" s="43">
        <f>AE57*'KiGa - PS'!L58</f>
        <v>32993.070923656633</v>
      </c>
      <c r="AG57" s="42">
        <f t="shared" ref="AG57:AG64" si="53">AF57/$E57</f>
        <v>5.1276385984896485E-2</v>
      </c>
      <c r="AH57" s="42">
        <f>AE57/'Kennzahlen Revision'!F57</f>
        <v>6.3829129665782983E-2</v>
      </c>
      <c r="AI57" s="97">
        <f t="shared" si="41"/>
        <v>3.2756109805719115E-2</v>
      </c>
      <c r="AJ57" s="365">
        <v>251703</v>
      </c>
      <c r="AK57" s="43">
        <f>AJ57*'KiGa - PS'!$L58</f>
        <v>219126.4692252136</v>
      </c>
      <c r="AL57" s="365">
        <v>66412</v>
      </c>
      <c r="AM57" s="43">
        <f>AL57*'KiGa - PS'!$L58</f>
        <v>57816.661200640781</v>
      </c>
      <c r="AN57" s="97">
        <f>(AK57+AM57)/Funktional!E57</f>
        <v>0.4413021586995336</v>
      </c>
    </row>
    <row r="58" spans="1:40" x14ac:dyDescent="0.25">
      <c r="A58" t="str">
        <f>Funktional!A58</f>
        <v>Hauptwil</v>
      </c>
      <c r="B58" t="str">
        <f>Funktional!B58</f>
        <v>PSG</v>
      </c>
      <c r="C58" s="43">
        <f>Funktional!D58</f>
        <v>120</v>
      </c>
      <c r="D58" s="43">
        <f>Funktional!J58-'KiGa - PS'!H59</f>
        <v>1000843.6500000001</v>
      </c>
      <c r="E58" s="43">
        <f>'KiGa - PS'!F59+'KiGa - PS'!K59*Artengliederung!D58</f>
        <v>1725379.5872337967</v>
      </c>
      <c r="F58" s="365">
        <v>1054729.1000000001</v>
      </c>
      <c r="G58" s="43">
        <f>F58*'KiGa - PS'!L59</f>
        <v>930048.74593027483</v>
      </c>
      <c r="H58" s="42">
        <f t="shared" si="42"/>
        <v>0.53904007721649772</v>
      </c>
      <c r="I58" s="85">
        <f t="shared" si="43"/>
        <v>7750.4062160856238</v>
      </c>
      <c r="J58" s="365">
        <v>170529.85</v>
      </c>
      <c r="K58" s="43">
        <f>J58*'KiGa - PS'!L59</f>
        <v>150371.38269549771</v>
      </c>
      <c r="L58" s="42">
        <f t="shared" si="44"/>
        <v>8.7152638067649585E-2</v>
      </c>
      <c r="M58" s="43">
        <f t="shared" si="45"/>
        <v>1253.0948557958143</v>
      </c>
      <c r="N58" s="365">
        <v>44835.25</v>
      </c>
      <c r="O58" s="43">
        <f>N58*'KiGa - PS'!L59</f>
        <v>39535.239935989586</v>
      </c>
      <c r="P58" s="42">
        <f t="shared" si="46"/>
        <v>2.2913937448033796E-2</v>
      </c>
      <c r="Q58" s="43">
        <f>O58/Funktional!C58</f>
        <v>7188.2254429071972</v>
      </c>
      <c r="R58" s="85">
        <f t="shared" si="47"/>
        <v>329.4603327999132</v>
      </c>
      <c r="S58" s="365">
        <v>9312.7000000000007</v>
      </c>
      <c r="T58" s="365">
        <v>213694.65</v>
      </c>
      <c r="U58" s="43">
        <f>T58*'KiGa - PS'!L59</f>
        <v>188433.63783601779</v>
      </c>
      <c r="V58" s="42">
        <f t="shared" si="48"/>
        <v>0.10921285914719947</v>
      </c>
      <c r="W58" s="43">
        <f t="shared" si="49"/>
        <v>1570.2803153001482</v>
      </c>
      <c r="X58" s="365">
        <v>201960.25</v>
      </c>
      <c r="Y58" s="43">
        <f>X58*'KiGa - PS'!L59</f>
        <v>178086.37046258114</v>
      </c>
      <c r="Z58" s="91">
        <f t="shared" si="50"/>
        <v>0.10321576294298052</v>
      </c>
      <c r="AA58" s="365">
        <v>451213.65</v>
      </c>
      <c r="AB58" s="43">
        <f>AA58*'KiGa - PS'!L59</f>
        <v>397875.33057457308</v>
      </c>
      <c r="AC58" s="43">
        <f t="shared" si="51"/>
        <v>3315.6277547881091</v>
      </c>
      <c r="AD58" s="42">
        <f t="shared" si="52"/>
        <v>0.23060162153214298</v>
      </c>
      <c r="AE58" s="365">
        <v>172037.2</v>
      </c>
      <c r="AF58" s="43">
        <f>AE58*'KiGa - PS'!L59</f>
        <v>151700.54766987645</v>
      </c>
      <c r="AG58" s="42">
        <f t="shared" si="53"/>
        <v>8.7922998969223551E-2</v>
      </c>
      <c r="AH58" s="42">
        <f>AE58/'Kennzahlen Revision'!F58</f>
        <v>6.4654993251403114E-2</v>
      </c>
      <c r="AI58" s="97">
        <f t="shared" si="41"/>
        <v>3.3992804036510227E-2</v>
      </c>
      <c r="AJ58" s="365">
        <v>456413</v>
      </c>
      <c r="AK58" s="43">
        <f>AJ58*'KiGa - PS'!$L59</f>
        <v>402460.06133354479</v>
      </c>
      <c r="AL58" s="365">
        <v>456611</v>
      </c>
      <c r="AM58" s="43">
        <f>AL58*'KiGa - PS'!$L59</f>
        <v>402634.65559826564</v>
      </c>
      <c r="AN58" s="97">
        <f>(AK58+AM58)/Funktional!E58</f>
        <v>0.48029879796943625</v>
      </c>
    </row>
    <row r="59" spans="1:40" x14ac:dyDescent="0.25">
      <c r="A59" t="str">
        <f>Funktional!A59</f>
        <v>Häuslenen-Aawangen</v>
      </c>
      <c r="B59" t="str">
        <f>Funktional!B59</f>
        <v>PSG</v>
      </c>
      <c r="C59" s="43">
        <f>Funktional!D59</f>
        <v>54</v>
      </c>
      <c r="D59" s="43">
        <f>Funktional!J59-'KiGa - PS'!H60</f>
        <v>300091.50000000006</v>
      </c>
      <c r="E59" s="43">
        <f>'KiGa - PS'!F60+'KiGa - PS'!K60*Artengliederung!D59</f>
        <v>638429.51460982068</v>
      </c>
      <c r="F59" s="365">
        <v>499871.2</v>
      </c>
      <c r="G59" s="43">
        <f>F59*'KiGa - PS'!L60</f>
        <v>420056.13987276744</v>
      </c>
      <c r="H59" s="42">
        <f t="shared" si="42"/>
        <v>0.65795225668645163</v>
      </c>
      <c r="I59" s="85">
        <f t="shared" si="43"/>
        <v>7778.8174050512489</v>
      </c>
      <c r="J59" s="365">
        <v>114993.45</v>
      </c>
      <c r="K59" s="43">
        <f>J59*'KiGa - PS'!L60</f>
        <v>96632.301916277807</v>
      </c>
      <c r="L59" s="42">
        <f t="shared" si="44"/>
        <v>0.15135939004219615</v>
      </c>
      <c r="M59" s="43">
        <f t="shared" si="45"/>
        <v>1789.4870725236631</v>
      </c>
      <c r="N59" s="365">
        <v>25281.599999999999</v>
      </c>
      <c r="O59" s="43">
        <f>N59*'KiGa - PS'!L60</f>
        <v>21244.855286336471</v>
      </c>
      <c r="P59" s="42">
        <f t="shared" si="46"/>
        <v>3.3276743634448616E-2</v>
      </c>
      <c r="Q59" s="43">
        <f>O59/Funktional!C59</f>
        <v>7081.6184287788237</v>
      </c>
      <c r="R59" s="85">
        <f t="shared" si="47"/>
        <v>393.42324604326797</v>
      </c>
      <c r="S59" s="365">
        <v>15578.45</v>
      </c>
      <c r="T59" s="365">
        <v>45054.05</v>
      </c>
      <c r="U59" s="43">
        <f>T59*'KiGa - PS'!L60</f>
        <v>37860.213448253584</v>
      </c>
      <c r="V59" s="42">
        <f t="shared" si="48"/>
        <v>5.9302103962709241E-2</v>
      </c>
      <c r="W59" s="43">
        <f t="shared" si="49"/>
        <v>701.11506385654786</v>
      </c>
      <c r="X59" s="365">
        <v>44588.9</v>
      </c>
      <c r="Y59" s="43">
        <f>X59*'KiGa - PS'!L60</f>
        <v>37469.334530920845</v>
      </c>
      <c r="Z59" s="91">
        <f t="shared" si="50"/>
        <v>5.8689853262533474E-2</v>
      </c>
      <c r="AA59" s="365">
        <v>84213.15</v>
      </c>
      <c r="AB59" s="43">
        <f>AA59*'KiGa - PS'!L60</f>
        <v>70766.730940943075</v>
      </c>
      <c r="AC59" s="43">
        <f t="shared" si="51"/>
        <v>1310.4950174248718</v>
      </c>
      <c r="AD59" s="42">
        <f t="shared" si="52"/>
        <v>0.11084501784694667</v>
      </c>
      <c r="AE59" s="365">
        <v>73338</v>
      </c>
      <c r="AF59" s="43">
        <f>AE59*'KiGa - PS'!L60</f>
        <v>61628.029752442264</v>
      </c>
      <c r="AG59" s="42">
        <f t="shared" si="53"/>
        <v>9.6530671502721072E-2</v>
      </c>
      <c r="AH59" s="42">
        <f>AE59/'Kennzahlen Revision'!F59</f>
        <v>9.8648157862878824E-2</v>
      </c>
      <c r="AI59" s="97">
        <f t="shared" si="41"/>
        <v>2.0541231461696313E-2</v>
      </c>
      <c r="AJ59" s="365">
        <v>230974</v>
      </c>
      <c r="AK59" s="43">
        <f>AJ59*'KiGa - PS'!$L60</f>
        <v>194094.09234013199</v>
      </c>
      <c r="AL59" s="365">
        <v>134282</v>
      </c>
      <c r="AM59" s="43">
        <f>AL59*'KiGa - PS'!$L60</f>
        <v>112841.02499682909</v>
      </c>
      <c r="AN59" s="97">
        <f>(AK59+AM59)/Funktional!E59</f>
        <v>0.48776123341405359</v>
      </c>
    </row>
    <row r="60" spans="1:40" x14ac:dyDescent="0.25">
      <c r="A60" t="str">
        <f>Funktional!A60</f>
        <v>Hefenhofen</v>
      </c>
      <c r="B60" t="str">
        <f>Funktional!B60</f>
        <v>PSG</v>
      </c>
      <c r="C60" s="43">
        <f>Funktional!D60</f>
        <v>126</v>
      </c>
      <c r="D60" s="43">
        <f>Funktional!J60-'KiGa - PS'!H61</f>
        <v>566343.70000000007</v>
      </c>
      <c r="E60" s="43">
        <f>'KiGa - PS'!F61+'KiGa - PS'!K61*Artengliederung!D60</f>
        <v>1336781.4284674651</v>
      </c>
      <c r="F60" s="365">
        <v>909685.95</v>
      </c>
      <c r="G60" s="43">
        <f>F60*'KiGa - PS'!L61</f>
        <v>783836.80876995379</v>
      </c>
      <c r="H60" s="42">
        <f t="shared" si="42"/>
        <v>0.58636123458759659</v>
      </c>
      <c r="I60" s="85">
        <f t="shared" si="43"/>
        <v>6220.9270537297916</v>
      </c>
      <c r="J60" s="365">
        <v>249588.55</v>
      </c>
      <c r="K60" s="43">
        <f>J60*'KiGa - PS'!L61</f>
        <v>215059.59560826464</v>
      </c>
      <c r="L60" s="42">
        <f t="shared" si="44"/>
        <v>0.16087865303067292</v>
      </c>
      <c r="M60" s="43">
        <f t="shared" si="45"/>
        <v>1706.8221873671798</v>
      </c>
      <c r="N60" s="365">
        <v>64048.75</v>
      </c>
      <c r="O60" s="43">
        <f>N60*'KiGa - PS'!L61</f>
        <v>55188.021542714363</v>
      </c>
      <c r="P60" s="42">
        <f t="shared" si="46"/>
        <v>4.1284252135357628E-2</v>
      </c>
      <c r="Q60" s="43">
        <f>O60/Funktional!C60</f>
        <v>9198.0035904523938</v>
      </c>
      <c r="R60" s="85">
        <f t="shared" si="47"/>
        <v>438.0001709739235</v>
      </c>
      <c r="S60" s="365">
        <v>35210.9</v>
      </c>
      <c r="T60" s="365">
        <v>78849.75</v>
      </c>
      <c r="U60" s="43">
        <f>T60*'KiGa - PS'!L61</f>
        <v>67941.399350301785</v>
      </c>
      <c r="V60" s="42">
        <f t="shared" si="48"/>
        <v>5.0824613436014202E-2</v>
      </c>
      <c r="W60" s="43">
        <f t="shared" si="49"/>
        <v>539.21745516112526</v>
      </c>
      <c r="X60" s="365">
        <v>71887.5</v>
      </c>
      <c r="Y60" s="43">
        <f>X60*'KiGa - PS'!L61</f>
        <v>61942.3314061848</v>
      </c>
      <c r="Z60" s="91">
        <f t="shared" si="50"/>
        <v>4.6336917978579147E-2</v>
      </c>
      <c r="AA60" s="365">
        <v>197552.85</v>
      </c>
      <c r="AB60" s="43">
        <f>AA60*'KiGa - PS'!L61</f>
        <v>170222.69664317599</v>
      </c>
      <c r="AC60" s="43">
        <f t="shared" si="51"/>
        <v>1350.9737828823493</v>
      </c>
      <c r="AD60" s="42">
        <f t="shared" si="52"/>
        <v>0.12733771805786193</v>
      </c>
      <c r="AE60" s="365">
        <v>117933</v>
      </c>
      <c r="AF60" s="43">
        <f>AE60*'KiGa - PS'!L61</f>
        <v>101617.73562476915</v>
      </c>
      <c r="AG60" s="42">
        <f t="shared" si="53"/>
        <v>7.6016717064410017E-2</v>
      </c>
      <c r="AH60" s="42">
        <f>AE60/'Kennzahlen Revision'!F60</f>
        <v>5.8290613055297195E-2</v>
      </c>
      <c r="AI60" s="97">
        <f t="shared" si="41"/>
        <v>7.4597780887854348E-2</v>
      </c>
      <c r="AJ60" s="365">
        <v>436244</v>
      </c>
      <c r="AK60" s="43">
        <f>AJ60*'KiGa - PS'!$L61</f>
        <v>375892.47674435307</v>
      </c>
      <c r="AL60" s="365">
        <v>307168</v>
      </c>
      <c r="AM60" s="43">
        <f>AL60*'KiGa - PS'!$L61</f>
        <v>264673.30277690798</v>
      </c>
      <c r="AN60" s="97">
        <f>(AK60+AM60)/Funktional!E60</f>
        <v>0.51413376480959183</v>
      </c>
    </row>
    <row r="61" spans="1:40" x14ac:dyDescent="0.25">
      <c r="A61" t="str">
        <f>Funktional!A61</f>
        <v>Hegi-Winden</v>
      </c>
      <c r="B61" t="str">
        <f>Funktional!B61</f>
        <v>PSG</v>
      </c>
      <c r="C61" s="43">
        <f>Funktional!D61</f>
        <v>47</v>
      </c>
      <c r="D61" s="43">
        <f>Funktional!J61-'KiGa - PS'!H62</f>
        <v>192089.94999999995</v>
      </c>
      <c r="E61" s="43">
        <f>'KiGa - PS'!F62+'KiGa - PS'!K62*Artengliederung!D61</f>
        <v>463322.72866890911</v>
      </c>
      <c r="F61" s="365">
        <v>367208.1</v>
      </c>
      <c r="G61" s="43">
        <f>F61*'KiGa - PS'!L62</f>
        <v>288109.76223139558</v>
      </c>
      <c r="H61" s="42">
        <f t="shared" si="42"/>
        <v>0.62183386310253541</v>
      </c>
      <c r="I61" s="85">
        <f t="shared" si="43"/>
        <v>6129.9949410935233</v>
      </c>
      <c r="J61" s="365">
        <v>106317.25</v>
      </c>
      <c r="K61" s="43">
        <f>J61*'KiGa - PS'!L62</f>
        <v>83416.018379212881</v>
      </c>
      <c r="L61" s="42">
        <f t="shared" si="44"/>
        <v>0.18003869272474662</v>
      </c>
      <c r="M61" s="43">
        <f t="shared" si="45"/>
        <v>1774.8089016853805</v>
      </c>
      <c r="N61" s="365">
        <v>20420.25</v>
      </c>
      <c r="O61" s="43">
        <f>N61*'KiGa - PS'!L62</f>
        <v>16021.632889377048</v>
      </c>
      <c r="P61" s="42">
        <f t="shared" si="46"/>
        <v>3.4579855245621079E-2</v>
      </c>
      <c r="Q61" s="43">
        <f>O61/Funktional!C61</f>
        <v>8010.8164446885239</v>
      </c>
      <c r="R61" s="85">
        <f t="shared" si="47"/>
        <v>340.88580615695844</v>
      </c>
      <c r="S61" s="365">
        <v>10472.049999999999</v>
      </c>
      <c r="T61" s="365">
        <v>24958.75</v>
      </c>
      <c r="U61" s="43">
        <f>T61*'KiGa - PS'!L62</f>
        <v>19582.518817239721</v>
      </c>
      <c r="V61" s="42">
        <f t="shared" si="48"/>
        <v>4.2265396462415741E-2</v>
      </c>
      <c r="W61" s="43">
        <f t="shared" si="49"/>
        <v>416.64933653701536</v>
      </c>
      <c r="X61" s="365">
        <v>24404.7</v>
      </c>
      <c r="Y61" s="43">
        <f>X61*'KiGa - PS'!L62</f>
        <v>19147.813771887224</v>
      </c>
      <c r="Z61" s="91">
        <f t="shared" si="50"/>
        <v>4.1327162660242105E-2</v>
      </c>
      <c r="AA61" s="365">
        <v>36322.300000000003</v>
      </c>
      <c r="AB61" s="43">
        <f>AA61*'KiGa - PS'!L62</f>
        <v>28498.307136191772</v>
      </c>
      <c r="AC61" s="43">
        <f t="shared" si="51"/>
        <v>606.34696034450576</v>
      </c>
      <c r="AD61" s="42">
        <f t="shared" si="52"/>
        <v>6.1508545497142429E-2</v>
      </c>
      <c r="AE61" s="365">
        <v>30530</v>
      </c>
      <c r="AF61" s="43">
        <f>AE61*'KiGa - PS'!L62</f>
        <v>23953.695577315717</v>
      </c>
      <c r="AG61" s="42">
        <f t="shared" si="53"/>
        <v>5.169980684119007E-2</v>
      </c>
      <c r="AH61" s="42">
        <f>AE61/'Kennzahlen Revision'!F61</f>
        <v>6.3843313076900554E-2</v>
      </c>
      <c r="AI61" s="97">
        <f t="shared" si="41"/>
        <v>9.4353502213159773E-2</v>
      </c>
      <c r="AJ61" s="365">
        <v>166801</v>
      </c>
      <c r="AK61" s="43">
        <f>AJ61*'KiGa - PS'!$L62</f>
        <v>130871.286472055</v>
      </c>
      <c r="AL61" s="365">
        <v>40928</v>
      </c>
      <c r="AM61" s="43">
        <f>AL61*'KiGa - PS'!$L62</f>
        <v>32111.917870565925</v>
      </c>
      <c r="AN61" s="97">
        <f>(AK61+AM61)/Funktional!E61</f>
        <v>0.38299747067053641</v>
      </c>
    </row>
    <row r="62" spans="1:40" x14ac:dyDescent="0.25">
      <c r="A62" t="str">
        <f>Funktional!A62</f>
        <v>Herdern</v>
      </c>
      <c r="B62" t="str">
        <f>Funktional!B62</f>
        <v>PSG</v>
      </c>
      <c r="C62" s="43">
        <f>Funktional!D62</f>
        <v>50</v>
      </c>
      <c r="D62" s="43">
        <f>Funktional!J62-'KiGa - PS'!H63</f>
        <v>194279.40000000002</v>
      </c>
      <c r="E62" s="43">
        <f>'KiGa - PS'!F63+'KiGa - PS'!K63*Artengliederung!D62</f>
        <v>571237.04212117987</v>
      </c>
      <c r="F62" s="365">
        <v>533540.35</v>
      </c>
      <c r="G62" s="43">
        <f>F62*'KiGa - PS'!L63</f>
        <v>455759.99482342956</v>
      </c>
      <c r="H62" s="42">
        <f t="shared" si="42"/>
        <v>0.79784741047438323</v>
      </c>
      <c r="I62" s="85">
        <f t="shared" si="43"/>
        <v>9115.1998964685918</v>
      </c>
      <c r="J62" s="365">
        <v>71936</v>
      </c>
      <c r="K62" s="43">
        <f>J62*'KiGa - PS'!L63</f>
        <v>61449.056266537722</v>
      </c>
      <c r="L62" s="42">
        <f t="shared" si="44"/>
        <v>0.10757190401791586</v>
      </c>
      <c r="M62" s="43">
        <f t="shared" si="45"/>
        <v>1228.9811253307544</v>
      </c>
      <c r="N62" s="365">
        <v>16896.900000000001</v>
      </c>
      <c r="O62" s="43">
        <f>N62*'KiGa - PS'!L63</f>
        <v>14433.64322217056</v>
      </c>
      <c r="P62" s="42">
        <f t="shared" si="46"/>
        <v>2.526734465358545E-2</v>
      </c>
      <c r="Q62" s="43">
        <f>O62/Funktional!C62</f>
        <v>7216.82161108528</v>
      </c>
      <c r="R62" s="85">
        <f t="shared" si="47"/>
        <v>288.67286444341119</v>
      </c>
      <c r="S62" s="365">
        <v>733.1</v>
      </c>
      <c r="T62" s="365">
        <v>20679.7</v>
      </c>
      <c r="U62" s="43">
        <f>T62*'KiGa - PS'!L63</f>
        <v>17664.980661631453</v>
      </c>
      <c r="V62" s="42">
        <f t="shared" si="48"/>
        <v>3.0924081176591619E-2</v>
      </c>
      <c r="W62" s="43">
        <f t="shared" si="49"/>
        <v>353.29961323262904</v>
      </c>
      <c r="X62" s="365">
        <v>20537.5</v>
      </c>
      <c r="Y62" s="43">
        <f>X62*'KiGa - PS'!L63</f>
        <v>17543.510802296743</v>
      </c>
      <c r="Z62" s="91">
        <f t="shared" si="50"/>
        <v>3.0711437649687878E-2</v>
      </c>
      <c r="AA62" s="365">
        <v>18880.2</v>
      </c>
      <c r="AB62" s="43">
        <f>AA62*'KiGa - PS'!L63</f>
        <v>16127.814614705927</v>
      </c>
      <c r="AC62" s="43">
        <f t="shared" si="51"/>
        <v>322.55629229411852</v>
      </c>
      <c r="AD62" s="42">
        <f t="shared" si="52"/>
        <v>2.8233138654346297E-2</v>
      </c>
      <c r="AE62" s="365">
        <v>17630</v>
      </c>
      <c r="AF62" s="43">
        <f>AE62*'KiGa - PS'!L63</f>
        <v>15059.87074592777</v>
      </c>
      <c r="AG62" s="42">
        <f t="shared" si="53"/>
        <v>2.6363610262397918E-2</v>
      </c>
      <c r="AH62" s="42">
        <f>AE62/'Kennzahlen Revision'!F62</f>
        <v>6.3831019775668185E-2</v>
      </c>
      <c r="AI62" s="97">
        <f t="shared" si="41"/>
        <v>3.5423465676762987E-2</v>
      </c>
      <c r="AJ62" s="365">
        <v>92212.85</v>
      </c>
      <c r="AK62" s="43">
        <f>AJ62*'KiGa - PS'!$L63</f>
        <v>78769.91503764184</v>
      </c>
      <c r="AL62" s="365">
        <v>0</v>
      </c>
      <c r="AM62" s="43">
        <f>AL62*'KiGa - PS'!$L63</f>
        <v>0</v>
      </c>
      <c r="AN62" s="97">
        <f>(AK62+AM62)/Funktional!E62</f>
        <v>0.14130970633284218</v>
      </c>
    </row>
    <row r="63" spans="1:40" x14ac:dyDescent="0.25">
      <c r="A63" t="str">
        <f>Funktional!A63</f>
        <v>Herrenhof-Langrickenbach</v>
      </c>
      <c r="B63" t="str">
        <f>Funktional!B63</f>
        <v>PSG</v>
      </c>
      <c r="C63" s="43">
        <f>Funktional!D63</f>
        <v>17</v>
      </c>
      <c r="D63" s="43">
        <f>Funktional!J63-'KiGa - PS'!H64</f>
        <v>180393</v>
      </c>
      <c r="E63" s="43">
        <f>'KiGa - PS'!F64+'KiGa - PS'!K64*Artengliederung!D63</f>
        <v>444724.05810937186</v>
      </c>
      <c r="F63" s="365">
        <v>401252.65</v>
      </c>
      <c r="G63" s="43">
        <f>F63*'KiGa - PS'!L64</f>
        <v>312334.16615546029</v>
      </c>
      <c r="H63" s="42">
        <f t="shared" si="42"/>
        <v>0.70231002901724582</v>
      </c>
      <c r="I63" s="85">
        <f t="shared" si="43"/>
        <v>18372.598009144724</v>
      </c>
      <c r="J63" s="365">
        <v>105075.3</v>
      </c>
      <c r="K63" s="43">
        <f>J63*'KiGa - PS'!L64</f>
        <v>81790.378727803633</v>
      </c>
      <c r="L63" s="42">
        <f t="shared" si="44"/>
        <v>0.1839126470367132</v>
      </c>
      <c r="M63" s="43">
        <f t="shared" si="45"/>
        <v>4811.1987486943317</v>
      </c>
      <c r="N63" s="365">
        <v>5362.7</v>
      </c>
      <c r="O63" s="43">
        <f>N63*'KiGa - PS'!L64</f>
        <v>4174.3136969734323</v>
      </c>
      <c r="P63" s="42">
        <f t="shared" si="46"/>
        <v>9.3863006078857888E-3</v>
      </c>
      <c r="Q63" s="43">
        <f>O63/Funktional!C63</f>
        <v>4174.3136969734323</v>
      </c>
      <c r="R63" s="85">
        <f t="shared" si="47"/>
        <v>245.54786452784896</v>
      </c>
      <c r="S63" s="365">
        <v>2177.4</v>
      </c>
      <c r="T63" s="365">
        <v>13982.4</v>
      </c>
      <c r="U63" s="43">
        <f>T63*'KiGa - PS'!L64</f>
        <v>10883.868916135776</v>
      </c>
      <c r="V63" s="42">
        <f t="shared" si="48"/>
        <v>2.4473308150689443E-2</v>
      </c>
      <c r="W63" s="43">
        <f t="shared" si="49"/>
        <v>640.22758330210445</v>
      </c>
      <c r="X63" s="365">
        <v>3211.1</v>
      </c>
      <c r="Y63" s="43">
        <f>X63*'KiGa - PS'!L64</f>
        <v>2499.5130647530891</v>
      </c>
      <c r="Z63" s="91">
        <f t="shared" si="50"/>
        <v>5.6203684490987865E-3</v>
      </c>
      <c r="AA63" s="365">
        <v>6693.85</v>
      </c>
      <c r="AB63" s="43">
        <f>AA63*'KiGa - PS'!L64</f>
        <v>5210.4778825005342</v>
      </c>
      <c r="AC63" s="43">
        <f t="shared" si="51"/>
        <v>306.49869897061967</v>
      </c>
      <c r="AD63" s="42">
        <f t="shared" si="52"/>
        <v>1.1716204211329424E-2</v>
      </c>
      <c r="AE63" s="365">
        <v>5075.45</v>
      </c>
      <c r="AF63" s="43">
        <f>AE63*'KiGa - PS'!L64</f>
        <v>3950.7189388374904</v>
      </c>
      <c r="AG63" s="42">
        <f t="shared" si="53"/>
        <v>8.8835287113383059E-3</v>
      </c>
      <c r="AH63" s="42">
        <f>AE63/'Kennzahlen Revision'!F63</f>
        <v>1.462722191577427E-2</v>
      </c>
      <c r="AI63" s="97">
        <f t="shared" si="41"/>
        <v>7.7587811584022115E-2</v>
      </c>
      <c r="AJ63" s="365">
        <v>213547</v>
      </c>
      <c r="AK63" s="43">
        <f>AJ63*'KiGa - PS'!$L64</f>
        <v>166224.50762630499</v>
      </c>
      <c r="AL63" s="365">
        <v>0</v>
      </c>
      <c r="AM63" s="43">
        <f>AL63*'KiGa - PS'!$L64</f>
        <v>0</v>
      </c>
      <c r="AN63" s="97">
        <f>(AK63+AM63)/Funktional!E63</f>
        <v>0.39920024234627244</v>
      </c>
    </row>
    <row r="64" spans="1:40" x14ac:dyDescent="0.25">
      <c r="A64" t="str">
        <f>Funktional!A64</f>
        <v>Hohentannen</v>
      </c>
      <c r="B64" t="str">
        <f>Funktional!B64</f>
        <v>PSG</v>
      </c>
      <c r="C64" s="43">
        <f>Funktional!D64</f>
        <v>43</v>
      </c>
      <c r="D64" s="43">
        <f>Funktional!J64-'KiGa - PS'!H65</f>
        <v>263782.89999999997</v>
      </c>
      <c r="E64" s="43">
        <f>'KiGa - PS'!F65+'KiGa - PS'!K65*Artengliederung!D64</f>
        <v>448574.68624573329</v>
      </c>
      <c r="F64" s="365">
        <v>365296.4</v>
      </c>
      <c r="G64" s="43">
        <f>F64*'KiGa - PS'!L65</f>
        <v>263001.08051862306</v>
      </c>
      <c r="H64" s="42">
        <f t="shared" si="42"/>
        <v>0.58630388335053907</v>
      </c>
      <c r="I64" s="85">
        <f t="shared" si="43"/>
        <v>6116.304198107513</v>
      </c>
      <c r="J64" s="365">
        <v>115997.5</v>
      </c>
      <c r="K64" s="43">
        <f>J64*'KiGa - PS'!L65</f>
        <v>83514.28548832942</v>
      </c>
      <c r="L64" s="42">
        <f t="shared" si="44"/>
        <v>0.18617699136633745</v>
      </c>
      <c r="M64" s="43">
        <f t="shared" si="45"/>
        <v>1942.1926857751027</v>
      </c>
      <c r="N64" s="365">
        <v>29878</v>
      </c>
      <c r="O64" s="43">
        <f>N64*'KiGa - PS'!L65</f>
        <v>21511.151721548362</v>
      </c>
      <c r="P64" s="42">
        <f t="shared" si="46"/>
        <v>4.7954448570386686E-2</v>
      </c>
      <c r="Q64" s="43">
        <f>O64/Funktional!C64</f>
        <v>10755.575860774181</v>
      </c>
      <c r="R64" s="85">
        <f t="shared" si="47"/>
        <v>500.2593423615898</v>
      </c>
      <c r="S64" s="365">
        <v>16069.15</v>
      </c>
      <c r="T64" s="365">
        <v>29767.9</v>
      </c>
      <c r="U64" s="43">
        <f>T64*'KiGa - PS'!L65</f>
        <v>21431.883437039949</v>
      </c>
      <c r="V64" s="42">
        <f t="shared" si="48"/>
        <v>4.777773711755854E-2</v>
      </c>
      <c r="W64" s="43">
        <f t="shared" si="49"/>
        <v>498.41589388464996</v>
      </c>
      <c r="X64" s="365">
        <v>25975.15</v>
      </c>
      <c r="Y64" s="43">
        <f>X64*'KiGa - PS'!L65</f>
        <v>18701.23142914442</v>
      </c>
      <c r="Z64" s="91">
        <f t="shared" si="50"/>
        <v>4.1690340544316216E-2</v>
      </c>
      <c r="AA64" s="365">
        <v>44212.15</v>
      </c>
      <c r="AB64" s="43">
        <f>AA64*'KiGa - PS'!L65</f>
        <v>31831.255993903691</v>
      </c>
      <c r="AC64" s="43">
        <f t="shared" si="51"/>
        <v>740.26176730008581</v>
      </c>
      <c r="AD64" s="42">
        <f t="shared" si="52"/>
        <v>7.0960883371083139E-2</v>
      </c>
      <c r="AE64" s="365">
        <v>24672.05</v>
      </c>
      <c r="AF64" s="43">
        <f>AE64*'KiGa - PS'!L65</f>
        <v>17763.043404231452</v>
      </c>
      <c r="AG64" s="42">
        <f t="shared" si="53"/>
        <v>3.9598853767019514E-2</v>
      </c>
      <c r="AH64" s="42">
        <f>AE64/'Kennzahlen Revision'!F64</f>
        <v>8.7548929468820508E-2</v>
      </c>
      <c r="AI64" s="97">
        <f t="shared" si="41"/>
        <v>0.10878050479448181</v>
      </c>
      <c r="AJ64" s="365">
        <v>183377</v>
      </c>
      <c r="AK64" s="43">
        <f>AJ64*'KiGa - PS'!$L65</f>
        <v>132025.25166484952</v>
      </c>
      <c r="AL64" s="365">
        <v>112655</v>
      </c>
      <c r="AM64" s="43">
        <f>AL64*'KiGa - PS'!$L65</f>
        <v>81107.798286064353</v>
      </c>
      <c r="AN64" s="97">
        <f>(AK64+AM64)/Funktional!E64</f>
        <v>0.51680472531917532</v>
      </c>
    </row>
    <row r="65" spans="1:40" x14ac:dyDescent="0.25">
      <c r="A65" t="str">
        <f>Funktional!A65</f>
        <v>Homburg-Hörstetten</v>
      </c>
      <c r="B65" t="str">
        <f>Funktional!B65</f>
        <v>PSG</v>
      </c>
      <c r="C65" s="43">
        <f>Funktional!D65</f>
        <v>70</v>
      </c>
      <c r="D65" s="43">
        <f>Funktional!J65-'KiGa - PS'!H66</f>
        <v>599002.5</v>
      </c>
      <c r="E65" s="43">
        <f>'KiGa - PS'!F66+'KiGa - PS'!K66*Artengliederung!D65</f>
        <v>1015905.0752319006</v>
      </c>
      <c r="F65" s="365">
        <v>648691.19999999995</v>
      </c>
      <c r="G65" s="43">
        <f>F65*'KiGa - PS'!L66</f>
        <v>559156.02520502312</v>
      </c>
      <c r="H65" s="42">
        <f t="shared" ref="H65:H71" si="54">G65/$E65</f>
        <v>0.55040184249240476</v>
      </c>
      <c r="I65" s="85">
        <f t="shared" ref="I65:I71" si="55">G65/C65</f>
        <v>7987.9432172146162</v>
      </c>
      <c r="J65" s="365">
        <v>166473.04999999999</v>
      </c>
      <c r="K65" s="43">
        <f>J65*'KiGa - PS'!L66</f>
        <v>143495.71713283157</v>
      </c>
      <c r="L65" s="42">
        <f t="shared" ref="L65:L71" si="56">K65/$E65</f>
        <v>0.14124913895136887</v>
      </c>
      <c r="M65" s="43">
        <f t="shared" ref="M65:M71" si="57">K65/C65</f>
        <v>2049.9388161833081</v>
      </c>
      <c r="N65" s="365">
        <v>25065.25</v>
      </c>
      <c r="O65" s="43">
        <f>N65*'KiGa - PS'!L66</f>
        <v>21605.635409837847</v>
      </c>
      <c r="P65" s="42">
        <f t="shared" ref="P65:P71" si="58">O65/$E65</f>
        <v>2.1267376191526487E-2</v>
      </c>
      <c r="Q65" s="43">
        <f>O65/Funktional!C65</f>
        <v>7201.8784699459493</v>
      </c>
      <c r="R65" s="85">
        <f t="shared" ref="R65:R71" si="59">O65/C65</f>
        <v>308.65193442625497</v>
      </c>
      <c r="S65" s="365">
        <v>42330.400000000001</v>
      </c>
      <c r="T65" s="365">
        <v>104243.95</v>
      </c>
      <c r="U65" s="43">
        <f>T65*'KiGa - PS'!L66</f>
        <v>89855.747594034212</v>
      </c>
      <c r="V65" s="42">
        <f t="shared" ref="V65:V71" si="60">U65/$E65</f>
        <v>8.8448960227433496E-2</v>
      </c>
      <c r="W65" s="43">
        <f t="shared" ref="W65:W71" si="61">U65/C65</f>
        <v>1283.6535370576316</v>
      </c>
      <c r="X65" s="365">
        <v>94400</v>
      </c>
      <c r="Y65" s="43">
        <f>X65*'KiGa - PS'!L66</f>
        <v>81370.502296553706</v>
      </c>
      <c r="Z65" s="91">
        <f t="shared" ref="Z65:Z71" si="62">Y65/$E65</f>
        <v>8.0096560476360712E-2</v>
      </c>
      <c r="AA65" s="365">
        <v>213233.85</v>
      </c>
      <c r="AB65" s="43">
        <f>AA65*'KiGa - PS'!L66</f>
        <v>183802.38857127106</v>
      </c>
      <c r="AC65" s="43">
        <f t="shared" ref="AC65:AC71" si="63">AB65/C65</f>
        <v>2625.748408161015</v>
      </c>
      <c r="AD65" s="42">
        <f t="shared" ref="AD65:AD71" si="64">AB65/$E65</f>
        <v>0.1809247665480109</v>
      </c>
      <c r="AE65" s="365">
        <v>136213</v>
      </c>
      <c r="AF65" s="43">
        <f>AE65*'KiGa - PS'!L66</f>
        <v>117412.29056483549</v>
      </c>
      <c r="AG65" s="42">
        <f t="shared" ref="AG65:AG71" si="65">AF65/$E65</f>
        <v>0.11557407618820469</v>
      </c>
      <c r="AH65" s="42">
        <f>AE65/'Kennzahlen Revision'!F65</f>
        <v>6.3656407840674153E-2</v>
      </c>
      <c r="AI65" s="97">
        <f t="shared" ref="AI65:AI68" si="66">1-H65-L65-V65-AD65</f>
        <v>3.897529178078199E-2</v>
      </c>
      <c r="AJ65" s="365">
        <v>97566</v>
      </c>
      <c r="AK65" s="43">
        <f>AJ65*'KiGa - PS'!$L66</f>
        <v>84099.517235863968</v>
      </c>
      <c r="AL65" s="365">
        <v>474854</v>
      </c>
      <c r="AM65" s="43">
        <f>AL65*'KiGa - PS'!$L66</f>
        <v>409312.59001618344</v>
      </c>
      <c r="AN65" s="97">
        <f>(AK65+AM65)/Funktional!E65</f>
        <v>0.50043342717297912</v>
      </c>
    </row>
    <row r="66" spans="1:40" x14ac:dyDescent="0.25">
      <c r="A66" t="str">
        <f>Funktional!A66</f>
        <v>Hugelshofen-Lippoldswilen</v>
      </c>
      <c r="B66" t="str">
        <f>Funktional!B66</f>
        <v>PSG</v>
      </c>
      <c r="C66" s="43">
        <f>Funktional!D66</f>
        <v>63</v>
      </c>
      <c r="D66" s="43">
        <f>Funktional!J66-'KiGa - PS'!H67</f>
        <v>416282.70000000007</v>
      </c>
      <c r="E66" s="43">
        <f>'KiGa - PS'!F67+'KiGa - PS'!K67*Artengliederung!D66</f>
        <v>695249.37041127984</v>
      </c>
      <c r="F66" s="365">
        <v>600561.6</v>
      </c>
      <c r="G66" s="43">
        <f>F66*'KiGa - PS'!L67</f>
        <v>451109.06191468163</v>
      </c>
      <c r="H66" s="42">
        <f t="shared" si="54"/>
        <v>0.64884497723144252</v>
      </c>
      <c r="I66" s="85">
        <f t="shared" si="55"/>
        <v>7160.4613002330416</v>
      </c>
      <c r="J66" s="365">
        <v>164714.54999999999</v>
      </c>
      <c r="K66" s="43">
        <f>J66*'KiGa - PS'!L67</f>
        <v>123724.57069216366</v>
      </c>
      <c r="L66" s="42">
        <f t="shared" si="56"/>
        <v>0.17795711288307026</v>
      </c>
      <c r="M66" s="43">
        <f t="shared" si="57"/>
        <v>1963.8820744787884</v>
      </c>
      <c r="N66" s="365">
        <v>26073.9</v>
      </c>
      <c r="O66" s="43">
        <f>N66*'KiGa - PS'!L67</f>
        <v>19585.289118480465</v>
      </c>
      <c r="P66" s="42">
        <f t="shared" si="58"/>
        <v>2.8170164479105739E-2</v>
      </c>
      <c r="Q66" s="43">
        <f>O66/Funktional!C66</f>
        <v>6528.4297061601546</v>
      </c>
      <c r="R66" s="85">
        <f t="shared" si="59"/>
        <v>310.87760505524545</v>
      </c>
      <c r="S66" s="365">
        <v>19487.900000000001</v>
      </c>
      <c r="T66" s="365">
        <v>49391.85</v>
      </c>
      <c r="U66" s="43">
        <f>T66*'KiGa - PS'!L67</f>
        <v>37100.459169768212</v>
      </c>
      <c r="V66" s="42">
        <f t="shared" si="60"/>
        <v>5.3362808725480992E-2</v>
      </c>
      <c r="W66" s="43">
        <f t="shared" si="61"/>
        <v>588.89617729790814</v>
      </c>
      <c r="X66" s="365">
        <v>46962.5</v>
      </c>
      <c r="Y66" s="43">
        <f>X66*'KiGa - PS'!L67</f>
        <v>35275.664178609215</v>
      </c>
      <c r="Z66" s="91">
        <f t="shared" si="62"/>
        <v>5.0738146167240164E-2</v>
      </c>
      <c r="AA66" s="365">
        <v>52352.55</v>
      </c>
      <c r="AB66" s="43">
        <f>AA66*'KiGa - PS'!L67</f>
        <v>39324.375250334801</v>
      </c>
      <c r="AC66" s="43">
        <f t="shared" si="63"/>
        <v>624.19643254499681</v>
      </c>
      <c r="AD66" s="42">
        <f t="shared" si="64"/>
        <v>5.6561540252919866E-2</v>
      </c>
      <c r="AE66" s="365">
        <v>47245</v>
      </c>
      <c r="AF66" s="43">
        <f>AE66*'KiGa - PS'!L67</f>
        <v>35487.862744070102</v>
      </c>
      <c r="AG66" s="42">
        <f t="shared" si="65"/>
        <v>5.1043358332100316E-2</v>
      </c>
      <c r="AH66" s="42">
        <f>AE66/'Kennzahlen Revision'!F66</f>
        <v>6.3830448387114214E-2</v>
      </c>
      <c r="AI66" s="97">
        <f t="shared" si="66"/>
        <v>6.3273560907086357E-2</v>
      </c>
      <c r="AJ66" s="365">
        <v>328238</v>
      </c>
      <c r="AK66" s="43">
        <f>AJ66*'KiGa - PS'!$L67</f>
        <v>246554.45214071506</v>
      </c>
      <c r="AL66" s="365">
        <v>228157</v>
      </c>
      <c r="AM66" s="43">
        <f>AL66*'KiGa - PS'!$L67</f>
        <v>171379.07291986037</v>
      </c>
      <c r="AN66" s="97">
        <f>(AK66+AM66)/Funktional!E66</f>
        <v>0.63787805276229825</v>
      </c>
    </row>
    <row r="67" spans="1:40" x14ac:dyDescent="0.25">
      <c r="A67" t="str">
        <f>Funktional!A67</f>
        <v>Hüttlingen</v>
      </c>
      <c r="B67" t="str">
        <f>Funktional!B67</f>
        <v>PSG</v>
      </c>
      <c r="C67" s="43">
        <f>Funktional!D67</f>
        <v>79</v>
      </c>
      <c r="D67" s="43">
        <f>Funktional!J67-'KiGa - PS'!H68</f>
        <v>387578.27</v>
      </c>
      <c r="E67" s="43">
        <f>'KiGa - PS'!F68+'KiGa - PS'!K68*Artengliederung!D67</f>
        <v>906567.69033667247</v>
      </c>
      <c r="F67" s="365">
        <v>808449.58</v>
      </c>
      <c r="G67" s="43">
        <f>F67*'KiGa - PS'!L68</f>
        <v>645355.2156011546</v>
      </c>
      <c r="H67" s="42">
        <f t="shared" si="54"/>
        <v>0.71186655169840518</v>
      </c>
      <c r="I67" s="85">
        <f t="shared" si="55"/>
        <v>8169.0533620399319</v>
      </c>
      <c r="J67" s="365">
        <v>154555.37</v>
      </c>
      <c r="K67" s="43">
        <f>J67*'KiGa - PS'!L68</f>
        <v>123375.8005399251</v>
      </c>
      <c r="L67" s="42">
        <f t="shared" si="56"/>
        <v>0.13609110699070576</v>
      </c>
      <c r="M67" s="43">
        <f t="shared" si="57"/>
        <v>1561.718994176267</v>
      </c>
      <c r="N67" s="365">
        <v>26775.45</v>
      </c>
      <c r="O67" s="43">
        <f>N67*'KiGa - PS'!L68</f>
        <v>21373.845364070738</v>
      </c>
      <c r="P67" s="42">
        <f t="shared" si="58"/>
        <v>2.3576667900146675E-2</v>
      </c>
      <c r="Q67" s="43">
        <f>O67/Funktional!C67</f>
        <v>5343.4613410176844</v>
      </c>
      <c r="R67" s="85">
        <f t="shared" si="59"/>
        <v>270.55500460849032</v>
      </c>
      <c r="S67" s="365">
        <v>5743.65</v>
      </c>
      <c r="T67" s="365">
        <v>11745.85</v>
      </c>
      <c r="U67" s="43">
        <f>T67*'KiGa - PS'!L68</f>
        <v>9376.2749671647089</v>
      </c>
      <c r="V67" s="42">
        <f t="shared" si="60"/>
        <v>1.0342608794807851E-2</v>
      </c>
      <c r="W67" s="43">
        <f t="shared" si="61"/>
        <v>118.6870249008191</v>
      </c>
      <c r="X67" s="365">
        <v>11745.85</v>
      </c>
      <c r="Y67" s="43">
        <f>X67*'KiGa - PS'!L68</f>
        <v>9376.2749671647089</v>
      </c>
      <c r="Z67" s="91">
        <f t="shared" si="62"/>
        <v>1.0342608794807851E-2</v>
      </c>
      <c r="AA67" s="365">
        <v>101174.25</v>
      </c>
      <c r="AB67" s="43">
        <f>AA67*'KiGa - PS'!L68</f>
        <v>80763.638867911985</v>
      </c>
      <c r="AC67" s="43">
        <f t="shared" si="63"/>
        <v>1022.3245426317973</v>
      </c>
      <c r="AD67" s="42">
        <f t="shared" si="64"/>
        <v>8.9087268086863708E-2</v>
      </c>
      <c r="AE67" s="365">
        <v>89161</v>
      </c>
      <c r="AF67" s="43">
        <f>AE67*'KiGa - PS'!L68</f>
        <v>71173.908431264877</v>
      </c>
      <c r="AG67" s="42">
        <f t="shared" si="65"/>
        <v>7.8509204762010648E-2</v>
      </c>
      <c r="AH67" s="42">
        <f>AE67/'Kennzahlen Revision'!F67</f>
        <v>9.4867266053093577E-2</v>
      </c>
      <c r="AI67" s="97">
        <f t="shared" si="66"/>
        <v>5.2612464429217493E-2</v>
      </c>
      <c r="AJ67" s="365">
        <v>0</v>
      </c>
      <c r="AK67" s="43">
        <f>AJ67*'KiGa - PS'!$L68</f>
        <v>0</v>
      </c>
      <c r="AL67" s="365">
        <v>0</v>
      </c>
      <c r="AM67" s="43">
        <f>AL67*'KiGa - PS'!$L68</f>
        <v>0</v>
      </c>
      <c r="AN67" s="97">
        <f>(AK67+AM67)/Funktional!E67</f>
        <v>0</v>
      </c>
    </row>
    <row r="68" spans="1:40" x14ac:dyDescent="0.25">
      <c r="A68" t="str">
        <f>Funktional!A68</f>
        <v>Hüttwilen</v>
      </c>
      <c r="B68" t="str">
        <f>Funktional!B68</f>
        <v>PSG</v>
      </c>
      <c r="C68" s="43">
        <f>Funktional!D68</f>
        <v>83</v>
      </c>
      <c r="D68" s="43">
        <f>Funktional!J68-'KiGa - PS'!H69</f>
        <v>637782.75</v>
      </c>
      <c r="E68" s="43">
        <f>'KiGa - PS'!F69+'KiGa - PS'!K69*Artengliederung!D68</f>
        <v>1114144.8147521981</v>
      </c>
      <c r="F68" s="365">
        <v>879463.05</v>
      </c>
      <c r="G68" s="43">
        <f>F68*'KiGa - PS'!L69</f>
        <v>779962.26226387138</v>
      </c>
      <c r="H68" s="42">
        <f t="shared" si="54"/>
        <v>0.70005465352127161</v>
      </c>
      <c r="I68" s="85">
        <f t="shared" si="55"/>
        <v>9397.1356899261609</v>
      </c>
      <c r="J68" s="365">
        <v>100103.3</v>
      </c>
      <c r="K68" s="43">
        <f>J68*'KiGa - PS'!L69</f>
        <v>88777.801782666138</v>
      </c>
      <c r="L68" s="42">
        <f t="shared" si="56"/>
        <v>7.968246192700866E-2</v>
      </c>
      <c r="M68" s="43">
        <f t="shared" si="57"/>
        <v>1069.6120696706764</v>
      </c>
      <c r="N68" s="365">
        <v>26972.5</v>
      </c>
      <c r="O68" s="43">
        <f>N68*'KiGa - PS'!L69</f>
        <v>23920.882314398848</v>
      </c>
      <c r="P68" s="42">
        <f t="shared" si="58"/>
        <v>2.1470173354187532E-2</v>
      </c>
      <c r="Q68" s="43">
        <f>O68/Funktional!C68</f>
        <v>5980.2205785997121</v>
      </c>
      <c r="R68" s="85">
        <f t="shared" si="59"/>
        <v>288.20340137829936</v>
      </c>
      <c r="S68" s="365">
        <v>7340.2</v>
      </c>
      <c r="T68" s="365">
        <v>69543.8</v>
      </c>
      <c r="U68" s="43">
        <f>T68*'KiGa - PS'!L69</f>
        <v>61675.745870649393</v>
      </c>
      <c r="V68" s="42">
        <f t="shared" si="60"/>
        <v>5.535702814751866E-2</v>
      </c>
      <c r="W68" s="43">
        <f t="shared" si="61"/>
        <v>743.08127554999271</v>
      </c>
      <c r="X68" s="365">
        <v>69543.8</v>
      </c>
      <c r="Y68" s="43">
        <f>X68*'KiGa - PS'!L69</f>
        <v>61675.745870649393</v>
      </c>
      <c r="Z68" s="91">
        <f t="shared" si="62"/>
        <v>5.535702814751866E-2</v>
      </c>
      <c r="AA68" s="365">
        <v>121619.05</v>
      </c>
      <c r="AB68" s="43">
        <f>AA68*'KiGa - PS'!L69</f>
        <v>107859.30048156416</v>
      </c>
      <c r="AC68" s="43">
        <f t="shared" si="63"/>
        <v>1299.5096443561947</v>
      </c>
      <c r="AD68" s="42">
        <f t="shared" si="64"/>
        <v>9.6809049464143163E-2</v>
      </c>
      <c r="AE68" s="365">
        <v>123000</v>
      </c>
      <c r="AF68" s="43">
        <f>AE68*'KiGa - PS'!L69</f>
        <v>109084.01240786201</v>
      </c>
      <c r="AG68" s="42">
        <f t="shared" si="65"/>
        <v>9.7908288907778904E-2</v>
      </c>
      <c r="AH68" s="42">
        <f>AE68/'Kennzahlen Revision'!F68</f>
        <v>6.8638392857142863E-2</v>
      </c>
      <c r="AI68" s="97">
        <f t="shared" si="66"/>
        <v>6.8096806940057888E-2</v>
      </c>
      <c r="AJ68" s="365">
        <v>87194</v>
      </c>
      <c r="AK68" s="43">
        <f>AJ68*'KiGa - PS'!$L69</f>
        <v>77329.035592610744</v>
      </c>
      <c r="AL68" s="365">
        <v>0</v>
      </c>
      <c r="AM68" s="43">
        <f>AL68*'KiGa - PS'!$L69</f>
        <v>0</v>
      </c>
      <c r="AN68" s="97">
        <f>(AK68+AM68)/Funktional!E68</f>
        <v>7.3049572069283239E-2</v>
      </c>
    </row>
    <row r="69" spans="1:40" x14ac:dyDescent="0.25">
      <c r="A69" t="str">
        <f>Funktional!A69</f>
        <v>Illighausen</v>
      </c>
      <c r="B69" t="str">
        <f>Funktional!B69</f>
        <v>PSG</v>
      </c>
      <c r="C69" s="43">
        <f>Funktional!D69</f>
        <v>25</v>
      </c>
      <c r="D69" s="43">
        <f>Funktional!J69-'KiGa - PS'!H70</f>
        <v>239884</v>
      </c>
      <c r="E69" s="43">
        <f>'KiGa - PS'!F70+'KiGa - PS'!K70*Artengliederung!D69</f>
        <v>486329.64</v>
      </c>
      <c r="F69" s="365">
        <v>181057.25</v>
      </c>
      <c r="G69" s="43">
        <f>F69*'KiGa - PS'!L70</f>
        <v>181057.25</v>
      </c>
      <c r="H69" s="42">
        <f t="shared" si="54"/>
        <v>0.3722932659420059</v>
      </c>
      <c r="I69" s="85">
        <f t="shared" si="55"/>
        <v>7242.29</v>
      </c>
      <c r="J69" s="365">
        <v>72153.289999999994</v>
      </c>
      <c r="K69" s="43">
        <f>J69*'KiGa - PS'!L70</f>
        <v>72153.289999999994</v>
      </c>
      <c r="L69" s="42">
        <f t="shared" si="56"/>
        <v>0.14836292930860639</v>
      </c>
      <c r="M69" s="43">
        <f t="shared" si="57"/>
        <v>2886.1315999999997</v>
      </c>
      <c r="N69" s="365">
        <v>14614.44</v>
      </c>
      <c r="O69" s="43">
        <f>N69*'KiGa - PS'!L70</f>
        <v>14614.44</v>
      </c>
      <c r="P69" s="42">
        <f t="shared" si="58"/>
        <v>3.0050481809005103E-2</v>
      </c>
      <c r="Q69" s="43">
        <f>O69/Funktional!C69</f>
        <v>14614.44</v>
      </c>
      <c r="R69" s="85">
        <f t="shared" si="59"/>
        <v>584.57760000000007</v>
      </c>
      <c r="S69" s="365">
        <v>1179.1500000000001</v>
      </c>
      <c r="T69" s="365">
        <v>69978.55</v>
      </c>
      <c r="U69" s="43">
        <f>T69*'KiGa - PS'!L70</f>
        <v>69978.55</v>
      </c>
      <c r="V69" s="42">
        <f t="shared" si="60"/>
        <v>0.14389118870073392</v>
      </c>
      <c r="W69" s="43">
        <f t="shared" si="61"/>
        <v>2799.1420000000003</v>
      </c>
      <c r="X69" s="365">
        <v>11633.3</v>
      </c>
      <c r="Y69" s="43">
        <f>X69*'KiGa - PS'!L70</f>
        <v>11633.3</v>
      </c>
      <c r="Z69" s="91">
        <f t="shared" si="62"/>
        <v>2.3920606607485406E-2</v>
      </c>
      <c r="AA69" s="365">
        <v>97927.3</v>
      </c>
      <c r="AB69" s="43">
        <f>AA69*'KiGa - PS'!L70</f>
        <v>97927.3</v>
      </c>
      <c r="AC69" s="43">
        <f t="shared" si="63"/>
        <v>3917.0920000000001</v>
      </c>
      <c r="AD69" s="42">
        <f t="shared" si="64"/>
        <v>0.20135992533788399</v>
      </c>
      <c r="AE69" s="365">
        <v>97770</v>
      </c>
      <c r="AF69" s="43">
        <f>AE69*'KiGa - PS'!L70</f>
        <v>97770</v>
      </c>
      <c r="AG69" s="42">
        <f t="shared" si="65"/>
        <v>0.20103648216876108</v>
      </c>
      <c r="AH69" s="42">
        <f>AE69/'Kennzahlen Revision'!F69</f>
        <v>5.533158785386473E-2</v>
      </c>
      <c r="AI69" s="97">
        <f t="shared" ref="AI69:AI74" si="67">1-H69-L69-V69-AD69</f>
        <v>0.13409269071076974</v>
      </c>
      <c r="AJ69" s="365">
        <v>0</v>
      </c>
      <c r="AK69" s="43">
        <f>AJ69*'KiGa - PS'!$L70</f>
        <v>0</v>
      </c>
      <c r="AL69" s="365">
        <v>0</v>
      </c>
      <c r="AM69" s="43">
        <f>AL69*'KiGa - PS'!$L70</f>
        <v>0</v>
      </c>
      <c r="AN69" s="97">
        <f>(AK69+AM69)/Funktional!E69</f>
        <v>0</v>
      </c>
    </row>
    <row r="70" spans="1:40" x14ac:dyDescent="0.25">
      <c r="A70" t="str">
        <f>Funktional!A70</f>
        <v>Istighofen</v>
      </c>
      <c r="B70" t="str">
        <f>Funktional!B70</f>
        <v>PSG</v>
      </c>
      <c r="C70" s="43">
        <f>Funktional!D70</f>
        <v>53</v>
      </c>
      <c r="D70" s="43">
        <f>Funktional!J70-'KiGa - PS'!H71</f>
        <v>326585.54999999993</v>
      </c>
      <c r="E70" s="43">
        <f>'KiGa - PS'!F71+'KiGa - PS'!K71*Artengliederung!D70</f>
        <v>715856.71544895286</v>
      </c>
      <c r="F70" s="365">
        <v>561301.38</v>
      </c>
      <c r="G70" s="43">
        <f>F70*'KiGa - PS'!L71</f>
        <v>449558.04565454478</v>
      </c>
      <c r="H70" s="42">
        <f t="shared" si="54"/>
        <v>0.62800003960653261</v>
      </c>
      <c r="I70" s="85">
        <f t="shared" si="55"/>
        <v>8482.2272765008456</v>
      </c>
      <c r="J70" s="365">
        <v>155711.42000000001</v>
      </c>
      <c r="K70" s="43">
        <f>J70*'KiGa - PS'!L71</f>
        <v>124712.54152500747</v>
      </c>
      <c r="L70" s="42">
        <f t="shared" si="56"/>
        <v>0.17421439072034609</v>
      </c>
      <c r="M70" s="43">
        <f t="shared" si="57"/>
        <v>2353.0668212265559</v>
      </c>
      <c r="N70" s="365">
        <v>18883.05</v>
      </c>
      <c r="O70" s="43">
        <f>N70*'KiGa - PS'!L71</f>
        <v>15123.830719954851</v>
      </c>
      <c r="P70" s="42">
        <f t="shared" si="58"/>
        <v>2.1126896477418486E-2</v>
      </c>
      <c r="Q70" s="43">
        <f>O70/Funktional!C70</f>
        <v>5041.2769066516166</v>
      </c>
      <c r="R70" s="85">
        <f t="shared" si="59"/>
        <v>285.35529660292173</v>
      </c>
      <c r="S70" s="365">
        <v>9462.5</v>
      </c>
      <c r="T70" s="365">
        <v>75998.95</v>
      </c>
      <c r="U70" s="43">
        <f>T70*'KiGa - PS'!L71</f>
        <v>60869.152742502542</v>
      </c>
      <c r="V70" s="42">
        <f t="shared" si="60"/>
        <v>8.5029799160755468E-2</v>
      </c>
      <c r="W70" s="43">
        <f t="shared" si="61"/>
        <v>1148.4745800472178</v>
      </c>
      <c r="X70" s="365">
        <v>75609.95</v>
      </c>
      <c r="Y70" s="43">
        <f>X70*'KiGa - PS'!L71</f>
        <v>60557.594485226182</v>
      </c>
      <c r="Z70" s="91">
        <f t="shared" si="62"/>
        <v>8.4594574833662353E-2</v>
      </c>
      <c r="AA70" s="365">
        <v>61644.6</v>
      </c>
      <c r="AB70" s="43">
        <f>AA70*'KiGa - PS'!L71</f>
        <v>49372.452818762264</v>
      </c>
      <c r="AC70" s="43">
        <f t="shared" si="63"/>
        <v>931.55571356155212</v>
      </c>
      <c r="AD70" s="42">
        <f t="shared" si="64"/>
        <v>6.8969741783868166E-2</v>
      </c>
      <c r="AE70" s="365">
        <v>53000</v>
      </c>
      <c r="AF70" s="43">
        <f>AE70*'KiGa - PS'!L71</f>
        <v>42448.811402692205</v>
      </c>
      <c r="AG70" s="42">
        <f t="shared" si="65"/>
        <v>5.9297916030682532E-2</v>
      </c>
      <c r="AH70" s="42">
        <f>AE70/'Kennzahlen Revision'!F70</f>
        <v>6.3548855880787139E-2</v>
      </c>
      <c r="AI70" s="97">
        <f t="shared" si="67"/>
        <v>4.378602872849767E-2</v>
      </c>
      <c r="AJ70" s="365">
        <v>154962</v>
      </c>
      <c r="AK70" s="43">
        <f>AJ70*'KiGa - PS'!$L71</f>
        <v>124112.3153317734</v>
      </c>
      <c r="AL70" s="365">
        <v>6657</v>
      </c>
      <c r="AM70" s="43">
        <f>AL70*'KiGa - PS'!$L71</f>
        <v>5331.7308963721134</v>
      </c>
      <c r="AN70" s="97">
        <f>(AK70+AM70)/Funktional!E70</f>
        <v>0.18780591494682064</v>
      </c>
    </row>
    <row r="71" spans="1:40" x14ac:dyDescent="0.25">
      <c r="A71" t="str">
        <f>Funktional!A71</f>
        <v>Kaltenbach</v>
      </c>
      <c r="B71" t="str">
        <f>Funktional!B71</f>
        <v>PSG</v>
      </c>
      <c r="C71" s="43">
        <f>Funktional!D71</f>
        <v>75</v>
      </c>
      <c r="D71" s="43">
        <f>Funktional!J71-'KiGa - PS'!H72</f>
        <v>275245.80000000005</v>
      </c>
      <c r="E71" s="43">
        <f>'KiGa - PS'!F72+'KiGa - PS'!K72*Artengliederung!D71</f>
        <v>681219.95647815068</v>
      </c>
      <c r="F71" s="365">
        <v>639074.75</v>
      </c>
      <c r="G71" s="43">
        <f>F71*'KiGa - PS'!L72</f>
        <v>520902.2941408098</v>
      </c>
      <c r="H71" s="42">
        <f t="shared" si="54"/>
        <v>0.76466094275016605</v>
      </c>
      <c r="I71" s="85">
        <f t="shared" si="55"/>
        <v>6945.3639218774642</v>
      </c>
      <c r="J71" s="365">
        <v>115365.25</v>
      </c>
      <c r="K71" s="43">
        <f>J71*'KiGa - PS'!L72</f>
        <v>94032.855138038314</v>
      </c>
      <c r="L71" s="42">
        <f t="shared" si="56"/>
        <v>0.13803596656824352</v>
      </c>
      <c r="M71" s="43">
        <f t="shared" si="57"/>
        <v>1253.7714018405109</v>
      </c>
      <c r="N71" s="365">
        <v>27374.65</v>
      </c>
      <c r="O71" s="43">
        <f>N71*'KiGa - PS'!L72</f>
        <v>22312.754472464636</v>
      </c>
      <c r="P71" s="42">
        <f t="shared" si="58"/>
        <v>3.2754111590945871E-2</v>
      </c>
      <c r="Q71" s="43">
        <f>O71/Funktional!C71</f>
        <v>5578.188618116159</v>
      </c>
      <c r="R71" s="85">
        <f t="shared" si="59"/>
        <v>297.50339296619512</v>
      </c>
      <c r="S71" s="365">
        <v>6577.05</v>
      </c>
      <c r="T71" s="365">
        <v>8225.7999999999993</v>
      </c>
      <c r="U71" s="43">
        <f>T71*'KiGa - PS'!L72</f>
        <v>6704.7525991966868</v>
      </c>
      <c r="V71" s="42">
        <f t="shared" si="60"/>
        <v>9.8422727276806284E-3</v>
      </c>
      <c r="W71" s="43">
        <f t="shared" si="61"/>
        <v>89.396701322622491</v>
      </c>
      <c r="X71" s="365">
        <v>8192.2000000000007</v>
      </c>
      <c r="Y71" s="43">
        <f>X71*'KiGa - PS'!L72</f>
        <v>6677.3656353350561</v>
      </c>
      <c r="Z71" s="91">
        <f t="shared" si="62"/>
        <v>9.8020699068425265E-3</v>
      </c>
      <c r="AA71" s="365">
        <v>24274.95</v>
      </c>
      <c r="AB71" s="43">
        <f>AA71*'KiGa - PS'!L72</f>
        <v>19786.22554740811</v>
      </c>
      <c r="AC71" s="43">
        <f t="shared" si="63"/>
        <v>263.81634063210817</v>
      </c>
      <c r="AD71" s="42">
        <f t="shared" si="64"/>
        <v>2.9045281717378357E-2</v>
      </c>
      <c r="AE71" s="365">
        <v>12081.55</v>
      </c>
      <c r="AF71" s="43">
        <f>AE71*'KiGa - PS'!L72</f>
        <v>9847.5289655504312</v>
      </c>
      <c r="AG71" s="42">
        <f t="shared" si="65"/>
        <v>1.445572589573171E-2</v>
      </c>
      <c r="AH71" s="42">
        <f>AE71/'Kennzahlen Revision'!F71</f>
        <v>6.3828916072573877E-2</v>
      </c>
      <c r="AI71" s="97">
        <f t="shared" si="67"/>
        <v>5.8415536236531451E-2</v>
      </c>
      <c r="AJ71" s="365">
        <v>134293.65</v>
      </c>
      <c r="AK71" s="43">
        <f>AJ71*'KiGa - PS'!$L72</f>
        <v>109461.17081537482</v>
      </c>
      <c r="AL71" s="365">
        <v>0</v>
      </c>
      <c r="AM71" s="43">
        <f>AL71*'KiGa - PS'!$L72</f>
        <v>0</v>
      </c>
      <c r="AN71" s="97">
        <f>(AK71+AM71)/Funktional!E71</f>
        <v>0.17941933523796696</v>
      </c>
    </row>
    <row r="72" spans="1:40" x14ac:dyDescent="0.25">
      <c r="A72" t="str">
        <f>Funktional!A72</f>
        <v>Kesswil</v>
      </c>
      <c r="B72" t="str">
        <f>Funktional!B72</f>
        <v>PSG</v>
      </c>
      <c r="C72" s="43">
        <f>Funktional!D72</f>
        <v>73</v>
      </c>
      <c r="D72" s="43">
        <f>Funktional!J72-'KiGa - PS'!H73</f>
        <v>545803.72</v>
      </c>
      <c r="E72" s="43">
        <f>'KiGa - PS'!F73+'KiGa - PS'!K73*Artengliederung!D72</f>
        <v>1120958.7346134593</v>
      </c>
      <c r="F72" s="365">
        <v>780475.85</v>
      </c>
      <c r="G72" s="43">
        <f>F72*'KiGa - PS'!L73</f>
        <v>676026.47788236663</v>
      </c>
      <c r="H72" s="42">
        <f t="shared" ref="H72:H87" si="68">G72/$E72</f>
        <v>0.60307882619379483</v>
      </c>
      <c r="I72" s="85">
        <f t="shared" ref="I72:I87" si="69">G72/C72</f>
        <v>9260.63668332009</v>
      </c>
      <c r="J72" s="365">
        <v>153447.18</v>
      </c>
      <c r="K72" s="43">
        <f>J72*'KiGa - PS'!L73</f>
        <v>132911.68027349154</v>
      </c>
      <c r="L72" s="42">
        <f t="shared" ref="L72:L87" si="70">K72/$E72</f>
        <v>0.11856964593734445</v>
      </c>
      <c r="M72" s="43">
        <f t="shared" ref="M72:M87" si="71">K72/C72</f>
        <v>1820.707948951939</v>
      </c>
      <c r="N72" s="365">
        <v>35445.75</v>
      </c>
      <c r="O72" s="43">
        <f>N72*'KiGa - PS'!L73</f>
        <v>30702.1229784354</v>
      </c>
      <c r="P72" s="42">
        <f t="shared" ref="P72:P87" si="72">O72/$E72</f>
        <v>2.7389164320149952E-2</v>
      </c>
      <c r="Q72" s="43">
        <f>O72/Funktional!C72</f>
        <v>7675.53074460885</v>
      </c>
      <c r="R72" s="85">
        <f t="shared" ref="R72:R87" si="73">O72/C72</f>
        <v>420.57702710185481</v>
      </c>
      <c r="S72" s="365">
        <v>8352.65</v>
      </c>
      <c r="T72" s="365">
        <v>90941.9</v>
      </c>
      <c r="U72" s="43">
        <f>T72*'KiGa - PS'!L73</f>
        <v>78771.344877526193</v>
      </c>
      <c r="V72" s="42">
        <f t="shared" ref="V72:V87" si="74">U72/$E72</f>
        <v>7.027140468706812E-2</v>
      </c>
      <c r="W72" s="43">
        <f t="shared" ref="W72:W87" si="75">U72/C72</f>
        <v>1079.0595188702218</v>
      </c>
      <c r="X72" s="365">
        <v>74708.350000000006</v>
      </c>
      <c r="Y72" s="43">
        <f>X72*'KiGa - PS'!L73</f>
        <v>64710.295288320725</v>
      </c>
      <c r="Z72" s="91">
        <f t="shared" ref="Z72:Z87" si="76">Y72/$E72</f>
        <v>5.7727633756861532E-2</v>
      </c>
      <c r="AA72" s="365">
        <v>202885.82</v>
      </c>
      <c r="AB72" s="43">
        <f>AA72*'KiGa - PS'!L73</f>
        <v>175734.05545716223</v>
      </c>
      <c r="AC72" s="43">
        <f t="shared" ref="AC72:AC87" si="77">AB72/C72</f>
        <v>2407.3158281803044</v>
      </c>
      <c r="AD72" s="42">
        <f t="shared" ref="AD72:AD87" si="78">AB72/$E72</f>
        <v>0.15677120845823167</v>
      </c>
      <c r="AE72" s="365">
        <v>74258</v>
      </c>
      <c r="AF72" s="43">
        <f>AE72*'KiGa - PS'!L73</f>
        <v>64320.214641604587</v>
      </c>
      <c r="AG72" s="42">
        <f t="shared" ref="AG72:AG87" si="79">AF72/$E72</f>
        <v>5.7379645347769341E-2</v>
      </c>
      <c r="AH72" s="42">
        <f>AE72/'Kennzahlen Revision'!F72</f>
        <v>5.2790545275758764E-2</v>
      </c>
      <c r="AI72" s="97">
        <f t="shared" si="67"/>
        <v>5.1308914723560972E-2</v>
      </c>
      <c r="AJ72" s="365">
        <v>102723</v>
      </c>
      <c r="AK72" s="43">
        <f>AJ72*'KiGa - PS'!$L73</f>
        <v>88975.806089977486</v>
      </c>
      <c r="AL72" s="365">
        <v>248220</v>
      </c>
      <c r="AM72" s="43">
        <f>AL72*'KiGa - PS'!$L73</f>
        <v>215001.26152521063</v>
      </c>
      <c r="AN72" s="97">
        <f>(AK72+AM72)/Funktional!E72</f>
        <v>0.28326887583398297</v>
      </c>
    </row>
    <row r="73" spans="1:40" x14ac:dyDescent="0.25">
      <c r="A73" t="str">
        <f>Funktional!A73</f>
        <v>Kreuzlingen</v>
      </c>
      <c r="B73" t="str">
        <f>Funktional!B73</f>
        <v>PSG</v>
      </c>
      <c r="C73" s="43">
        <f>Funktional!D73</f>
        <v>1050</v>
      </c>
      <c r="D73" s="43">
        <f>Funktional!J73-'KiGa - PS'!H74</f>
        <v>6267297.5299999993</v>
      </c>
      <c r="E73" s="43">
        <f>'KiGa - PS'!F74+'KiGa - PS'!K74*Artengliederung!D73</f>
        <v>13395540.731254458</v>
      </c>
      <c r="F73" s="365">
        <v>10702210.35</v>
      </c>
      <c r="G73" s="43">
        <f>F73*'KiGa - PS'!L74</f>
        <v>9110801.5819667075</v>
      </c>
      <c r="H73" s="42">
        <f t="shared" si="68"/>
        <v>0.68013690262681203</v>
      </c>
      <c r="I73" s="85">
        <f t="shared" si="69"/>
        <v>8676.9538875873404</v>
      </c>
      <c r="J73" s="365">
        <v>1961930.24</v>
      </c>
      <c r="K73" s="43">
        <f>J73*'KiGa - PS'!L74</f>
        <v>1670193.0301996281</v>
      </c>
      <c r="L73" s="42">
        <f t="shared" si="70"/>
        <v>0.12468276299610181</v>
      </c>
      <c r="M73" s="43">
        <f t="shared" si="71"/>
        <v>1590.6600287615506</v>
      </c>
      <c r="N73" s="365">
        <v>353797.99</v>
      </c>
      <c r="O73" s="43">
        <f>N73*'KiGa - PS'!L74</f>
        <v>301188.5565292259</v>
      </c>
      <c r="P73" s="42">
        <f t="shared" si="72"/>
        <v>2.2484240283521601E-2</v>
      </c>
      <c r="Q73" s="43">
        <f>O73/Funktional!C73</f>
        <v>4897.3749029142418</v>
      </c>
      <c r="R73" s="85">
        <f t="shared" si="73"/>
        <v>286.84624431354848</v>
      </c>
      <c r="S73" s="365">
        <v>117058.6</v>
      </c>
      <c r="T73" s="365">
        <v>263746.90000000002</v>
      </c>
      <c r="U73" s="43">
        <f>T73*'KiGa - PS'!L74</f>
        <v>224527.98021848031</v>
      </c>
      <c r="V73" s="42">
        <f t="shared" si="74"/>
        <v>1.6761397298028582E-2</v>
      </c>
      <c r="W73" s="43">
        <f t="shared" si="75"/>
        <v>213.83617163664792</v>
      </c>
      <c r="X73" s="365">
        <v>233713.6</v>
      </c>
      <c r="Y73" s="43">
        <f>X73*'KiGa - PS'!L74</f>
        <v>198960.60411549793</v>
      </c>
      <c r="Z73" s="91">
        <f t="shared" si="76"/>
        <v>1.4852748993647065E-2</v>
      </c>
      <c r="AA73" s="365">
        <v>435583.95</v>
      </c>
      <c r="AB73" s="43">
        <f>AA73*'KiGa - PS'!L74</f>
        <v>370813.0200168704</v>
      </c>
      <c r="AC73" s="43">
        <f t="shared" si="77"/>
        <v>353.1552571589242</v>
      </c>
      <c r="AD73" s="42">
        <f t="shared" si="78"/>
        <v>2.7681825426553328E-2</v>
      </c>
      <c r="AE73" s="365">
        <v>272610.59999999998</v>
      </c>
      <c r="AF73" s="43">
        <f>AE73*'KiGa - PS'!L74</f>
        <v>232073.65623689999</v>
      </c>
      <c r="AG73" s="42">
        <f t="shared" si="79"/>
        <v>1.7324694903538013E-2</v>
      </c>
      <c r="AH73" s="42">
        <f>AE73/'Kennzahlen Revision'!F73</f>
        <v>3.1802416446366305E-2</v>
      </c>
      <c r="AI73" s="97">
        <f t="shared" si="67"/>
        <v>0.15073711165250425</v>
      </c>
      <c r="AJ73" s="365">
        <v>514197.05</v>
      </c>
      <c r="AK73" s="43">
        <f>AJ73*'KiGa - PS'!$L74</f>
        <v>437736.42484821973</v>
      </c>
      <c r="AL73" s="365">
        <v>0</v>
      </c>
      <c r="AM73" s="43">
        <f>AL73*'KiGa - PS'!$L74</f>
        <v>0</v>
      </c>
      <c r="AN73" s="97">
        <f>(AK73+AM73)/Funktional!E73</f>
        <v>3.6285903521506735E-2</v>
      </c>
    </row>
    <row r="74" spans="1:40" x14ac:dyDescent="0.25">
      <c r="A74" t="str">
        <f>Funktional!A74</f>
        <v>Landschlacht</v>
      </c>
      <c r="B74" t="str">
        <f>Funktional!B74</f>
        <v>PSG</v>
      </c>
      <c r="C74" s="43">
        <f>Funktional!D74</f>
        <v>81</v>
      </c>
      <c r="D74" s="43">
        <f>Funktional!J74-'KiGa - PS'!H75</f>
        <v>643337.35000000009</v>
      </c>
      <c r="E74" s="43">
        <f>'KiGa - PS'!F75+'KiGa - PS'!K75*Artengliederung!D74</f>
        <v>1114760.0886891871</v>
      </c>
      <c r="F74" s="365">
        <v>766816.15</v>
      </c>
      <c r="G74" s="43">
        <f>F74*'KiGa - PS'!L75</f>
        <v>627750.72417618614</v>
      </c>
      <c r="H74" s="42">
        <f t="shared" si="68"/>
        <v>0.5631263000403427</v>
      </c>
      <c r="I74" s="85">
        <f t="shared" si="69"/>
        <v>7750.0089404467426</v>
      </c>
      <c r="J74" s="365">
        <v>211124.15</v>
      </c>
      <c r="K74" s="43">
        <f>J74*'KiGa - PS'!L75</f>
        <v>172835.872136472</v>
      </c>
      <c r="L74" s="42">
        <f t="shared" si="70"/>
        <v>0.15504311097081391</v>
      </c>
      <c r="M74" s="43">
        <f t="shared" si="71"/>
        <v>2133.7761992157039</v>
      </c>
      <c r="N74" s="365">
        <v>29026.05</v>
      </c>
      <c r="O74" s="43">
        <f>N74*'KiGa - PS'!L75</f>
        <v>23762.050274337838</v>
      </c>
      <c r="P74" s="42">
        <f t="shared" si="72"/>
        <v>2.1315842319291248E-2</v>
      </c>
      <c r="Q74" s="43">
        <f>O74/Funktional!C74</f>
        <v>5940.5125685844596</v>
      </c>
      <c r="R74" s="85">
        <f t="shared" si="73"/>
        <v>293.35864536219555</v>
      </c>
      <c r="S74" s="365">
        <v>28222.35</v>
      </c>
      <c r="T74" s="365">
        <v>128786.75</v>
      </c>
      <c r="U74" s="43">
        <f>T74*'KiGa - PS'!L75</f>
        <v>105430.7157938672</v>
      </c>
      <c r="V74" s="42">
        <f t="shared" si="74"/>
        <v>9.4577045647409222E-2</v>
      </c>
      <c r="W74" s="43">
        <f t="shared" si="75"/>
        <v>1301.6137752329284</v>
      </c>
      <c r="X74" s="365">
        <v>128786.75</v>
      </c>
      <c r="Y74" s="43">
        <f>X74*'KiGa - PS'!L75</f>
        <v>105430.7157938672</v>
      </c>
      <c r="Z74" s="91">
        <f t="shared" si="76"/>
        <v>9.4577045647409222E-2</v>
      </c>
      <c r="AA74" s="365">
        <v>212054.8</v>
      </c>
      <c r="AB74" s="43">
        <f>AA74*'KiGa - PS'!L75</f>
        <v>173597.74473325361</v>
      </c>
      <c r="AC74" s="43">
        <f t="shared" si="77"/>
        <v>2143.1820337438717</v>
      </c>
      <c r="AD74" s="42">
        <f t="shared" si="78"/>
        <v>0.15572655183357165</v>
      </c>
      <c r="AE74" s="365">
        <v>159840</v>
      </c>
      <c r="AF74" s="43">
        <f>AE74*'KiGa - PS'!L75</f>
        <v>130852.32457913359</v>
      </c>
      <c r="AG74" s="42">
        <f t="shared" si="79"/>
        <v>0.1173816015722261</v>
      </c>
      <c r="AH74" s="42">
        <f>AE74/'Kennzahlen Revision'!F74</f>
        <v>5.015247494494178E-2</v>
      </c>
      <c r="AI74" s="97">
        <f t="shared" si="67"/>
        <v>3.1526991507862534E-2</v>
      </c>
      <c r="AJ74" s="365">
        <v>53245</v>
      </c>
      <c r="AK74" s="43">
        <f>AJ74*'KiGa - PS'!$L75</f>
        <v>43588.788927777576</v>
      </c>
      <c r="AL74" s="365">
        <v>0</v>
      </c>
      <c r="AM74" s="43">
        <f>AL74*'KiGa - PS'!$L75</f>
        <v>0</v>
      </c>
      <c r="AN74" s="97">
        <f>(AK74+AM74)/Funktional!E74</f>
        <v>3.9786497189912833E-2</v>
      </c>
    </row>
    <row r="75" spans="1:40" x14ac:dyDescent="0.25">
      <c r="A75" t="str">
        <f>Funktional!A75</f>
        <v>Lanterswil</v>
      </c>
      <c r="B75" t="str">
        <f>Funktional!B75</f>
        <v>PSG</v>
      </c>
      <c r="C75" s="43">
        <f>Funktional!D75</f>
        <v>24</v>
      </c>
      <c r="D75" s="43">
        <f>Funktional!J75-'KiGa - PS'!H76</f>
        <v>119795.29999999999</v>
      </c>
      <c r="E75" s="43">
        <f>'KiGa - PS'!F76+'KiGa - PS'!K76*Artengliederung!D75</f>
        <v>298221.5825796444</v>
      </c>
      <c r="F75" s="365">
        <v>178390.25</v>
      </c>
      <c r="G75" s="43">
        <f>F75*'KiGa - PS'!L76</f>
        <v>178390.25</v>
      </c>
      <c r="H75" s="42">
        <f t="shared" si="68"/>
        <v>0.59818021370857122</v>
      </c>
      <c r="I75" s="85">
        <f t="shared" si="69"/>
        <v>7432.927083333333</v>
      </c>
      <c r="J75" s="365">
        <v>48153.15</v>
      </c>
      <c r="K75" s="43">
        <f>J75*'KiGa - PS'!L76</f>
        <v>48153.15</v>
      </c>
      <c r="L75" s="42">
        <f t="shared" si="70"/>
        <v>0.16146768984146212</v>
      </c>
      <c r="M75" s="43">
        <f t="shared" si="71"/>
        <v>2006.3812500000001</v>
      </c>
      <c r="N75" s="365">
        <v>6009.35</v>
      </c>
      <c r="O75" s="43">
        <f>N75*'KiGa - PS'!L76</f>
        <v>6009.35</v>
      </c>
      <c r="P75" s="42">
        <f t="shared" si="72"/>
        <v>2.0150620716376608E-2</v>
      </c>
      <c r="Q75" s="43">
        <f>O75/Funktional!C75</f>
        <v>6009.35</v>
      </c>
      <c r="R75" s="85">
        <f t="shared" si="73"/>
        <v>250.38958333333335</v>
      </c>
      <c r="S75" s="365">
        <v>0</v>
      </c>
      <c r="T75" s="365">
        <v>17624.2</v>
      </c>
      <c r="U75" s="43">
        <f>T75*'KiGa - PS'!L76</f>
        <v>17624.2</v>
      </c>
      <c r="V75" s="42">
        <f t="shared" si="74"/>
        <v>5.9097667739366928E-2</v>
      </c>
      <c r="W75" s="43">
        <f t="shared" si="75"/>
        <v>734.3416666666667</v>
      </c>
      <c r="X75" s="365">
        <v>13570.6</v>
      </c>
      <c r="Y75" s="43">
        <f>X75*'KiGa - PS'!L76</f>
        <v>13570.6</v>
      </c>
      <c r="Z75" s="91">
        <f t="shared" si="76"/>
        <v>4.5505090150126125E-2</v>
      </c>
      <c r="AA75" s="365">
        <v>13825</v>
      </c>
      <c r="AB75" s="43">
        <f>AA75*'KiGa - PS'!L76</f>
        <v>13825</v>
      </c>
      <c r="AC75" s="43">
        <f t="shared" si="77"/>
        <v>576.04166666666663</v>
      </c>
      <c r="AD75" s="42">
        <f t="shared" si="78"/>
        <v>4.6358147121386944E-2</v>
      </c>
      <c r="AE75" s="365">
        <v>13825</v>
      </c>
      <c r="AF75" s="43">
        <f>AE75*'KiGa - PS'!L76</f>
        <v>13825</v>
      </c>
      <c r="AG75" s="42">
        <f t="shared" si="79"/>
        <v>4.6358147121386944E-2</v>
      </c>
      <c r="AH75" s="42">
        <f>AE75/'Kennzahlen Revision'!F75</f>
        <v>3.2688701886132189E-2</v>
      </c>
      <c r="AI75" s="97">
        <f t="shared" ref="AI75:AI83" si="80">1-H75-L75-V75-AD75</f>
        <v>0.1348962815892128</v>
      </c>
      <c r="AJ75" s="365">
        <v>12112</v>
      </c>
      <c r="AK75" s="43">
        <f>AJ75*'KiGa - PS'!$L76</f>
        <v>12112</v>
      </c>
      <c r="AL75" s="365">
        <v>143905</v>
      </c>
      <c r="AM75" s="43">
        <f>AL75*'KiGa - PS'!$L76</f>
        <v>143905</v>
      </c>
      <c r="AN75" s="97">
        <f>(AK75+AM75)/Funktional!E75</f>
        <v>0.59710249314794306</v>
      </c>
    </row>
    <row r="76" spans="1:40" x14ac:dyDescent="0.25">
      <c r="A76" t="str">
        <f>Funktional!A76</f>
        <v>Leimbach</v>
      </c>
      <c r="B76" t="str">
        <f>Funktional!B76</f>
        <v>PSG</v>
      </c>
      <c r="C76" s="43">
        <f>Funktional!D76</f>
        <v>43</v>
      </c>
      <c r="D76" s="43">
        <f>Funktional!J76-'KiGa - PS'!H77</f>
        <v>265364.84999999998</v>
      </c>
      <c r="E76" s="43">
        <f>'KiGa - PS'!F77+'KiGa - PS'!K77*Artengliederung!D76</f>
        <v>642168.12902232609</v>
      </c>
      <c r="F76" s="365">
        <v>489524.65</v>
      </c>
      <c r="G76" s="43">
        <f>F76*'KiGa - PS'!L77</f>
        <v>424613.78864804067</v>
      </c>
      <c r="H76" s="42">
        <f t="shared" si="68"/>
        <v>0.66121903199166432</v>
      </c>
      <c r="I76" s="85">
        <f t="shared" si="69"/>
        <v>9874.7392708846673</v>
      </c>
      <c r="J76" s="365">
        <v>79277.850000000006</v>
      </c>
      <c r="K76" s="43">
        <f>J76*'KiGa - PS'!L77</f>
        <v>68765.624457054553</v>
      </c>
      <c r="L76" s="42">
        <f t="shared" si="70"/>
        <v>0.1070835211983306</v>
      </c>
      <c r="M76" s="43">
        <f t="shared" si="71"/>
        <v>1599.2005687687106</v>
      </c>
      <c r="N76" s="365">
        <v>21851.65</v>
      </c>
      <c r="O76" s="43">
        <f>N76*'KiGa - PS'!L77</f>
        <v>18954.125996946135</v>
      </c>
      <c r="P76" s="42">
        <f t="shared" si="72"/>
        <v>2.9515831042258345E-2</v>
      </c>
      <c r="Q76" s="43">
        <f>O76/Funktional!C76</f>
        <v>9477.0629984730676</v>
      </c>
      <c r="R76" s="85">
        <f t="shared" si="73"/>
        <v>440.79362783595661</v>
      </c>
      <c r="S76" s="365">
        <v>8738.9500000000007</v>
      </c>
      <c r="T76" s="365">
        <v>41006.699999999997</v>
      </c>
      <c r="U76" s="43">
        <f>T76*'KiGa - PS'!L77</f>
        <v>35569.220563159804</v>
      </c>
      <c r="V76" s="42">
        <f t="shared" si="74"/>
        <v>5.5389264828998044E-2</v>
      </c>
      <c r="W76" s="43">
        <f t="shared" si="75"/>
        <v>827.19117588743734</v>
      </c>
      <c r="X76" s="365">
        <v>40620.85</v>
      </c>
      <c r="Y76" s="43">
        <f>X76*'KiGa - PS'!L77</f>
        <v>35234.534188633326</v>
      </c>
      <c r="Z76" s="91">
        <f t="shared" si="76"/>
        <v>5.4868082977391638E-2</v>
      </c>
      <c r="AA76" s="365">
        <v>69173.5</v>
      </c>
      <c r="AB76" s="43">
        <f>AA76*'KiGa - PS'!L77</f>
        <v>60001.10905353845</v>
      </c>
      <c r="AC76" s="43">
        <f t="shared" si="77"/>
        <v>1395.374629152057</v>
      </c>
      <c r="AD76" s="42">
        <f t="shared" si="78"/>
        <v>9.3435202312029425E-2</v>
      </c>
      <c r="AE76" s="365">
        <v>67488</v>
      </c>
      <c r="AF76" s="43">
        <f>AE76*'KiGa - PS'!L77</f>
        <v>58539.105984303278</v>
      </c>
      <c r="AG76" s="42">
        <f t="shared" si="79"/>
        <v>9.1158535185211692E-2</v>
      </c>
      <c r="AH76" s="42">
        <f>AE76/'Kennzahlen Revision'!F76</f>
        <v>6.3846272464875939E-2</v>
      </c>
      <c r="AI76" s="97">
        <f t="shared" si="80"/>
        <v>8.2872979668977637E-2</v>
      </c>
      <c r="AJ76" s="365">
        <v>91037</v>
      </c>
      <c r="AK76" s="43">
        <f>AJ76*'KiGa - PS'!$L77</f>
        <v>78965.513743080504</v>
      </c>
      <c r="AL76" s="365">
        <v>252050</v>
      </c>
      <c r="AM76" s="43">
        <f>AL76*'KiGa - PS'!$L77</f>
        <v>218628.22521549967</v>
      </c>
      <c r="AN76" s="97">
        <f>(AK76+AM76)/Funktional!E76</f>
        <v>0.50079354919603614</v>
      </c>
    </row>
    <row r="77" spans="1:40" x14ac:dyDescent="0.25">
      <c r="A77" t="str">
        <f>Funktional!A77</f>
        <v>Lommis</v>
      </c>
      <c r="B77" t="str">
        <f>Funktional!B77</f>
        <v>PSG</v>
      </c>
      <c r="C77" s="43">
        <f>Funktional!D77</f>
        <v>113</v>
      </c>
      <c r="D77" s="43">
        <f>Funktional!J77-'KiGa - PS'!H78</f>
        <v>642738.10000000009</v>
      </c>
      <c r="E77" s="43">
        <f>'KiGa - PS'!F78+'KiGa - PS'!K78*Artengliederung!D77</f>
        <v>1190779.5024180608</v>
      </c>
      <c r="F77" s="365">
        <v>871826.7</v>
      </c>
      <c r="G77" s="43">
        <f>F77*'KiGa - PS'!L78</f>
        <v>707565.88277888775</v>
      </c>
      <c r="H77" s="42">
        <f t="shared" si="68"/>
        <v>0.59420394904519813</v>
      </c>
      <c r="I77" s="85">
        <f t="shared" si="69"/>
        <v>6261.6449803441392</v>
      </c>
      <c r="J77" s="365">
        <v>182573.15</v>
      </c>
      <c r="K77" s="43">
        <f>J77*'KiGa - PS'!L78</f>
        <v>148174.55355688499</v>
      </c>
      <c r="L77" s="42">
        <f t="shared" si="70"/>
        <v>0.12443492120580996</v>
      </c>
      <c r="M77" s="43">
        <f t="shared" si="71"/>
        <v>1311.2792350166812</v>
      </c>
      <c r="N77" s="365">
        <v>46942.2</v>
      </c>
      <c r="O77" s="43">
        <f>N77*'KiGa - PS'!L78</f>
        <v>38097.822861565386</v>
      </c>
      <c r="P77" s="42">
        <f t="shared" si="72"/>
        <v>3.1994019702389825E-2</v>
      </c>
      <c r="Q77" s="43">
        <f>O77/Funktional!C77</f>
        <v>7619.5645723130774</v>
      </c>
      <c r="R77" s="85">
        <f t="shared" si="73"/>
        <v>337.14887488110963</v>
      </c>
      <c r="S77" s="365">
        <v>26660</v>
      </c>
      <c r="T77" s="365">
        <v>128838.15</v>
      </c>
      <c r="U77" s="43">
        <f>T77*'KiGa - PS'!L78</f>
        <v>104563.76174341617</v>
      </c>
      <c r="V77" s="42">
        <f t="shared" si="74"/>
        <v>8.7811187151847492E-2</v>
      </c>
      <c r="W77" s="43">
        <f t="shared" si="75"/>
        <v>925.34302427801913</v>
      </c>
      <c r="X77" s="365">
        <v>128838.15</v>
      </c>
      <c r="Y77" s="43">
        <f>X77*'KiGa - PS'!L78</f>
        <v>104563.76174341617</v>
      </c>
      <c r="Z77" s="91">
        <f t="shared" si="76"/>
        <v>8.7811187151847492E-2</v>
      </c>
      <c r="AA77" s="365">
        <v>231360.65</v>
      </c>
      <c r="AB77" s="43">
        <f>AA77*'KiGa - PS'!L78</f>
        <v>187770.00355408623</v>
      </c>
      <c r="AC77" s="43">
        <f t="shared" si="77"/>
        <v>1661.681447381294</v>
      </c>
      <c r="AD77" s="42">
        <f t="shared" si="78"/>
        <v>0.15768662726624902</v>
      </c>
      <c r="AE77" s="365">
        <v>228786</v>
      </c>
      <c r="AF77" s="43">
        <f>AE77*'KiGa - PS'!L78</f>
        <v>185680.44320901233</v>
      </c>
      <c r="AG77" s="42">
        <f t="shared" si="79"/>
        <v>0.15593184366371746</v>
      </c>
      <c r="AH77" s="42">
        <f>AE77/'Kennzahlen Revision'!F77</f>
        <v>6.3831372193430935E-2</v>
      </c>
      <c r="AI77" s="97">
        <f t="shared" si="80"/>
        <v>3.5863315330895401E-2</v>
      </c>
      <c r="AJ77" s="365">
        <v>368304</v>
      </c>
      <c r="AK77" s="43">
        <f>AJ77*'KiGa - PS'!$L78</f>
        <v>298911.865042669</v>
      </c>
      <c r="AL77" s="365">
        <v>611669</v>
      </c>
      <c r="AM77" s="43">
        <f>AL77*'KiGa - PS'!$L78</f>
        <v>496424.47971997131</v>
      </c>
      <c r="AN77" s="97">
        <f>(AK77+AM77)/Funktional!E77</f>
        <v>0.68715727962925011</v>
      </c>
    </row>
    <row r="78" spans="1:40" x14ac:dyDescent="0.25">
      <c r="A78" t="str">
        <f>Funktional!A78</f>
        <v>Mammern</v>
      </c>
      <c r="B78" t="str">
        <f>Funktional!B78</f>
        <v>PSG</v>
      </c>
      <c r="C78" s="43">
        <f>Funktional!D78</f>
        <v>53</v>
      </c>
      <c r="D78" s="43">
        <f>Funktional!J78-'KiGa - PS'!H79</f>
        <v>171089.8</v>
      </c>
      <c r="E78" s="43">
        <f>'KiGa - PS'!F79+'KiGa - PS'!K79*Artengliederung!D78</f>
        <v>487392.99326384865</v>
      </c>
      <c r="F78" s="365">
        <v>428416.15</v>
      </c>
      <c r="G78" s="43">
        <f>F78*'KiGa - PS'!L79</f>
        <v>350997.77122418454</v>
      </c>
      <c r="H78" s="42">
        <f t="shared" si="68"/>
        <v>0.72015350256414745</v>
      </c>
      <c r="I78" s="85">
        <f t="shared" si="69"/>
        <v>6622.599457060086</v>
      </c>
      <c r="J78" s="365">
        <v>98854.45</v>
      </c>
      <c r="K78" s="43">
        <f>J78*'KiGa - PS'!L79</f>
        <v>80990.624712893259</v>
      </c>
      <c r="L78" s="42">
        <f t="shared" si="70"/>
        <v>0.16617108951553852</v>
      </c>
      <c r="M78" s="43">
        <f t="shared" si="71"/>
        <v>1528.1249945828918</v>
      </c>
      <c r="N78" s="365">
        <v>21136.799999999999</v>
      </c>
      <c r="O78" s="43">
        <f>N78*'KiGa - PS'!L79</f>
        <v>17317.203590040532</v>
      </c>
      <c r="P78" s="42">
        <f t="shared" si="72"/>
        <v>3.5530267831868315E-2</v>
      </c>
      <c r="Q78" s="43">
        <f>O78/Funktional!C78</f>
        <v>6926.8814360162123</v>
      </c>
      <c r="R78" s="85">
        <f t="shared" si="73"/>
        <v>326.73969037812321</v>
      </c>
      <c r="S78" s="365">
        <v>16301.2</v>
      </c>
      <c r="T78" s="365">
        <v>7273.5</v>
      </c>
      <c r="U78" s="43">
        <f>T78*'KiGa - PS'!L79</f>
        <v>5959.1177620150547</v>
      </c>
      <c r="V78" s="42">
        <f t="shared" si="74"/>
        <v>1.2226515038941286E-2</v>
      </c>
      <c r="W78" s="43">
        <f t="shared" si="75"/>
        <v>112.4361841889633</v>
      </c>
      <c r="X78" s="365">
        <v>7113.95</v>
      </c>
      <c r="Y78" s="43">
        <f>X78*'KiGa - PS'!L79</f>
        <v>5828.3997804477895</v>
      </c>
      <c r="Z78" s="91">
        <f t="shared" si="76"/>
        <v>1.1958316719774023E-2</v>
      </c>
      <c r="AA78" s="365">
        <v>12477.45</v>
      </c>
      <c r="AB78" s="43">
        <f>AA78*'KiGa - PS'!L79</f>
        <v>10222.67050521135</v>
      </c>
      <c r="AC78" s="43">
        <f t="shared" si="77"/>
        <v>192.88057557002548</v>
      </c>
      <c r="AD78" s="42">
        <f t="shared" si="78"/>
        <v>2.0974184377897571E-2</v>
      </c>
      <c r="AE78" s="365">
        <v>6000</v>
      </c>
      <c r="AF78" s="43">
        <f>AE78*'KiGa - PS'!L79</f>
        <v>4915.7498552403013</v>
      </c>
      <c r="AG78" s="42">
        <f t="shared" si="79"/>
        <v>1.0085803290526944E-2</v>
      </c>
      <c r="AH78" s="42">
        <f>AE78/'Kennzahlen Revision'!F78</f>
        <v>0.08</v>
      </c>
      <c r="AI78" s="97">
        <f t="shared" si="80"/>
        <v>8.047470850347517E-2</v>
      </c>
      <c r="AJ78" s="365">
        <v>16161</v>
      </c>
      <c r="AK78" s="43">
        <f>AJ78*'KiGa - PS'!$L79</f>
        <v>13240.57223508975</v>
      </c>
      <c r="AL78" s="365">
        <v>0</v>
      </c>
      <c r="AM78" s="43">
        <f>AL78*'KiGa - PS'!$L79</f>
        <v>0</v>
      </c>
      <c r="AN78" s="97">
        <f>(AK78+AM78)/Funktional!E78</f>
        <v>2.8715259972516081E-2</v>
      </c>
    </row>
    <row r="79" spans="1:40" x14ac:dyDescent="0.25">
      <c r="A79" t="str">
        <f>Funktional!A79</f>
        <v>Märstetten</v>
      </c>
      <c r="B79" t="str">
        <f>Funktional!B79</f>
        <v>PSG</v>
      </c>
      <c r="C79" s="43">
        <f>Funktional!D79</f>
        <v>160</v>
      </c>
      <c r="D79" s="43">
        <f>Funktional!J79-'KiGa - PS'!H80</f>
        <v>743440.09999999986</v>
      </c>
      <c r="E79" s="43">
        <f>'KiGa - PS'!F80+'KiGa - PS'!K80*Artengliederung!D79</f>
        <v>1964835.5428001606</v>
      </c>
      <c r="F79" s="365">
        <v>1550981.3</v>
      </c>
      <c r="G79" s="43">
        <f>F79*'KiGa - PS'!L80</f>
        <v>1381205.3503729946</v>
      </c>
      <c r="H79" s="42">
        <f t="shared" si="68"/>
        <v>0.70296231938301934</v>
      </c>
      <c r="I79" s="85">
        <f t="shared" si="69"/>
        <v>8632.5334398312152</v>
      </c>
      <c r="J79" s="365">
        <v>221027.35</v>
      </c>
      <c r="K79" s="43">
        <f>J79*'KiGa - PS'!L80</f>
        <v>196832.90726894289</v>
      </c>
      <c r="L79" s="42">
        <f t="shared" si="70"/>
        <v>0.10017780266150364</v>
      </c>
      <c r="M79" s="43">
        <f t="shared" si="71"/>
        <v>1230.205670430893</v>
      </c>
      <c r="N79" s="365">
        <v>77428.3</v>
      </c>
      <c r="O79" s="43">
        <f>N79*'KiGa - PS'!L80</f>
        <v>68952.721886643849</v>
      </c>
      <c r="P79" s="42">
        <f t="shared" si="72"/>
        <v>3.5093380786656955E-2</v>
      </c>
      <c r="Q79" s="43">
        <f>O79/Funktional!C79</f>
        <v>9850.388840949121</v>
      </c>
      <c r="R79" s="85">
        <f t="shared" si="73"/>
        <v>430.95451179152406</v>
      </c>
      <c r="S79" s="365">
        <v>15205.7</v>
      </c>
      <c r="T79" s="365">
        <v>63413.85</v>
      </c>
      <c r="U79" s="43">
        <f>T79*'KiGa - PS'!L80</f>
        <v>56472.343610945223</v>
      </c>
      <c r="V79" s="42">
        <f t="shared" si="74"/>
        <v>2.8741511633316841E-2</v>
      </c>
      <c r="W79" s="43">
        <f t="shared" si="75"/>
        <v>352.95214756840767</v>
      </c>
      <c r="X79" s="365">
        <v>63297.3</v>
      </c>
      <c r="Y79" s="43">
        <f>X79*'KiGa - PS'!L80</f>
        <v>56368.551589993091</v>
      </c>
      <c r="Z79" s="91">
        <f t="shared" si="76"/>
        <v>2.8688686845342874E-2</v>
      </c>
      <c r="AA79" s="365">
        <v>153627.9</v>
      </c>
      <c r="AB79" s="43">
        <f>AA79*'KiGa - PS'!L80</f>
        <v>136811.24166137099</v>
      </c>
      <c r="AC79" s="43">
        <f t="shared" si="77"/>
        <v>855.07026038356867</v>
      </c>
      <c r="AD79" s="42">
        <f t="shared" si="78"/>
        <v>6.9629869106702019E-2</v>
      </c>
      <c r="AE79" s="365">
        <v>107000</v>
      </c>
      <c r="AF79" s="43">
        <f>AE79*'KiGa - PS'!L80</f>
        <v>95287.398042716828</v>
      </c>
      <c r="AG79" s="42">
        <f t="shared" si="79"/>
        <v>4.8496373343755374E-2</v>
      </c>
      <c r="AH79" s="42">
        <f>AE79/'Kennzahlen Revision'!F79</f>
        <v>6.3876630943511564E-2</v>
      </c>
      <c r="AI79" s="97">
        <f t="shared" si="80"/>
        <v>9.8488497215458159E-2</v>
      </c>
      <c r="AJ79" s="365">
        <v>107539</v>
      </c>
      <c r="AK79" s="43">
        <f>AJ79*'KiGa - PS'!$L80</f>
        <v>95767.397178651634</v>
      </c>
      <c r="AL79" s="365">
        <v>0</v>
      </c>
      <c r="AM79" s="43">
        <f>AL79*'KiGa - PS'!$L80</f>
        <v>0</v>
      </c>
      <c r="AN79" s="97">
        <f>(AK79+AM79)/Funktional!E79</f>
        <v>5.2291958043020663E-2</v>
      </c>
    </row>
    <row r="80" spans="1:40" x14ac:dyDescent="0.25">
      <c r="A80" t="str">
        <f>Funktional!A80</f>
        <v>Märwil</v>
      </c>
      <c r="B80" t="str">
        <f>Funktional!B80</f>
        <v>PSG</v>
      </c>
      <c r="C80" s="43">
        <f>Funktional!D80</f>
        <v>106</v>
      </c>
      <c r="D80" s="43">
        <f>Funktional!J80-'KiGa - PS'!H81</f>
        <v>588352.58000000007</v>
      </c>
      <c r="E80" s="43">
        <f>'KiGa - PS'!F81+'KiGa - PS'!K81*Artengliederung!D80</f>
        <v>952129.07396251964</v>
      </c>
      <c r="F80" s="365">
        <v>755663.75</v>
      </c>
      <c r="G80" s="43">
        <f>F80*'KiGa - PS'!L81</f>
        <v>542901.88552900963</v>
      </c>
      <c r="H80" s="42">
        <f t="shared" si="68"/>
        <v>0.5701977813465875</v>
      </c>
      <c r="I80" s="85">
        <f t="shared" si="69"/>
        <v>5121.7159012170723</v>
      </c>
      <c r="J80" s="365">
        <v>143775.76</v>
      </c>
      <c r="K80" s="43">
        <f>J80*'KiGa - PS'!L81</f>
        <v>103294.79374571872</v>
      </c>
      <c r="L80" s="42">
        <f t="shared" si="70"/>
        <v>0.10848822556781298</v>
      </c>
      <c r="M80" s="43">
        <f t="shared" si="71"/>
        <v>974.4791862803653</v>
      </c>
      <c r="N80" s="365">
        <v>45104</v>
      </c>
      <c r="O80" s="43">
        <f>N80*'KiGa - PS'!L81</f>
        <v>32404.68613837894</v>
      </c>
      <c r="P80" s="42">
        <f t="shared" si="72"/>
        <v>3.4033921476128083E-2</v>
      </c>
      <c r="Q80" s="43">
        <f>O80/Funktional!C80</f>
        <v>8101.171534594735</v>
      </c>
      <c r="R80" s="85">
        <f t="shared" si="73"/>
        <v>305.70458621112209</v>
      </c>
      <c r="S80" s="365">
        <v>1871</v>
      </c>
      <c r="T80" s="365">
        <v>50240.25</v>
      </c>
      <c r="U80" s="43">
        <f>T80*'KiGa - PS'!L81</f>
        <v>36094.792762586301</v>
      </c>
      <c r="V80" s="42">
        <f t="shared" si="74"/>
        <v>3.7909558430317576E-2</v>
      </c>
      <c r="W80" s="43">
        <f t="shared" si="75"/>
        <v>340.51691285458776</v>
      </c>
      <c r="X80" s="365">
        <v>50150.7</v>
      </c>
      <c r="Y80" s="43">
        <f>X80*'KiGa - PS'!L81</f>
        <v>36030.456126285928</v>
      </c>
      <c r="Z80" s="91">
        <f t="shared" si="76"/>
        <v>3.7841987091452117E-2</v>
      </c>
      <c r="AA80" s="365">
        <v>318576.62</v>
      </c>
      <c r="AB80" s="43">
        <f>AA80*'KiGa - PS'!L81</f>
        <v>228879.37615567609</v>
      </c>
      <c r="AC80" s="43">
        <f t="shared" si="77"/>
        <v>2159.2393976950575</v>
      </c>
      <c r="AD80" s="42">
        <f t="shared" si="78"/>
        <v>0.24038692065471565</v>
      </c>
      <c r="AE80" s="365">
        <v>111222.82</v>
      </c>
      <c r="AF80" s="43">
        <f>AE80*'KiGa - PS'!L81</f>
        <v>79907.338008278995</v>
      </c>
      <c r="AG80" s="42">
        <f t="shared" si="79"/>
        <v>8.3924900723517382E-2</v>
      </c>
      <c r="AH80" s="42">
        <f>AE80/'Kennzahlen Revision'!F80</f>
        <v>6.463057433286401E-2</v>
      </c>
      <c r="AI80" s="97">
        <f t="shared" si="80"/>
        <v>4.3017514000566276E-2</v>
      </c>
      <c r="AJ80" s="365">
        <v>330378</v>
      </c>
      <c r="AK80" s="43">
        <f>AJ80*'KiGa - PS'!$L81</f>
        <v>237358.00365877431</v>
      </c>
      <c r="AL80" s="365">
        <v>0</v>
      </c>
      <c r="AM80" s="43">
        <f>AL80*'KiGa - PS'!$L81</f>
        <v>0</v>
      </c>
      <c r="AN80" s="97">
        <f>(AK80+AM80)/Funktional!E80</f>
        <v>0.25783007512306094</v>
      </c>
    </row>
    <row r="81" spans="1:40" x14ac:dyDescent="0.25">
      <c r="A81" t="str">
        <f>Funktional!A81</f>
        <v>Mattwil-Birwinken-Happerswil</v>
      </c>
      <c r="B81" t="str">
        <f>Funktional!B81</f>
        <v>PSG</v>
      </c>
      <c r="C81" s="43">
        <f>Funktional!D81</f>
        <v>82</v>
      </c>
      <c r="D81" s="43">
        <f>Funktional!J81-'KiGa - PS'!H82</f>
        <v>188135.20000000007</v>
      </c>
      <c r="E81" s="43">
        <f>'KiGa - PS'!F82+'KiGa - PS'!K82*Artengliederung!D81</f>
        <v>727523.45918311994</v>
      </c>
      <c r="F81" s="365">
        <v>611123.5</v>
      </c>
      <c r="G81" s="43">
        <f>F81*'KiGa - PS'!L82</f>
        <v>544374.59597457247</v>
      </c>
      <c r="H81" s="42">
        <f t="shared" si="68"/>
        <v>0.74825710305727977</v>
      </c>
      <c r="I81" s="85">
        <f t="shared" si="69"/>
        <v>6638.7145850557617</v>
      </c>
      <c r="J81" s="365">
        <v>149108.65</v>
      </c>
      <c r="K81" s="43">
        <f>J81*'KiGa - PS'!L82</f>
        <v>132822.51639818127</v>
      </c>
      <c r="L81" s="42">
        <f t="shared" si="70"/>
        <v>0.18256801855890317</v>
      </c>
      <c r="M81" s="43">
        <f t="shared" si="71"/>
        <v>1619.786785343674</v>
      </c>
      <c r="N81" s="365">
        <v>26176.1</v>
      </c>
      <c r="O81" s="43">
        <f>N81*'KiGa - PS'!L82</f>
        <v>23317.06089144012</v>
      </c>
      <c r="P81" s="42">
        <f t="shared" si="72"/>
        <v>3.2049909315118238E-2</v>
      </c>
      <c r="Q81" s="43">
        <f>O81/Funktional!C81</f>
        <v>5829.26522286003</v>
      </c>
      <c r="R81" s="85">
        <f t="shared" si="73"/>
        <v>284.35440111512344</v>
      </c>
      <c r="S81" s="365">
        <v>9701.4500000000007</v>
      </c>
      <c r="T81" s="365">
        <v>14304.6</v>
      </c>
      <c r="U81" s="43">
        <f>T81*'KiGa - PS'!L82</f>
        <v>12742.204882610256</v>
      </c>
      <c r="V81" s="42">
        <f t="shared" si="74"/>
        <v>1.7514493480275534E-2</v>
      </c>
      <c r="W81" s="43">
        <f t="shared" si="75"/>
        <v>155.39274247085677</v>
      </c>
      <c r="X81" s="365">
        <v>11095.6</v>
      </c>
      <c r="Y81" s="43">
        <f>X81*'KiGa - PS'!L82</f>
        <v>9883.7023401905935</v>
      </c>
      <c r="Z81" s="91">
        <f t="shared" si="76"/>
        <v>1.358540706204614E-2</v>
      </c>
      <c r="AA81" s="365">
        <v>21095.9</v>
      </c>
      <c r="AB81" s="43">
        <f>AA81*'KiGa - PS'!L82</f>
        <v>18791.736922602362</v>
      </c>
      <c r="AC81" s="43">
        <f t="shared" si="77"/>
        <v>229.16752344637027</v>
      </c>
      <c r="AD81" s="42">
        <f t="shared" si="78"/>
        <v>2.5829733303311148E-2</v>
      </c>
      <c r="AE81" s="365">
        <v>17800</v>
      </c>
      <c r="AF81" s="43">
        <f>AE81*'KiGa - PS'!L82</f>
        <v>15855.825881916486</v>
      </c>
      <c r="AG81" s="42">
        <f t="shared" si="79"/>
        <v>2.1794246882045249E-2</v>
      </c>
      <c r="AH81" s="42">
        <f>AE81/'Kennzahlen Revision'!F81</f>
        <v>3.2032885175873591E-2</v>
      </c>
      <c r="AI81" s="97">
        <f t="shared" si="80"/>
        <v>2.5830651600230375E-2</v>
      </c>
      <c r="AJ81" s="365">
        <v>313652.09999999998</v>
      </c>
      <c r="AK81" s="43">
        <f>AJ81*'KiGa - PS'!$L82</f>
        <v>279393.99354480096</v>
      </c>
      <c r="AL81" s="365">
        <v>0</v>
      </c>
      <c r="AM81" s="43">
        <f>AL81*'KiGa - PS'!$L82</f>
        <v>0</v>
      </c>
      <c r="AN81" s="97">
        <f>(AK81+AM81)/Funktional!E81</f>
        <v>0.39133469878471822</v>
      </c>
    </row>
    <row r="82" spans="1:40" x14ac:dyDescent="0.25">
      <c r="A82" t="str">
        <f>Funktional!A82</f>
        <v>Matzingen</v>
      </c>
      <c r="B82" t="str">
        <f>Funktional!B82</f>
        <v>PSG</v>
      </c>
      <c r="C82" s="43">
        <f>Funktional!D82</f>
        <v>217</v>
      </c>
      <c r="D82" s="43">
        <f>Funktional!J82-'KiGa - PS'!H83</f>
        <v>996050.40000000014</v>
      </c>
      <c r="E82" s="43">
        <f>'KiGa - PS'!F83+'KiGa - PS'!K83*Artengliederung!D82</f>
        <v>2251722.749660044</v>
      </c>
      <c r="F82" s="365">
        <v>2002239.9</v>
      </c>
      <c r="G82" s="43">
        <f>F82*'KiGa - PS'!L83</f>
        <v>1572265.1593856658</v>
      </c>
      <c r="H82" s="42">
        <f t="shared" si="68"/>
        <v>0.69824988872321869</v>
      </c>
      <c r="I82" s="85">
        <f t="shared" si="69"/>
        <v>7245.4615639892436</v>
      </c>
      <c r="J82" s="365">
        <v>339691.5</v>
      </c>
      <c r="K82" s="43">
        <f>J82*'KiGa - PS'!L83</f>
        <v>266743.81545860507</v>
      </c>
      <c r="L82" s="42">
        <f t="shared" si="70"/>
        <v>0.1184621044037846</v>
      </c>
      <c r="M82" s="43">
        <f t="shared" si="71"/>
        <v>1229.2341726202999</v>
      </c>
      <c r="N82" s="365">
        <v>98890.15</v>
      </c>
      <c r="O82" s="43">
        <f>N82*'KiGa - PS'!L83</f>
        <v>77653.800352006961</v>
      </c>
      <c r="P82" s="42">
        <f t="shared" si="72"/>
        <v>3.4486395078493041E-2</v>
      </c>
      <c r="Q82" s="43">
        <f>O82/Funktional!C82</f>
        <v>7059.4363956369962</v>
      </c>
      <c r="R82" s="85">
        <f t="shared" si="73"/>
        <v>357.85161452537773</v>
      </c>
      <c r="S82" s="365">
        <v>38119.4</v>
      </c>
      <c r="T82" s="365">
        <v>280879.25</v>
      </c>
      <c r="U82" s="43">
        <f>T82*'KiGa - PS'!L83</f>
        <v>220561.31174360088</v>
      </c>
      <c r="V82" s="42">
        <f t="shared" si="74"/>
        <v>9.7952250905179311E-2</v>
      </c>
      <c r="W82" s="43">
        <f t="shared" si="75"/>
        <v>1016.4115748553036</v>
      </c>
      <c r="X82" s="365">
        <v>249851.45</v>
      </c>
      <c r="Y82" s="43">
        <f>X82*'KiGa - PS'!L83</f>
        <v>196196.63450767798</v>
      </c>
      <c r="Z82" s="91">
        <f t="shared" si="76"/>
        <v>8.7131790331335848E-2</v>
      </c>
      <c r="AA82" s="365">
        <v>82388.850000000006</v>
      </c>
      <c r="AB82" s="43">
        <f>AA82*'KiGa - PS'!L83</f>
        <v>64696.102788108314</v>
      </c>
      <c r="AC82" s="43">
        <f t="shared" si="77"/>
        <v>298.13872252584474</v>
      </c>
      <c r="AD82" s="42">
        <f t="shared" si="78"/>
        <v>2.8731824465456891E-2</v>
      </c>
      <c r="AE82" s="365">
        <v>41560</v>
      </c>
      <c r="AF82" s="43">
        <f>AE82*'KiGa - PS'!L83</f>
        <v>32635.120309044021</v>
      </c>
      <c r="AG82" s="42">
        <f t="shared" si="79"/>
        <v>1.4493400803438673E-2</v>
      </c>
      <c r="AH82" s="42">
        <f>AE82/'Kennzahlen Revision'!F82</f>
        <v>3.8158963687017502E-3</v>
      </c>
      <c r="AI82" s="97">
        <f t="shared" si="80"/>
        <v>5.6603931502360504E-2</v>
      </c>
      <c r="AJ82" s="365">
        <v>777831</v>
      </c>
      <c r="AK82" s="43">
        <f>AJ82*'KiGa - PS'!$L83</f>
        <v>610794.2315953807</v>
      </c>
      <c r="AL82" s="365">
        <v>104661</v>
      </c>
      <c r="AM82" s="43">
        <f>AL82*'KiGa - PS'!$L83</f>
        <v>82185.37840868278</v>
      </c>
      <c r="AN82" s="97">
        <f>(AK82+AM82)/Funktional!E82</f>
        <v>0.323098635164075</v>
      </c>
    </row>
    <row r="83" spans="1:40" x14ac:dyDescent="0.25">
      <c r="A83" t="str">
        <f>Funktional!A83</f>
        <v>Mauren</v>
      </c>
      <c r="B83" t="str">
        <f>Funktional!B83</f>
        <v>PSG</v>
      </c>
      <c r="C83" s="43">
        <f>Funktional!D83</f>
        <v>57</v>
      </c>
      <c r="D83" s="43">
        <f>Funktional!J83-'KiGa - PS'!H84</f>
        <v>469357.85</v>
      </c>
      <c r="E83" s="43">
        <f>'KiGa - PS'!F84+'KiGa - PS'!K84*Artengliederung!D83</f>
        <v>846255.37230047514</v>
      </c>
      <c r="F83" s="365">
        <v>501613.2</v>
      </c>
      <c r="G83" s="43">
        <f>F83*'KiGa - PS'!L84</f>
        <v>435354.52537029621</v>
      </c>
      <c r="H83" s="42">
        <f t="shared" si="68"/>
        <v>0.51444816732663212</v>
      </c>
      <c r="I83" s="85">
        <f t="shared" si="69"/>
        <v>7637.7986907069508</v>
      </c>
      <c r="J83" s="365">
        <v>91621.25</v>
      </c>
      <c r="K83" s="43">
        <f>J83*'KiGa - PS'!L84</f>
        <v>79518.89186246146</v>
      </c>
      <c r="L83" s="42">
        <f t="shared" si="70"/>
        <v>9.3965597696940975E-2</v>
      </c>
      <c r="M83" s="43">
        <f t="shared" si="71"/>
        <v>1395.0682782887975</v>
      </c>
      <c r="N83" s="365">
        <v>23711.599999999999</v>
      </c>
      <c r="O83" s="43">
        <f>N83*'KiGa - PS'!L84</f>
        <v>20579.507006136031</v>
      </c>
      <c r="P83" s="42">
        <f t="shared" si="72"/>
        <v>2.4318317708509604E-2</v>
      </c>
      <c r="Q83" s="43">
        <f>O83/Funktional!C83</f>
        <v>6859.8356687120104</v>
      </c>
      <c r="R83" s="85">
        <f t="shared" si="73"/>
        <v>361.04398256379</v>
      </c>
      <c r="S83" s="365">
        <v>4868.25</v>
      </c>
      <c r="T83" s="365">
        <v>64379.35</v>
      </c>
      <c r="U83" s="43">
        <f>T83*'KiGa - PS'!L84</f>
        <v>55875.406314862084</v>
      </c>
      <c r="V83" s="42">
        <f t="shared" si="74"/>
        <v>6.6026648862469756E-2</v>
      </c>
      <c r="W83" s="43">
        <f t="shared" si="75"/>
        <v>980.27028622565058</v>
      </c>
      <c r="X83" s="365">
        <v>60000</v>
      </c>
      <c r="Y83" s="43">
        <f>X83*'KiGa - PS'!L84</f>
        <v>52074.529781548357</v>
      </c>
      <c r="Z83" s="91">
        <f t="shared" si="76"/>
        <v>6.1535242771916542E-2</v>
      </c>
      <c r="AA83" s="365">
        <v>245866.1</v>
      </c>
      <c r="AB83" s="43">
        <f>AA83*'KiGa - PS'!L84</f>
        <v>213389.35911205245</v>
      </c>
      <c r="AC83" s="43">
        <f t="shared" si="77"/>
        <v>3743.6729668781131</v>
      </c>
      <c r="AD83" s="42">
        <f t="shared" si="78"/>
        <v>0.25215716921473852</v>
      </c>
      <c r="AE83" s="365">
        <v>111381</v>
      </c>
      <c r="AF83" s="43">
        <f>AE83*'KiGa - PS'!L84</f>
        <v>96668.55335997729</v>
      </c>
      <c r="AG83" s="42">
        <f t="shared" si="79"/>
        <v>0.11423094791964727</v>
      </c>
      <c r="AH83" s="42">
        <f>AE83/'Kennzahlen Revision'!F83</f>
        <v>5.498273474696963E-2</v>
      </c>
      <c r="AI83" s="97">
        <f t="shared" si="80"/>
        <v>7.340241689921867E-2</v>
      </c>
      <c r="AJ83" s="365">
        <v>227781</v>
      </c>
      <c r="AK83" s="43">
        <f>AJ83*'KiGa - PS'!$L84</f>
        <v>197693.1411361811</v>
      </c>
      <c r="AL83" s="365">
        <v>119456</v>
      </c>
      <c r="AM83" s="43">
        <f>AL83*'KiGa - PS'!$L84</f>
        <v>103676.91715974401</v>
      </c>
      <c r="AN83" s="97">
        <f>(AK83+AM83)/Funktional!E83</f>
        <v>0.38054053793405168</v>
      </c>
    </row>
    <row r="84" spans="1:40" x14ac:dyDescent="0.25">
      <c r="A84" t="str">
        <f>Funktional!A84</f>
        <v>Mettlen</v>
      </c>
      <c r="B84" t="str">
        <f>Funktional!B84</f>
        <v>PSG</v>
      </c>
      <c r="C84" s="43">
        <f>Funktional!D84</f>
        <v>46</v>
      </c>
      <c r="D84" s="43">
        <f>Funktional!J84-'KiGa - PS'!H85</f>
        <v>321392.59999999998</v>
      </c>
      <c r="E84" s="43">
        <f>'KiGa - PS'!F85+'KiGa - PS'!K85*Artengliederung!D84</f>
        <v>676501.82351820194</v>
      </c>
      <c r="F84" s="365">
        <v>511082</v>
      </c>
      <c r="G84" s="43">
        <f>F84*'KiGa - PS'!L85</f>
        <v>426882.59912558564</v>
      </c>
      <c r="H84" s="42">
        <f t="shared" si="68"/>
        <v>0.63101470577795116</v>
      </c>
      <c r="I84" s="85">
        <f t="shared" si="69"/>
        <v>9280.0565027301218</v>
      </c>
      <c r="J84" s="365">
        <v>89158.75</v>
      </c>
      <c r="K84" s="43">
        <f>J84*'KiGa - PS'!L85</f>
        <v>74470.082951049553</v>
      </c>
      <c r="L84" s="42">
        <f t="shared" si="70"/>
        <v>0.11008112670526432</v>
      </c>
      <c r="M84" s="43">
        <f t="shared" si="71"/>
        <v>1618.9148467619468</v>
      </c>
      <c r="N84" s="365">
        <v>21030.2</v>
      </c>
      <c r="O84" s="43">
        <f>N84*'KiGa - PS'!L85</f>
        <v>17565.530455251588</v>
      </c>
      <c r="P84" s="42">
        <f t="shared" si="72"/>
        <v>2.5965237408970519E-2</v>
      </c>
      <c r="Q84" s="43">
        <f>O84/Funktional!C84</f>
        <v>8782.7652276257941</v>
      </c>
      <c r="R84" s="85">
        <f t="shared" si="73"/>
        <v>381.85935772286064</v>
      </c>
      <c r="S84" s="365">
        <v>4971.25</v>
      </c>
      <c r="T84" s="365">
        <v>50557.05</v>
      </c>
      <c r="U84" s="43">
        <f>T84*'KiGa - PS'!L85</f>
        <v>42227.910409918935</v>
      </c>
      <c r="V84" s="42">
        <f t="shared" si="74"/>
        <v>6.2420985342373954E-2</v>
      </c>
      <c r="W84" s="43">
        <f t="shared" si="75"/>
        <v>917.99805238954207</v>
      </c>
      <c r="X84" s="365">
        <v>47213.05</v>
      </c>
      <c r="Y84" s="43">
        <f>X84*'KiGa - PS'!L85</f>
        <v>39434.825520457052</v>
      </c>
      <c r="Z84" s="91">
        <f t="shared" si="76"/>
        <v>5.8292267883881053E-2</v>
      </c>
      <c r="AA84" s="365">
        <v>122239.15</v>
      </c>
      <c r="AB84" s="43">
        <f>AA84*'KiGa - PS'!L85</f>
        <v>102100.57498973224</v>
      </c>
      <c r="AC84" s="43">
        <f t="shared" si="77"/>
        <v>2219.577717168092</v>
      </c>
      <c r="AD84" s="42">
        <f t="shared" si="78"/>
        <v>0.15092431600368794</v>
      </c>
      <c r="AE84" s="365">
        <v>85028.05</v>
      </c>
      <c r="AF84" s="43">
        <f>AE84*'KiGa - PS'!L85</f>
        <v>71019.904795277966</v>
      </c>
      <c r="AG84" s="42">
        <f t="shared" si="79"/>
        <v>0.10498109883271749</v>
      </c>
      <c r="AH84" s="42">
        <f>AE84/'Kennzahlen Revision'!F84</f>
        <v>6.3785287930639811E-2</v>
      </c>
      <c r="AI84" s="97">
        <f t="shared" ref="AI84:AI87" si="81">1-H84-L84-V84-AD84</f>
        <v>4.5558866170722634E-2</v>
      </c>
      <c r="AJ84" s="365">
        <v>226282</v>
      </c>
      <c r="AK84" s="43">
        <f>AJ84*'KiGa - PS'!$L85</f>
        <v>189002.64203265967</v>
      </c>
      <c r="AL84" s="365">
        <v>180549</v>
      </c>
      <c r="AM84" s="43">
        <f>AL84*'KiGa - PS'!$L85</f>
        <v>150804.03220916676</v>
      </c>
      <c r="AN84" s="97">
        <f>(AK84+AM84)/Funktional!E84</f>
        <v>0.52270372698032019</v>
      </c>
    </row>
    <row r="85" spans="1:40" x14ac:dyDescent="0.25">
      <c r="A85" t="str">
        <f>Funktional!A85</f>
        <v>Müllheim</v>
      </c>
      <c r="B85" t="str">
        <f>Funktional!B85</f>
        <v>PSG</v>
      </c>
      <c r="C85" s="43">
        <f>Funktional!D85</f>
        <v>241</v>
      </c>
      <c r="D85" s="43">
        <f>Funktional!J85-'KiGa - PS'!H86</f>
        <v>944695.10000000009</v>
      </c>
      <c r="E85" s="43">
        <f>'KiGa - PS'!F86+'KiGa - PS'!K86*Artengliederung!D85</f>
        <v>2233668.2476028539</v>
      </c>
      <c r="F85" s="365">
        <v>1698462.55</v>
      </c>
      <c r="G85" s="43">
        <f>F85*'KiGa - PS'!L86</f>
        <v>1459506.3055110031</v>
      </c>
      <c r="H85" s="42">
        <f t="shared" si="68"/>
        <v>0.65341229928720523</v>
      </c>
      <c r="I85" s="85">
        <f t="shared" si="69"/>
        <v>6056.0427614564442</v>
      </c>
      <c r="J85" s="365">
        <v>393980.8</v>
      </c>
      <c r="K85" s="43">
        <f>J85*'KiGa - PS'!L86</f>
        <v>338551.74601893307</v>
      </c>
      <c r="L85" s="42">
        <f t="shared" si="70"/>
        <v>0.15156760471581343</v>
      </c>
      <c r="M85" s="43">
        <f t="shared" si="71"/>
        <v>1404.7790291242036</v>
      </c>
      <c r="N85" s="365">
        <v>74985.3</v>
      </c>
      <c r="O85" s="43">
        <f>N85*'KiGa - PS'!L86</f>
        <v>64435.63808376831</v>
      </c>
      <c r="P85" s="42">
        <f t="shared" si="72"/>
        <v>2.884745223598888E-2</v>
      </c>
      <c r="Q85" s="43">
        <f>O85/Funktional!C85</f>
        <v>5369.6365069806925</v>
      </c>
      <c r="R85" s="85">
        <f t="shared" si="73"/>
        <v>267.36779287870667</v>
      </c>
      <c r="S85" s="365">
        <v>96486.85</v>
      </c>
      <c r="T85" s="365">
        <v>168365.45</v>
      </c>
      <c r="U85" s="43">
        <f>T85*'KiGa - PS'!L86</f>
        <v>144678.15961276129</v>
      </c>
      <c r="V85" s="42">
        <f t="shared" si="74"/>
        <v>6.4771552251785006E-2</v>
      </c>
      <c r="W85" s="43">
        <f t="shared" si="75"/>
        <v>600.32431374589748</v>
      </c>
      <c r="X85" s="365">
        <v>139205.29999999999</v>
      </c>
      <c r="Y85" s="43">
        <f>X85*'KiGa - PS'!L86</f>
        <v>119620.54336173079</v>
      </c>
      <c r="Z85" s="91">
        <f t="shared" si="76"/>
        <v>5.3553406370935398E-2</v>
      </c>
      <c r="AA85" s="365">
        <v>123220.35</v>
      </c>
      <c r="AB85" s="43">
        <f>AA85*'KiGa - PS'!L86</f>
        <v>105884.51172636851</v>
      </c>
      <c r="AC85" s="43">
        <f t="shared" si="77"/>
        <v>439.35482044136313</v>
      </c>
      <c r="AD85" s="42">
        <f t="shared" si="78"/>
        <v>4.7403866639552449E-2</v>
      </c>
      <c r="AE85" s="365">
        <v>116712</v>
      </c>
      <c r="AF85" s="43">
        <f>AE85*'KiGa - PS'!L86</f>
        <v>100291.81975710928</v>
      </c>
      <c r="AG85" s="42">
        <f t="shared" si="79"/>
        <v>4.4900051681686058E-2</v>
      </c>
      <c r="AH85" s="42">
        <f>AE85/'Kennzahlen Revision'!F85</f>
        <v>6.2704173911782096E-2</v>
      </c>
      <c r="AI85" s="97">
        <f t="shared" si="81"/>
        <v>8.2844677105643888E-2</v>
      </c>
      <c r="AJ85" s="365">
        <v>650389.35</v>
      </c>
      <c r="AK85" s="43">
        <f>AJ85*'KiGa - PS'!$L86</f>
        <v>558886.24530591082</v>
      </c>
      <c r="AL85" s="365">
        <v>797763</v>
      </c>
      <c r="AM85" s="43">
        <f>AL85*'KiGa - PS'!$L86</f>
        <v>685525.93567834306</v>
      </c>
      <c r="AN85" s="97">
        <f>(AK85+AM85)/Funktional!E85</f>
        <v>0.59773489325177553</v>
      </c>
    </row>
    <row r="86" spans="1:40" x14ac:dyDescent="0.25">
      <c r="A86" t="str">
        <f>Funktional!A86</f>
        <v>Neukirch-Egnach</v>
      </c>
      <c r="B86" t="str">
        <f>Funktional!B86</f>
        <v>PSG</v>
      </c>
      <c r="C86" s="43">
        <f>Funktional!D86</f>
        <v>102</v>
      </c>
      <c r="D86" s="43">
        <f>Funktional!J86-'KiGa - PS'!H87</f>
        <v>688211.75</v>
      </c>
      <c r="E86" s="43">
        <f>'KiGa - PS'!F87+'KiGa - PS'!K87*Artengliederung!D86</f>
        <v>1195186.1512180949</v>
      </c>
      <c r="F86" s="365">
        <v>942852.85</v>
      </c>
      <c r="G86" s="43">
        <f>F86*'KiGa - PS'!L87</f>
        <v>734764.72519057768</v>
      </c>
      <c r="H86" s="42">
        <f t="shared" si="68"/>
        <v>0.61477011295832817</v>
      </c>
      <c r="I86" s="85">
        <f t="shared" si="69"/>
        <v>7203.5757371625259</v>
      </c>
      <c r="J86" s="365">
        <v>194400.3</v>
      </c>
      <c r="K86" s="43">
        <f>J86*'KiGa - PS'!L87</f>
        <v>151496.05053054233</v>
      </c>
      <c r="L86" s="42">
        <f t="shared" si="70"/>
        <v>0.12675519238249414</v>
      </c>
      <c r="M86" s="43">
        <f t="shared" si="71"/>
        <v>1485.2553973582581</v>
      </c>
      <c r="N86" s="365">
        <v>42711.3</v>
      </c>
      <c r="O86" s="43">
        <f>N86*'KiGa - PS'!L87</f>
        <v>33284.89340307167</v>
      </c>
      <c r="P86" s="42">
        <f t="shared" si="72"/>
        <v>2.7849129082652763E-2</v>
      </c>
      <c r="Q86" s="43">
        <f>O86/Funktional!C86</f>
        <v>6656.9786806143338</v>
      </c>
      <c r="R86" s="85">
        <f t="shared" si="73"/>
        <v>326.3224843438399</v>
      </c>
      <c r="S86" s="365">
        <v>7854.05</v>
      </c>
      <c r="T86" s="365">
        <v>124339.05</v>
      </c>
      <c r="U86" s="43">
        <f>T86*'KiGa - PS'!L87</f>
        <v>96897.355619922557</v>
      </c>
      <c r="V86" s="42">
        <f t="shared" si="74"/>
        <v>8.1073024081786696E-2</v>
      </c>
      <c r="W86" s="43">
        <f t="shared" si="75"/>
        <v>949.97407470512314</v>
      </c>
      <c r="X86" s="365">
        <v>120905.55</v>
      </c>
      <c r="Y86" s="43">
        <f>X86*'KiGa - PS'!L87</f>
        <v>94221.630893692112</v>
      </c>
      <c r="Z86" s="91">
        <f t="shared" si="76"/>
        <v>7.8834272634153671E-2</v>
      </c>
      <c r="AA86" s="365">
        <v>171754.6</v>
      </c>
      <c r="AB86" s="43">
        <f>AA86*'KiGa - PS'!L87</f>
        <v>133848.26854924139</v>
      </c>
      <c r="AC86" s="43">
        <f t="shared" si="77"/>
        <v>1312.2379269533469</v>
      </c>
      <c r="AD86" s="42">
        <f t="shared" si="78"/>
        <v>0.11198947411901283</v>
      </c>
      <c r="AE86" s="365">
        <v>151900.85</v>
      </c>
      <c r="AF86" s="43">
        <f>AE86*'KiGa - PS'!L87</f>
        <v>118376.25171994248</v>
      </c>
      <c r="AG86" s="42">
        <f t="shared" si="79"/>
        <v>9.9044196252857555E-2</v>
      </c>
      <c r="AH86" s="42">
        <f>AE86/'Kennzahlen Revision'!F86</f>
        <v>5.6392137368844464E-2</v>
      </c>
      <c r="AI86" s="97">
        <f t="shared" si="81"/>
        <v>6.5412196458378202E-2</v>
      </c>
      <c r="AJ86" s="365">
        <v>63042</v>
      </c>
      <c r="AK86" s="43">
        <f>AJ86*'KiGa - PS'!$L87</f>
        <v>49128.597114029406</v>
      </c>
      <c r="AL86" s="365">
        <v>10445</v>
      </c>
      <c r="AM86" s="43">
        <f>AL86*'KiGa - PS'!$L87</f>
        <v>8139.7829519373936</v>
      </c>
      <c r="AN86" s="97">
        <f>(AK86+AM86)/Funktional!E86</f>
        <v>5.0676750848399565E-2</v>
      </c>
    </row>
    <row r="87" spans="1:40" x14ac:dyDescent="0.25">
      <c r="A87" t="str">
        <f>Funktional!A87</f>
        <v>Neuwilen</v>
      </c>
      <c r="B87" t="str">
        <f>Funktional!B87</f>
        <v>PSG</v>
      </c>
      <c r="C87" s="43">
        <f>Funktional!D87</f>
        <v>73</v>
      </c>
      <c r="D87" s="43">
        <f>Funktional!J87-'KiGa - PS'!H88</f>
        <v>326892.04999999993</v>
      </c>
      <c r="E87" s="43">
        <f>'KiGa - PS'!F88+'KiGa - PS'!K88*Artengliederung!D87</f>
        <v>619511.71710667713</v>
      </c>
      <c r="F87" s="365">
        <v>591450.30000000005</v>
      </c>
      <c r="G87" s="43">
        <f>F87*'KiGa - PS'!L88</f>
        <v>393776.01243052358</v>
      </c>
      <c r="H87" s="42">
        <f t="shared" si="68"/>
        <v>0.63562318767687997</v>
      </c>
      <c r="I87" s="85">
        <f t="shared" si="69"/>
        <v>5394.1919511030628</v>
      </c>
      <c r="J87" s="365">
        <v>156089.5</v>
      </c>
      <c r="K87" s="43">
        <f>J87*'KiGa - PS'!L88</f>
        <v>103921.32845697129</v>
      </c>
      <c r="L87" s="42">
        <f t="shared" si="70"/>
        <v>0.16774715568305629</v>
      </c>
      <c r="M87" s="43">
        <f t="shared" si="71"/>
        <v>1423.5798418763191</v>
      </c>
      <c r="N87" s="365">
        <v>24444.45</v>
      </c>
      <c r="O87" s="43">
        <f>N87*'KiGa - PS'!L88</f>
        <v>16274.635496942534</v>
      </c>
      <c r="P87" s="42">
        <f t="shared" si="72"/>
        <v>2.6270101190257415E-2</v>
      </c>
      <c r="Q87" s="43">
        <f>O87/Funktional!C87</f>
        <v>5424.8784989808446</v>
      </c>
      <c r="R87" s="85">
        <f t="shared" si="73"/>
        <v>222.94021228688402</v>
      </c>
      <c r="S87" s="365">
        <v>7499.1</v>
      </c>
      <c r="T87" s="365">
        <v>50187.8</v>
      </c>
      <c r="U87" s="43">
        <f>T87*'KiGa - PS'!L88</f>
        <v>33414.05314472007</v>
      </c>
      <c r="V87" s="42">
        <f t="shared" si="74"/>
        <v>5.3936111653827397E-2</v>
      </c>
      <c r="W87" s="43">
        <f t="shared" si="75"/>
        <v>457.72675540712424</v>
      </c>
      <c r="X87" s="365">
        <v>31746.9</v>
      </c>
      <c r="Y87" s="43">
        <f>X87*'KiGa - PS'!L88</f>
        <v>21136.463518626311</v>
      </c>
      <c r="Z87" s="91">
        <f t="shared" si="76"/>
        <v>3.4117939879072065E-2</v>
      </c>
      <c r="AA87" s="365">
        <v>89136.35</v>
      </c>
      <c r="AB87" s="43">
        <f>AA87*'KiGa - PS'!L88</f>
        <v>59345.234021542463</v>
      </c>
      <c r="AC87" s="43">
        <f t="shared" si="77"/>
        <v>812.94841125400637</v>
      </c>
      <c r="AD87" s="42">
        <f t="shared" si="78"/>
        <v>9.5793561901789628E-2</v>
      </c>
      <c r="AE87" s="365">
        <v>33597</v>
      </c>
      <c r="AF87" s="43">
        <f>AE87*'KiGa - PS'!L88</f>
        <v>22368.223821390064</v>
      </c>
      <c r="AG87" s="42">
        <f t="shared" si="79"/>
        <v>3.6106215917685952E-2</v>
      </c>
      <c r="AH87" s="42">
        <f>AE87/'Kennzahlen Revision'!F87</f>
        <v>6.5671729314490113E-2</v>
      </c>
      <c r="AI87" s="97">
        <f t="shared" si="81"/>
        <v>4.689998308444672E-2</v>
      </c>
      <c r="AJ87" s="365">
        <v>270194</v>
      </c>
      <c r="AK87" s="43">
        <f>AJ87*'KiGa - PS'!$L88</f>
        <v>179889.86716661209</v>
      </c>
      <c r="AL87" s="365">
        <v>174720</v>
      </c>
      <c r="AM87" s="43">
        <f>AL87*'KiGa - PS'!$L88</f>
        <v>116325.15004533951</v>
      </c>
      <c r="AN87" s="97">
        <f>(AK87+AM87)/Funktional!E87</f>
        <v>0.49729052812626512</v>
      </c>
    </row>
    <row r="88" spans="1:40" x14ac:dyDescent="0.25">
      <c r="A88" t="str">
        <f>Funktional!A88</f>
        <v>Nussbaumen</v>
      </c>
      <c r="B88" t="str">
        <f>Funktional!B88</f>
        <v>PSG</v>
      </c>
      <c r="C88" s="43">
        <f>Funktional!D88</f>
        <v>54</v>
      </c>
      <c r="D88" s="43">
        <f>Funktional!J88-'KiGa - PS'!H89</f>
        <v>372613.44999999995</v>
      </c>
      <c r="E88" s="43">
        <f>'KiGa - PS'!F89+'KiGa - PS'!K89*Artengliederung!D88</f>
        <v>685591.82380923303</v>
      </c>
      <c r="F88" s="365">
        <v>508808</v>
      </c>
      <c r="G88" s="43">
        <f>F88*'KiGa - PS'!L89</f>
        <v>420909.02466330258</v>
      </c>
      <c r="H88" s="42">
        <f t="shared" ref="H88:H93" si="82">G88/$E88</f>
        <v>0.61393530384402772</v>
      </c>
      <c r="I88" s="85">
        <f t="shared" ref="I88:I93" si="83">G88/C88</f>
        <v>7794.6115678389369</v>
      </c>
      <c r="J88" s="365">
        <v>84292.3</v>
      </c>
      <c r="K88" s="43">
        <f>J88*'KiGa - PS'!L89</f>
        <v>69730.408679947053</v>
      </c>
      <c r="L88" s="42">
        <f t="shared" ref="L88:L93" si="84">K88/$E88</f>
        <v>0.1017083434462743</v>
      </c>
      <c r="M88" s="43">
        <f t="shared" ref="M88:M93" si="85">K88/C88</f>
        <v>1291.3038644434639</v>
      </c>
      <c r="N88" s="365">
        <v>17463.95</v>
      </c>
      <c r="O88" s="43">
        <f>N88*'KiGa - PS'!L89</f>
        <v>14446.970490378853</v>
      </c>
      <c r="P88" s="42">
        <f t="shared" ref="P88:P93" si="86">O88/$E88</f>
        <v>2.1072261932923438E-2</v>
      </c>
      <c r="Q88" s="43">
        <f>O88/Funktional!C88</f>
        <v>5778.7881961515413</v>
      </c>
      <c r="R88" s="85">
        <f t="shared" ref="R88:R93" si="87">O88/C88</f>
        <v>267.53649056257137</v>
      </c>
      <c r="S88" s="365">
        <v>6498.05</v>
      </c>
      <c r="T88" s="365">
        <v>103224.3</v>
      </c>
      <c r="U88" s="43">
        <f>T88*'KiGa - PS'!L89</f>
        <v>85391.816627396081</v>
      </c>
      <c r="V88" s="42">
        <f t="shared" ref="V88:V93" si="88">U88/$E88</f>
        <v>0.12455197635372689</v>
      </c>
      <c r="W88" s="43">
        <f t="shared" ref="W88:W93" si="89">U88/C88</f>
        <v>1581.3299375443719</v>
      </c>
      <c r="X88" s="365">
        <v>91746.85</v>
      </c>
      <c r="Y88" s="43">
        <f>X88*'KiGa - PS'!L89</f>
        <v>75897.150102652333</v>
      </c>
      <c r="Z88" s="91">
        <f t="shared" ref="Z88:Z93" si="90">Y88/$E88</f>
        <v>0.11070311439969976</v>
      </c>
      <c r="AA88" s="365">
        <v>96683.8</v>
      </c>
      <c r="AB88" s="43">
        <f>AA88*'KiGa - PS'!L89</f>
        <v>79981.218767672326</v>
      </c>
      <c r="AC88" s="43">
        <f t="shared" ref="AC88:AC93" si="91">AB88/C88</f>
        <v>1481.133680882821</v>
      </c>
      <c r="AD88" s="42">
        <f t="shared" ref="AD88:AD93" si="92">AB88/$E88</f>
        <v>0.1166601117313313</v>
      </c>
      <c r="AE88" s="365">
        <v>96453.4</v>
      </c>
      <c r="AF88" s="43">
        <f>AE88*'KiGa - PS'!L89</f>
        <v>79790.621451430387</v>
      </c>
      <c r="AG88" s="42">
        <f t="shared" ref="AG88:AG93" si="93">AF88/$E88</f>
        <v>0.1163821076629879</v>
      </c>
      <c r="AH88" s="42">
        <f>AE88/'Kennzahlen Revision'!F88</f>
        <v>4.8763956895091672E-2</v>
      </c>
      <c r="AI88" s="97">
        <f t="shared" ref="AI88:AI93" si="94">1-H88-L88-V88-AD88</f>
        <v>4.3144264624639758E-2</v>
      </c>
      <c r="AJ88" s="365">
        <v>70941</v>
      </c>
      <c r="AK88" s="43">
        <f>AJ88*'KiGa - PS'!$L89</f>
        <v>58685.608556939653</v>
      </c>
      <c r="AL88" s="365">
        <v>0</v>
      </c>
      <c r="AM88" s="43">
        <f>AL88*'KiGa - PS'!$L89</f>
        <v>0</v>
      </c>
      <c r="AN88" s="97">
        <f>(AK88+AM88)/Funktional!E88</f>
        <v>8.8281680546402896E-2</v>
      </c>
    </row>
    <row r="89" spans="1:40" x14ac:dyDescent="0.25">
      <c r="A89" t="str">
        <f>Funktional!A89</f>
        <v>Oberhofen-Lengwil</v>
      </c>
      <c r="B89" t="str">
        <f>Funktional!B89</f>
        <v>PSG</v>
      </c>
      <c r="C89" s="43">
        <f>Funktional!D89</f>
        <v>66</v>
      </c>
      <c r="D89" s="43">
        <f>Funktional!J89-'KiGa - PS'!H90</f>
        <v>552336.90000000014</v>
      </c>
      <c r="E89" s="43">
        <f>'KiGa - PS'!F90+'KiGa - PS'!K90*Artengliederung!D89</f>
        <v>905047.11675457773</v>
      </c>
      <c r="F89" s="365">
        <v>662336.30000000005</v>
      </c>
      <c r="G89" s="43">
        <f>F89*'KiGa - PS'!L90</f>
        <v>511820.76828319812</v>
      </c>
      <c r="H89" s="42">
        <f t="shared" si="82"/>
        <v>0.56551836783762599</v>
      </c>
      <c r="I89" s="85">
        <f t="shared" si="83"/>
        <v>7754.8601255030017</v>
      </c>
      <c r="J89" s="365">
        <v>205126.6</v>
      </c>
      <c r="K89" s="43">
        <f>J89*'KiGa - PS'!L90</f>
        <v>158511.70169492488</v>
      </c>
      <c r="L89" s="42">
        <f t="shared" si="84"/>
        <v>0.17514193323253094</v>
      </c>
      <c r="M89" s="43">
        <f t="shared" si="85"/>
        <v>2401.692449923104</v>
      </c>
      <c r="N89" s="365">
        <v>32140.35</v>
      </c>
      <c r="O89" s="43">
        <f>N89*'KiGa - PS'!L90</f>
        <v>24836.474506819097</v>
      </c>
      <c r="P89" s="42">
        <f t="shared" si="86"/>
        <v>2.7442189524762635E-2</v>
      </c>
      <c r="Q89" s="43">
        <f>O89/Funktional!C89</f>
        <v>8278.824835606365</v>
      </c>
      <c r="R89" s="85">
        <f t="shared" si="87"/>
        <v>376.31021980028936</v>
      </c>
      <c r="S89" s="365">
        <v>6566.5</v>
      </c>
      <c r="T89" s="365">
        <v>113649.60000000001</v>
      </c>
      <c r="U89" s="43">
        <f>T89*'KiGa - PS'!L90</f>
        <v>87822.795741495909</v>
      </c>
      <c r="V89" s="42">
        <f t="shared" si="88"/>
        <v>9.7036711255896829E-2</v>
      </c>
      <c r="W89" s="43">
        <f t="shared" si="89"/>
        <v>1330.6484203256955</v>
      </c>
      <c r="X89" s="365">
        <v>113466.65</v>
      </c>
      <c r="Y89" s="43">
        <f>X89*'KiGa - PS'!L90</f>
        <v>87681.421020591413</v>
      </c>
      <c r="Z89" s="91">
        <f t="shared" si="90"/>
        <v>9.6880504227237985E-2</v>
      </c>
      <c r="AA89" s="365">
        <v>115997.85</v>
      </c>
      <c r="AB89" s="43">
        <f>AA89*'KiGa - PS'!L90</f>
        <v>89637.407320418904</v>
      </c>
      <c r="AC89" s="43">
        <f t="shared" si="91"/>
        <v>1358.1425351578621</v>
      </c>
      <c r="AD89" s="42">
        <f t="shared" si="92"/>
        <v>9.9041702537930904E-2</v>
      </c>
      <c r="AE89" s="365">
        <v>114534.6</v>
      </c>
      <c r="AF89" s="43">
        <f>AE89*'KiGa - PS'!L90</f>
        <v>88506.680015890393</v>
      </c>
      <c r="AG89" s="42">
        <f t="shared" si="93"/>
        <v>9.779234514692213E-2</v>
      </c>
      <c r="AH89" s="42">
        <f>AE89/'Kennzahlen Revision'!F89</f>
        <v>6.4621191604603931E-2</v>
      </c>
      <c r="AI89" s="97">
        <f t="shared" si="94"/>
        <v>6.3261285136015366E-2</v>
      </c>
      <c r="AJ89" s="365">
        <v>49584</v>
      </c>
      <c r="AK89" s="43">
        <f>AJ89*'KiGa - PS'!$L90</f>
        <v>38316.065380312226</v>
      </c>
      <c r="AL89" s="365">
        <v>0</v>
      </c>
      <c r="AM89" s="43">
        <f>AL89*'KiGa - PS'!$L90</f>
        <v>0</v>
      </c>
      <c r="AN89" s="97">
        <f>(AK89+AM89)/Funktional!E89</f>
        <v>4.446397545011771E-2</v>
      </c>
    </row>
    <row r="90" spans="1:40" x14ac:dyDescent="0.25">
      <c r="A90" t="str">
        <f>Funktional!A90</f>
        <v>Ottoberg</v>
      </c>
      <c r="B90" t="str">
        <f>Funktional!B90</f>
        <v>PSG</v>
      </c>
      <c r="C90" s="43">
        <f>Funktional!D90</f>
        <v>55</v>
      </c>
      <c r="D90" s="43">
        <f>Funktional!J90-'KiGa - PS'!H91</f>
        <v>551205.9</v>
      </c>
      <c r="E90" s="43">
        <f>'KiGa - PS'!F91+'KiGa - PS'!K91*Artengliederung!D90</f>
        <v>854329.68972731568</v>
      </c>
      <c r="F90" s="365">
        <v>494266.6</v>
      </c>
      <c r="G90" s="43">
        <f>F90*'KiGa - PS'!L91</f>
        <v>391743.59577380295</v>
      </c>
      <c r="H90" s="42">
        <f t="shared" si="82"/>
        <v>0.45853913364387394</v>
      </c>
      <c r="I90" s="85">
        <f t="shared" si="83"/>
        <v>7122.6108322509626</v>
      </c>
      <c r="J90" s="365">
        <v>86348.4</v>
      </c>
      <c r="K90" s="43">
        <f>J90*'KiGa - PS'!L91</f>
        <v>68437.625980219265</v>
      </c>
      <c r="L90" s="42">
        <f t="shared" si="84"/>
        <v>8.0106809821935535E-2</v>
      </c>
      <c r="M90" s="43">
        <f t="shared" si="85"/>
        <v>1244.3204723676231</v>
      </c>
      <c r="N90" s="365">
        <v>20781.099999999999</v>
      </c>
      <c r="O90" s="43">
        <f>N90*'KiGa - PS'!L91</f>
        <v>16470.590645078944</v>
      </c>
      <c r="P90" s="42">
        <f t="shared" si="86"/>
        <v>1.9278963195503616E-2</v>
      </c>
      <c r="Q90" s="43">
        <f>O90/Funktional!C90</f>
        <v>6588.2362580315776</v>
      </c>
      <c r="R90" s="85">
        <f t="shared" si="87"/>
        <v>299.46528445598079</v>
      </c>
      <c r="S90" s="365">
        <v>12897.9</v>
      </c>
      <c r="T90" s="365">
        <v>143511.29999999999</v>
      </c>
      <c r="U90" s="43">
        <f>T90*'KiGa - PS'!L91</f>
        <v>113743.53981469305</v>
      </c>
      <c r="V90" s="42">
        <f t="shared" si="88"/>
        <v>0.1331377583880968</v>
      </c>
      <c r="W90" s="43">
        <f t="shared" si="89"/>
        <v>2068.0643602671466</v>
      </c>
      <c r="X90" s="365">
        <v>133452.35</v>
      </c>
      <c r="Y90" s="43">
        <f>X90*'KiGa - PS'!L91</f>
        <v>105771.06252670943</v>
      </c>
      <c r="Z90" s="91">
        <f t="shared" si="90"/>
        <v>0.12380590748340885</v>
      </c>
      <c r="AA90" s="365">
        <v>242931.9</v>
      </c>
      <c r="AB90" s="43">
        <f>AA90*'KiGa - PS'!L91</f>
        <v>192541.87119696519</v>
      </c>
      <c r="AC90" s="43">
        <f t="shared" si="91"/>
        <v>3500.7612944902762</v>
      </c>
      <c r="AD90" s="42">
        <f t="shared" si="92"/>
        <v>0.22537185996476439</v>
      </c>
      <c r="AE90" s="365">
        <v>241305</v>
      </c>
      <c r="AF90" s="43">
        <f>AE90*'KiGa - PS'!L91</f>
        <v>191252.43012211937</v>
      </c>
      <c r="AG90" s="42">
        <f t="shared" si="93"/>
        <v>0.22386255847337247</v>
      </c>
      <c r="AH90" s="42">
        <f>AE90/'Kennzahlen Revision'!F90</f>
        <v>6.3936236146999795E-2</v>
      </c>
      <c r="AI90" s="97">
        <f t="shared" si="94"/>
        <v>0.10284443818132927</v>
      </c>
      <c r="AJ90" s="365">
        <v>34179.5</v>
      </c>
      <c r="AK90" s="43">
        <f>AJ90*'KiGa - PS'!$L91</f>
        <v>27089.834174007912</v>
      </c>
      <c r="AL90" s="365">
        <v>0</v>
      </c>
      <c r="AM90" s="43">
        <f>AL90*'KiGa - PS'!$L91</f>
        <v>0</v>
      </c>
      <c r="AN90" s="97">
        <f>(AK90+AM90)/Funktional!E90</f>
        <v>3.4728397957497326E-2</v>
      </c>
    </row>
    <row r="91" spans="1:40" x14ac:dyDescent="0.25">
      <c r="A91" t="str">
        <f>Funktional!A91</f>
        <v>Pfyn</v>
      </c>
      <c r="B91" t="str">
        <f>Funktional!B91</f>
        <v>PSG</v>
      </c>
      <c r="C91" s="43">
        <f>Funktional!D91</f>
        <v>164</v>
      </c>
      <c r="D91" s="43">
        <f>Funktional!J91-'KiGa - PS'!H92</f>
        <v>928268.89999999991</v>
      </c>
      <c r="E91" s="43">
        <f>'KiGa - PS'!F92+'KiGa - PS'!K92*Artengliederung!D91</f>
        <v>2059383.2142086714</v>
      </c>
      <c r="F91" s="365">
        <v>1431838.4</v>
      </c>
      <c r="G91" s="43">
        <f>F91*'KiGa - PS'!L92</f>
        <v>1295650.8037145284</v>
      </c>
      <c r="H91" s="42">
        <f t="shared" si="82"/>
        <v>0.62914507352260274</v>
      </c>
      <c r="I91" s="85">
        <f t="shared" si="83"/>
        <v>7900.3097787471243</v>
      </c>
      <c r="J91" s="365">
        <v>315430.15000000002</v>
      </c>
      <c r="K91" s="43">
        <f>J91*'KiGa - PS'!L92</f>
        <v>285428.38868079963</v>
      </c>
      <c r="L91" s="42">
        <f t="shared" si="84"/>
        <v>0.13859896823062964</v>
      </c>
      <c r="M91" s="43">
        <f t="shared" si="85"/>
        <v>1740.4170041512173</v>
      </c>
      <c r="N91" s="365">
        <v>59159.6</v>
      </c>
      <c r="O91" s="43">
        <f>N91*'KiGa - PS'!L92</f>
        <v>53532.705427812252</v>
      </c>
      <c r="P91" s="42">
        <f t="shared" si="86"/>
        <v>2.5994533245908034E-2</v>
      </c>
      <c r="Q91" s="43">
        <f>O91/Funktional!C91</f>
        <v>5948.078380868028</v>
      </c>
      <c r="R91" s="85">
        <f t="shared" si="87"/>
        <v>326.41893553544054</v>
      </c>
      <c r="S91" s="365">
        <v>17776.650000000001</v>
      </c>
      <c r="T91" s="365">
        <v>137316.20000000001</v>
      </c>
      <c r="U91" s="43">
        <f>T91*'KiGa - PS'!L92</f>
        <v>124255.53392968434</v>
      </c>
      <c r="V91" s="42">
        <f t="shared" si="88"/>
        <v>6.0336285676403444E-2</v>
      </c>
      <c r="W91" s="43">
        <f t="shared" si="89"/>
        <v>757.65569469319723</v>
      </c>
      <c r="X91" s="365">
        <v>136934.65</v>
      </c>
      <c r="Y91" s="43">
        <f>X91*'KiGa - PS'!L92</f>
        <v>123910.27460142683</v>
      </c>
      <c r="Z91" s="91">
        <f t="shared" si="90"/>
        <v>6.0168633864018356E-2</v>
      </c>
      <c r="AA91" s="365">
        <v>257944.9</v>
      </c>
      <c r="AB91" s="43">
        <f>AA91*'KiGa - PS'!L92</f>
        <v>233410.77945602217</v>
      </c>
      <c r="AC91" s="43">
        <f t="shared" si="91"/>
        <v>1423.2364600976962</v>
      </c>
      <c r="AD91" s="42">
        <f t="shared" si="92"/>
        <v>0.11334013885594939</v>
      </c>
      <c r="AE91" s="365">
        <v>159660</v>
      </c>
      <c r="AF91" s="43">
        <f>AE91*'KiGa - PS'!L92</f>
        <v>144474.13012604049</v>
      </c>
      <c r="AG91" s="42">
        <f t="shared" si="93"/>
        <v>7.0154077749708874E-2</v>
      </c>
      <c r="AH91" s="42">
        <f>AE91/'Kennzahlen Revision'!F91</f>
        <v>6.5936016913253223E-2</v>
      </c>
      <c r="AI91" s="97">
        <f t="shared" si="94"/>
        <v>5.857953371441478E-2</v>
      </c>
      <c r="AJ91" s="365">
        <v>628490.75</v>
      </c>
      <c r="AK91" s="43">
        <f>AJ91*'KiGa - PS'!$L92</f>
        <v>568712.60427478875</v>
      </c>
      <c r="AL91" s="365">
        <v>558164</v>
      </c>
      <c r="AM91" s="43">
        <f>AL91*'KiGa - PS'!$L92</f>
        <v>505074.89895823161</v>
      </c>
      <c r="AN91" s="97">
        <f>(AK91+AM91)/Funktional!E91</f>
        <v>0.55026983355082348</v>
      </c>
    </row>
    <row r="92" spans="1:40" x14ac:dyDescent="0.25">
      <c r="A92" t="str">
        <f>Funktional!A92</f>
        <v>Raperswilen-Illhart</v>
      </c>
      <c r="B92" t="str">
        <f>Funktional!B92</f>
        <v>PSG</v>
      </c>
      <c r="C92" s="43">
        <f>Funktional!D92</f>
        <v>71</v>
      </c>
      <c r="D92" s="43">
        <f>Funktional!J92-'KiGa - PS'!H93</f>
        <v>265451.94999999995</v>
      </c>
      <c r="E92" s="43">
        <f>'KiGa - PS'!F93+'KiGa - PS'!K93*Artengliederung!D92</f>
        <v>571398.03271780373</v>
      </c>
      <c r="F92" s="365">
        <v>461185.25</v>
      </c>
      <c r="G92" s="43">
        <f>F92*'KiGa - PS'!L93</f>
        <v>363816.34252599586</v>
      </c>
      <c r="H92" s="42">
        <f t="shared" si="82"/>
        <v>0.63671262709032428</v>
      </c>
      <c r="I92" s="85">
        <f t="shared" si="83"/>
        <v>5124.1738383943075</v>
      </c>
      <c r="J92" s="365">
        <v>114948.45</v>
      </c>
      <c r="K92" s="43">
        <f>J92*'KiGa - PS'!L93</f>
        <v>90679.666485500798</v>
      </c>
      <c r="L92" s="42">
        <f t="shared" si="84"/>
        <v>0.15869789760071637</v>
      </c>
      <c r="M92" s="43">
        <f t="shared" si="85"/>
        <v>1277.1784012042367</v>
      </c>
      <c r="N92" s="365">
        <v>29229.95</v>
      </c>
      <c r="O92" s="43">
        <f>N92*'KiGa - PS'!L93</f>
        <v>23058.702552212442</v>
      </c>
      <c r="P92" s="42">
        <f t="shared" si="86"/>
        <v>4.0354886142214705E-2</v>
      </c>
      <c r="Q92" s="43">
        <f>O92/Funktional!C92</f>
        <v>7686.2341840708141</v>
      </c>
      <c r="R92" s="85">
        <f t="shared" si="87"/>
        <v>324.77045848186538</v>
      </c>
      <c r="S92" s="365">
        <v>15199.85</v>
      </c>
      <c r="T92" s="365">
        <v>41576.9</v>
      </c>
      <c r="U92" s="43">
        <f>T92*'KiGa - PS'!L93</f>
        <v>32798.871368000342</v>
      </c>
      <c r="V92" s="42">
        <f t="shared" si="88"/>
        <v>5.7401092565886935E-2</v>
      </c>
      <c r="W92" s="43">
        <f t="shared" si="89"/>
        <v>461.9559347605682</v>
      </c>
      <c r="X92" s="365">
        <v>41479.9</v>
      </c>
      <c r="Y92" s="43">
        <f>X92*'KiGa - PS'!L93</f>
        <v>32722.350739413407</v>
      </c>
      <c r="Z92" s="91">
        <f t="shared" si="90"/>
        <v>5.7267174308900694E-2</v>
      </c>
      <c r="AA92" s="365">
        <v>80081.55</v>
      </c>
      <c r="AB92" s="43">
        <f>AA92*'KiGa - PS'!L93</f>
        <v>63174.129321813016</v>
      </c>
      <c r="AC92" s="43">
        <f t="shared" si="91"/>
        <v>889.77646932131006</v>
      </c>
      <c r="AD92" s="42">
        <f t="shared" si="92"/>
        <v>0.11056063497686702</v>
      </c>
      <c r="AE92" s="365">
        <v>75999</v>
      </c>
      <c r="AF92" s="43">
        <f>AE92*'KiGa - PS'!L93</f>
        <v>59953.518061631767</v>
      </c>
      <c r="AG92" s="42">
        <f t="shared" si="93"/>
        <v>0.1049242640484221</v>
      </c>
      <c r="AH92" s="42">
        <f>AE92/'Kennzahlen Revision'!F92</f>
        <v>6.3829336920365312E-2</v>
      </c>
      <c r="AI92" s="97">
        <f t="shared" si="94"/>
        <v>3.6627747766205393E-2</v>
      </c>
      <c r="AJ92" s="365">
        <v>200271</v>
      </c>
      <c r="AK92" s="43">
        <f>AJ92*'KiGa - PS'!$L93</f>
        <v>157988.27636838716</v>
      </c>
      <c r="AL92" s="365">
        <v>208168</v>
      </c>
      <c r="AM92" s="43">
        <f>AL92*'KiGa - PS'!$L93</f>
        <v>164218.00218231505</v>
      </c>
      <c r="AN92" s="97">
        <f>(AK92+AM92)/Funktional!E92</f>
        <v>0.57934975617931206</v>
      </c>
    </row>
    <row r="93" spans="1:40" x14ac:dyDescent="0.25">
      <c r="A93" t="str">
        <f>Funktional!A93</f>
        <v>Rickenbach</v>
      </c>
      <c r="B93" t="str">
        <f>Funktional!B93</f>
        <v>PSG</v>
      </c>
      <c r="C93" s="43">
        <f>Funktional!D93</f>
        <v>193</v>
      </c>
      <c r="D93" s="43">
        <f>Funktional!J93-'KiGa - PS'!H94</f>
        <v>910447.40000000014</v>
      </c>
      <c r="E93" s="43">
        <f>'KiGa - PS'!F94+'KiGa - PS'!K94*Artengliederung!D93</f>
        <v>2093892.9305903146</v>
      </c>
      <c r="F93" s="365">
        <v>1578531.5</v>
      </c>
      <c r="G93" s="43">
        <f>F93*'KiGa - PS'!L94</f>
        <v>1325182.8954797937</v>
      </c>
      <c r="H93" s="42">
        <f t="shared" si="82"/>
        <v>0.63287997018366904</v>
      </c>
      <c r="I93" s="85">
        <f t="shared" si="83"/>
        <v>6866.232619066288</v>
      </c>
      <c r="J93" s="365">
        <v>371562.25</v>
      </c>
      <c r="K93" s="43">
        <f>J93*'KiGa - PS'!L94</f>
        <v>311927.85085757682</v>
      </c>
      <c r="L93" s="42">
        <f t="shared" si="84"/>
        <v>0.14897029657081726</v>
      </c>
      <c r="M93" s="43">
        <f t="shared" si="85"/>
        <v>1616.206481127341</v>
      </c>
      <c r="N93" s="365">
        <v>66561.55</v>
      </c>
      <c r="O93" s="43">
        <f>N93*'KiGa - PS'!L94</f>
        <v>55878.661627356225</v>
      </c>
      <c r="P93" s="42">
        <f t="shared" si="86"/>
        <v>2.6686494238080644E-2</v>
      </c>
      <c r="Q93" s="43">
        <f>O93/Funktional!C93</f>
        <v>5079.8783297596565</v>
      </c>
      <c r="R93" s="85">
        <f t="shared" si="87"/>
        <v>289.52674418319287</v>
      </c>
      <c r="S93" s="365">
        <v>27259.5</v>
      </c>
      <c r="T93" s="365">
        <v>63104.35</v>
      </c>
      <c r="U93" s="43">
        <f>T93*'KiGa - PS'!L94</f>
        <v>52976.329740882786</v>
      </c>
      <c r="V93" s="42">
        <f t="shared" si="88"/>
        <v>2.5300400496575337E-2</v>
      </c>
      <c r="W93" s="43">
        <f t="shared" si="89"/>
        <v>274.48875513410769</v>
      </c>
      <c r="X93" s="365">
        <v>60637.75</v>
      </c>
      <c r="Y93" s="43">
        <f>X93*'KiGa - PS'!L94</f>
        <v>50905.610132189227</v>
      </c>
      <c r="Z93" s="91">
        <f t="shared" si="90"/>
        <v>2.4311467596310102E-2</v>
      </c>
      <c r="AA93" s="365">
        <v>234353.95</v>
      </c>
      <c r="AB93" s="43">
        <f>AA93*'KiGa - PS'!L94</f>
        <v>196740.98744822439</v>
      </c>
      <c r="AC93" s="43">
        <f t="shared" si="91"/>
        <v>1019.3833546540124</v>
      </c>
      <c r="AD93" s="42">
        <f t="shared" si="92"/>
        <v>9.3959430577359448E-2</v>
      </c>
      <c r="AE93" s="365">
        <v>225537.8</v>
      </c>
      <c r="AF93" s="43">
        <f>AE93*'KiGa - PS'!L94</f>
        <v>189339.7976816697</v>
      </c>
      <c r="AG93" s="42">
        <f t="shared" si="93"/>
        <v>9.0424775266942925E-2</v>
      </c>
      <c r="AH93" s="42">
        <f>AE93/'Kennzahlen Revision'!F93</f>
        <v>0.13706288521585458</v>
      </c>
      <c r="AI93" s="97">
        <f t="shared" si="94"/>
        <v>9.8889902171578919E-2</v>
      </c>
      <c r="AJ93" s="365">
        <v>109692.3</v>
      </c>
      <c r="AK93" s="43">
        <f>AJ93*'KiGa - PS'!$L94</f>
        <v>92087.082028985911</v>
      </c>
      <c r="AL93" s="365">
        <v>0</v>
      </c>
      <c r="AM93" s="43">
        <f>AL93*'KiGa - PS'!$L94</f>
        <v>0</v>
      </c>
      <c r="AN93" s="97">
        <f>(AK93+AM93)/Funktional!E93</f>
        <v>4.7947291169261462E-2</v>
      </c>
    </row>
    <row r="94" spans="1:40" x14ac:dyDescent="0.25">
      <c r="A94" t="str">
        <f>Funktional!A94</f>
        <v>Ringenzeichen</v>
      </c>
      <c r="B94" t="str">
        <f>Funktional!B94</f>
        <v>PSG</v>
      </c>
      <c r="C94" s="43">
        <f>Funktional!D94</f>
        <v>40</v>
      </c>
      <c r="D94" s="43">
        <f>Funktional!J94-'KiGa - PS'!H95</f>
        <v>131077.89999999997</v>
      </c>
      <c r="E94" s="43">
        <f>'KiGa - PS'!F95+'KiGa - PS'!K95*Artengliederung!D94</f>
        <v>405059.80982228939</v>
      </c>
      <c r="F94" s="365">
        <v>272764.15000000002</v>
      </c>
      <c r="G94" s="43">
        <f>F94*'KiGa - PS'!L95</f>
        <v>272764.15000000002</v>
      </c>
      <c r="H94" s="42">
        <f t="shared" ref="H94:H101" si="95">G94/$E94</f>
        <v>0.67339228278329799</v>
      </c>
      <c r="I94" s="85">
        <f t="shared" ref="I94:I101" si="96">G94/C94</f>
        <v>6819.1037500000002</v>
      </c>
      <c r="J94" s="365">
        <v>77456.45</v>
      </c>
      <c r="K94" s="43">
        <f>J94*'KiGa - PS'!L95</f>
        <v>77456.45</v>
      </c>
      <c r="L94" s="42">
        <f t="shared" ref="L94:L101" si="97">K94/$E94</f>
        <v>0.19122225439739929</v>
      </c>
      <c r="M94" s="43">
        <f t="shared" ref="M94:M101" si="98">K94/C94</f>
        <v>1936.4112499999999</v>
      </c>
      <c r="N94" s="365">
        <v>15434.9</v>
      </c>
      <c r="O94" s="43">
        <f>N94*'KiGa - PS'!L95</f>
        <v>15434.9</v>
      </c>
      <c r="P94" s="42">
        <f t="shared" ref="P94:P101" si="99">O94/$E94</f>
        <v>3.8105236870504891E-2</v>
      </c>
      <c r="Q94" s="43">
        <f>O94/Funktional!C94</f>
        <v>7717.45</v>
      </c>
      <c r="R94" s="85">
        <f t="shared" ref="R94:R101" si="100">O94/C94</f>
        <v>385.8725</v>
      </c>
      <c r="S94" s="365">
        <v>5535.2</v>
      </c>
      <c r="T94" s="365">
        <v>16097.8</v>
      </c>
      <c r="U94" s="43">
        <f>T94*'KiGa - PS'!L95</f>
        <v>16097.8</v>
      </c>
      <c r="V94" s="42">
        <f t="shared" ref="V94:V101" si="101">U94/$E94</f>
        <v>3.974178531082246E-2</v>
      </c>
      <c r="W94" s="43">
        <f t="shared" ref="W94:W101" si="102">U94/C94</f>
        <v>402.44499999999999</v>
      </c>
      <c r="X94" s="365">
        <v>13517</v>
      </c>
      <c r="Y94" s="43">
        <f>X94*'KiGa - PS'!L95</f>
        <v>13517</v>
      </c>
      <c r="Z94" s="91">
        <f t="shared" ref="Z94:Z101" si="103">Y94/$E94</f>
        <v>3.337038055177647E-2</v>
      </c>
      <c r="AA94" s="365">
        <v>8571.85</v>
      </c>
      <c r="AB94" s="43">
        <f>AA94*'KiGa - PS'!L95</f>
        <v>8571.85</v>
      </c>
      <c r="AC94" s="43">
        <f t="shared" ref="AC94:AC101" si="104">AB94/C94</f>
        <v>214.29625000000001</v>
      </c>
      <c r="AD94" s="42">
        <f t="shared" ref="AD94:AD101" si="105">AB94/$E94</f>
        <v>2.1161936563789681E-2</v>
      </c>
      <c r="AE94" s="365">
        <v>8300</v>
      </c>
      <c r="AF94" s="43">
        <f>AE94*'KiGa - PS'!L95</f>
        <v>8300</v>
      </c>
      <c r="AG94" s="42">
        <f t="shared" ref="AG94:AG101" si="106">AF94/$E94</f>
        <v>2.0490801108215186E-2</v>
      </c>
      <c r="AH94" s="42">
        <f>AE94/'Kennzahlen Revision'!F94</f>
        <v>6.4142194744976816E-2</v>
      </c>
      <c r="AI94" s="97">
        <f t="shared" ref="AI94:AI95" si="107">1-H94-L94-V94-AD94</f>
        <v>7.4481740944690594E-2</v>
      </c>
      <c r="AJ94" s="365">
        <v>13153</v>
      </c>
      <c r="AK94" s="43">
        <f>AJ94*'KiGa - PS'!$L95</f>
        <v>13153</v>
      </c>
      <c r="AL94" s="365">
        <v>0</v>
      </c>
      <c r="AM94" s="43">
        <f>AL94*'KiGa - PS'!$L95</f>
        <v>0</v>
      </c>
      <c r="AN94" s="97">
        <f>(AK94+AM94)/Funktional!E94</f>
        <v>3.3582261988622422E-2</v>
      </c>
    </row>
    <row r="95" spans="1:40" x14ac:dyDescent="0.25">
      <c r="A95" t="str">
        <f>Funktional!A95</f>
        <v>Romanshorn</v>
      </c>
      <c r="B95" t="str">
        <f>Funktional!B95</f>
        <v>PSG</v>
      </c>
      <c r="C95" s="43">
        <f>Funktional!D95</f>
        <v>748</v>
      </c>
      <c r="D95" s="43">
        <f>Funktional!J95-'KiGa - PS'!H96</f>
        <v>3344534.5899999989</v>
      </c>
      <c r="E95" s="43">
        <f>'KiGa - PS'!F96+'KiGa - PS'!K96*Artengliederung!D95</f>
        <v>7416703.2299512476</v>
      </c>
      <c r="F95" s="365">
        <v>5357653.7</v>
      </c>
      <c r="G95" s="43">
        <f>F95*'KiGa - PS'!L96</f>
        <v>4719694.7640742147</v>
      </c>
      <c r="H95" s="42">
        <f t="shared" si="95"/>
        <v>0.63636020179618791</v>
      </c>
      <c r="I95" s="85">
        <f t="shared" si="96"/>
        <v>6309.7523583879874</v>
      </c>
      <c r="J95" s="365">
        <v>952052.3</v>
      </c>
      <c r="K95" s="43">
        <f>J95*'KiGa - PS'!L96</f>
        <v>838687.32602758799</v>
      </c>
      <c r="L95" s="42">
        <f t="shared" si="97"/>
        <v>0.11308087974191479</v>
      </c>
      <c r="M95" s="43">
        <f t="shared" si="98"/>
        <v>1121.2397406785935</v>
      </c>
      <c r="N95" s="365">
        <v>206215.05</v>
      </c>
      <c r="O95" s="43">
        <f>N95*'KiGa - PS'!L96</f>
        <v>181660.13450221732</v>
      </c>
      <c r="P95" s="42">
        <f t="shared" si="99"/>
        <v>2.449338053174489E-2</v>
      </c>
      <c r="Q95" s="43">
        <f>O95/Funktional!C95</f>
        <v>4976.9899863621185</v>
      </c>
      <c r="R95" s="85">
        <f t="shared" si="100"/>
        <v>242.86114238264346</v>
      </c>
      <c r="S95" s="365">
        <v>61744.1</v>
      </c>
      <c r="T95" s="365">
        <v>425725.75</v>
      </c>
      <c r="U95" s="43">
        <f>T95*'KiGa - PS'!L96</f>
        <v>375032.74860907265</v>
      </c>
      <c r="V95" s="42">
        <f t="shared" si="101"/>
        <v>5.0565964011416678E-2</v>
      </c>
      <c r="W95" s="43">
        <f t="shared" si="102"/>
        <v>501.38067995865327</v>
      </c>
      <c r="X95" s="365">
        <v>315396.3</v>
      </c>
      <c r="Y95" s="43">
        <f>X95*'KiGa - PS'!L96</f>
        <v>277840.70211898541</v>
      </c>
      <c r="Z95" s="91">
        <f t="shared" si="103"/>
        <v>3.7461483020780346E-2</v>
      </c>
      <c r="AA95" s="365">
        <v>601650.79</v>
      </c>
      <c r="AB95" s="43">
        <f>AA95*'KiGa - PS'!L96</f>
        <v>530009.63525584247</v>
      </c>
      <c r="AC95" s="43">
        <f t="shared" si="104"/>
        <v>708.56903109069845</v>
      </c>
      <c r="AD95" s="42">
        <f t="shared" si="105"/>
        <v>7.1461620995630207E-2</v>
      </c>
      <c r="AE95" s="365">
        <v>426194</v>
      </c>
      <c r="AF95" s="43">
        <f>AE95*'KiGa - PS'!L96</f>
        <v>375445.24206180882</v>
      </c>
      <c r="AG95" s="42">
        <f t="shared" si="106"/>
        <v>5.0621580831983315E-2</v>
      </c>
      <c r="AH95" s="42">
        <f>AE95/'Kennzahlen Revision'!F95</f>
        <v>6.4349652974286006E-2</v>
      </c>
      <c r="AI95" s="97">
        <f t="shared" si="107"/>
        <v>0.12853133345485046</v>
      </c>
      <c r="AJ95" s="365">
        <v>335651.4</v>
      </c>
      <c r="AK95" s="43">
        <f>AJ95*'KiGa - PS'!$L96</f>
        <v>295683.93999301968</v>
      </c>
      <c r="AL95" s="365">
        <v>0</v>
      </c>
      <c r="AM95" s="43">
        <f>AL95*'KiGa - PS'!$L96</f>
        <v>0</v>
      </c>
      <c r="AN95" s="97">
        <f>(AK95+AM95)/Funktional!E95</f>
        <v>4.4091725597379935E-2</v>
      </c>
    </row>
    <row r="96" spans="1:40" x14ac:dyDescent="0.25">
      <c r="A96" t="str">
        <f>Funktional!A96</f>
        <v>Salenstein</v>
      </c>
      <c r="B96" t="str">
        <f>Funktional!B96</f>
        <v>PSG</v>
      </c>
      <c r="C96" s="43">
        <f>Funktional!D96</f>
        <v>69</v>
      </c>
      <c r="D96" s="43">
        <f>Funktional!J96-'KiGa - PS'!H97</f>
        <v>869327.8</v>
      </c>
      <c r="E96" s="43">
        <f>'KiGa - PS'!F97+'KiGa - PS'!K97*Artengliederung!D96</f>
        <v>1347394.1371289771</v>
      </c>
      <c r="F96" s="365">
        <v>708996.05</v>
      </c>
      <c r="G96" s="43">
        <f>F96*'KiGa - PS'!L97</f>
        <v>614522.13588519557</v>
      </c>
      <c r="H96" s="42">
        <f t="shared" si="95"/>
        <v>0.45608194287873127</v>
      </c>
      <c r="I96" s="85">
        <f t="shared" si="96"/>
        <v>8906.1179113796461</v>
      </c>
      <c r="J96" s="365">
        <v>186075.05</v>
      </c>
      <c r="K96" s="43">
        <f>J96*'KiGa - PS'!L97</f>
        <v>161280.49960355146</v>
      </c>
      <c r="L96" s="42">
        <f t="shared" si="97"/>
        <v>0.11969808622383307</v>
      </c>
      <c r="M96" s="43">
        <f t="shared" si="98"/>
        <v>2337.3985449790066</v>
      </c>
      <c r="N96" s="365">
        <v>33384.85</v>
      </c>
      <c r="O96" s="43">
        <f>N96*'KiGa - PS'!L97</f>
        <v>28936.309769577518</v>
      </c>
      <c r="P96" s="42">
        <f t="shared" si="99"/>
        <v>2.1475757517570106E-2</v>
      </c>
      <c r="Q96" s="43">
        <f>O96/Funktional!C96</f>
        <v>7234.0774423943794</v>
      </c>
      <c r="R96" s="85">
        <f t="shared" si="100"/>
        <v>419.36680825474662</v>
      </c>
      <c r="S96" s="365">
        <v>32252.9</v>
      </c>
      <c r="T96" s="365">
        <v>162810</v>
      </c>
      <c r="U96" s="43">
        <f>T96*'KiGa - PS'!L97</f>
        <v>141115.52376556781</v>
      </c>
      <c r="V96" s="42">
        <f t="shared" si="101"/>
        <v>0.10473217886063857</v>
      </c>
      <c r="W96" s="43">
        <f t="shared" si="102"/>
        <v>2045.1525183415624</v>
      </c>
      <c r="X96" s="365">
        <v>162810</v>
      </c>
      <c r="Y96" s="43">
        <f>X96*'KiGa - PS'!L97</f>
        <v>141115.52376556781</v>
      </c>
      <c r="Z96" s="91">
        <f t="shared" si="103"/>
        <v>0.10473217886063857</v>
      </c>
      <c r="AA96" s="365">
        <v>400200</v>
      </c>
      <c r="AB96" s="43">
        <f>AA96*'KiGa - PS'!L97</f>
        <v>346873.24249726819</v>
      </c>
      <c r="AC96" s="43">
        <f t="shared" si="104"/>
        <v>5027.1484419893941</v>
      </c>
      <c r="AD96" s="42">
        <f t="shared" si="105"/>
        <v>0.25744007112602146</v>
      </c>
      <c r="AE96" s="365">
        <v>400200</v>
      </c>
      <c r="AF96" s="43">
        <f>AE96*'KiGa - PS'!L97</f>
        <v>346873.24249726819</v>
      </c>
      <c r="AG96" s="42">
        <f t="shared" si="106"/>
        <v>0.25744007112602146</v>
      </c>
      <c r="AH96" s="42">
        <f>AE96/'Kennzahlen Revision'!F96</f>
        <v>7.248498037671107E-2</v>
      </c>
      <c r="AI96" s="97">
        <f t="shared" ref="AI96:AI108" si="108">1-H96-L96-V96-AD96</f>
        <v>6.204772091077565E-2</v>
      </c>
      <c r="AJ96" s="365">
        <v>2944</v>
      </c>
      <c r="AK96" s="43">
        <f>AJ96*'KiGa - PS'!$L97</f>
        <v>2551.7112091753061</v>
      </c>
      <c r="AL96" s="365">
        <v>0</v>
      </c>
      <c r="AM96" s="43">
        <f>AL96*'KiGa - PS'!$L97</f>
        <v>0</v>
      </c>
      <c r="AN96" s="97">
        <f>(AK96+AM96)/Funktional!E96</f>
        <v>1.9794291989137748E-3</v>
      </c>
    </row>
    <row r="97" spans="1:40" x14ac:dyDescent="0.25">
      <c r="A97" t="str">
        <f>Funktional!A97</f>
        <v>Salmsach-Hungerbühl</v>
      </c>
      <c r="B97" t="str">
        <f>Funktional!B97</f>
        <v>PSG</v>
      </c>
      <c r="C97" s="43">
        <f>Funktional!D97</f>
        <v>107</v>
      </c>
      <c r="D97" s="43">
        <f>Funktional!J97-'KiGa - PS'!H98</f>
        <v>520821.55000000005</v>
      </c>
      <c r="E97" s="43">
        <f>'KiGa - PS'!F98+'KiGa - PS'!K98*Artengliederung!D97</f>
        <v>1159725.9160117384</v>
      </c>
      <c r="F97" s="365">
        <v>1014568.6</v>
      </c>
      <c r="G97" s="43">
        <f>F97*'KiGa - PS'!L98</f>
        <v>809888.37255763903</v>
      </c>
      <c r="H97" s="42">
        <f t="shared" si="95"/>
        <v>0.69834463589709206</v>
      </c>
      <c r="I97" s="85">
        <f t="shared" si="96"/>
        <v>7569.0502108190567</v>
      </c>
      <c r="J97" s="365">
        <v>203806.1</v>
      </c>
      <c r="K97" s="43">
        <f>J97*'KiGa - PS'!L98</f>
        <v>162690.0247517215</v>
      </c>
      <c r="L97" s="42">
        <f t="shared" si="97"/>
        <v>0.14028316734630497</v>
      </c>
      <c r="M97" s="43">
        <f t="shared" si="98"/>
        <v>1520.4675210441262</v>
      </c>
      <c r="N97" s="365">
        <v>53059.05</v>
      </c>
      <c r="O97" s="43">
        <f>N97*'KiGa - PS'!L98</f>
        <v>42354.856688797976</v>
      </c>
      <c r="P97" s="42">
        <f t="shared" si="99"/>
        <v>3.6521436749861573E-2</v>
      </c>
      <c r="Q97" s="43">
        <f>O97/Funktional!C97</f>
        <v>8470.9713377595945</v>
      </c>
      <c r="R97" s="85">
        <f t="shared" si="100"/>
        <v>395.83978213829886</v>
      </c>
      <c r="S97" s="365">
        <v>19655.3</v>
      </c>
      <c r="T97" s="365">
        <v>112833.3</v>
      </c>
      <c r="U97" s="43">
        <f>T97*'KiGa - PS'!L98</f>
        <v>90070.181264537314</v>
      </c>
      <c r="V97" s="42">
        <f t="shared" si="101"/>
        <v>7.766505863237573E-2</v>
      </c>
      <c r="W97" s="43">
        <f t="shared" si="102"/>
        <v>841.77739499567588</v>
      </c>
      <c r="X97" s="365">
        <v>110937.5</v>
      </c>
      <c r="Y97" s="43">
        <f>X97*'KiGa - PS'!L98</f>
        <v>88556.842120496411</v>
      </c>
      <c r="Z97" s="91">
        <f t="shared" si="103"/>
        <v>7.6360147598529715E-2</v>
      </c>
      <c r="AA97" s="365">
        <v>87486</v>
      </c>
      <c r="AB97" s="43">
        <f>AA97*'KiGa - PS'!L98</f>
        <v>69836.474499188727</v>
      </c>
      <c r="AC97" s="43">
        <f t="shared" si="104"/>
        <v>652.67733176811896</v>
      </c>
      <c r="AD97" s="42">
        <f t="shared" si="105"/>
        <v>6.0218085614016634E-2</v>
      </c>
      <c r="AE97" s="365">
        <v>87486</v>
      </c>
      <c r="AF97" s="43">
        <f>AE97*'KiGa - PS'!L98</f>
        <v>69836.474499188727</v>
      </c>
      <c r="AG97" s="42">
        <f t="shared" si="106"/>
        <v>6.0218085614016634E-2</v>
      </c>
      <c r="AH97" s="42">
        <f>AE97/'Kennzahlen Revision'!F97</f>
        <v>6.2853750366810318E-2</v>
      </c>
      <c r="AI97" s="97">
        <f t="shared" si="108"/>
        <v>2.3489052510210606E-2</v>
      </c>
      <c r="AJ97" s="365">
        <v>328062</v>
      </c>
      <c r="AK97" s="43">
        <f>AJ97*'KiGa - PS'!$L98</f>
        <v>261878.39765394293</v>
      </c>
      <c r="AL97" s="365">
        <v>45480</v>
      </c>
      <c r="AM97" s="43">
        <f>AL97*'KiGa - PS'!$L98</f>
        <v>36304.812886897365</v>
      </c>
      <c r="AN97" s="97">
        <f>(AK97+AM97)/Funktional!E97</f>
        <v>0.25797670452581489</v>
      </c>
    </row>
    <row r="98" spans="1:40" x14ac:dyDescent="0.25">
      <c r="A98" t="str">
        <f>Funktional!A98</f>
        <v>Scherzingen</v>
      </c>
      <c r="B98" t="str">
        <f>Funktional!B98</f>
        <v>PSG</v>
      </c>
      <c r="C98" s="43">
        <f>Funktional!D98</f>
        <v>112</v>
      </c>
      <c r="D98" s="43">
        <f>Funktional!J98-'KiGa - PS'!H99</f>
        <v>575225.40000000014</v>
      </c>
      <c r="E98" s="43">
        <f>'KiGa - PS'!F99+'KiGa - PS'!K99*Artengliederung!D98</f>
        <v>1433498.6652338516</v>
      </c>
      <c r="F98" s="365">
        <v>1140256.5</v>
      </c>
      <c r="G98" s="43">
        <f>F98*'KiGa - PS'!L99</f>
        <v>971278.05803724623</v>
      </c>
      <c r="H98" s="42">
        <f t="shared" si="95"/>
        <v>0.67755769962910861</v>
      </c>
      <c r="I98" s="85">
        <f t="shared" si="96"/>
        <v>8672.1255181896977</v>
      </c>
      <c r="J98" s="365">
        <v>187690.45</v>
      </c>
      <c r="K98" s="43">
        <f>J98*'KiGa - PS'!L99</f>
        <v>159875.97158019873</v>
      </c>
      <c r="L98" s="42">
        <f t="shared" si="97"/>
        <v>0.11152851094850347</v>
      </c>
      <c r="M98" s="43">
        <f t="shared" si="98"/>
        <v>1427.46403196606</v>
      </c>
      <c r="N98" s="365">
        <v>44482.75</v>
      </c>
      <c r="O98" s="43">
        <f>N98*'KiGa - PS'!L99</f>
        <v>37890.701816789748</v>
      </c>
      <c r="P98" s="42">
        <f t="shared" si="99"/>
        <v>2.6432324449083812E-2</v>
      </c>
      <c r="Q98" s="43">
        <f>O98/Funktional!C98</f>
        <v>5829.3387410445766</v>
      </c>
      <c r="R98" s="85">
        <f t="shared" si="100"/>
        <v>338.30983764990845</v>
      </c>
      <c r="S98" s="365">
        <v>10965.5</v>
      </c>
      <c r="T98" s="365">
        <v>99444.65</v>
      </c>
      <c r="U98" s="43">
        <f>T98*'KiGa - PS'!L99</f>
        <v>84707.613185448747</v>
      </c>
      <c r="V98" s="42">
        <f t="shared" si="101"/>
        <v>5.909151870164462E-2</v>
      </c>
      <c r="W98" s="43">
        <f t="shared" si="102"/>
        <v>756.31797487007805</v>
      </c>
      <c r="X98" s="365">
        <v>88813.95</v>
      </c>
      <c r="Y98" s="43">
        <f>X98*'KiGa - PS'!L99</f>
        <v>75652.312337282958</v>
      </c>
      <c r="Z98" s="91">
        <f t="shared" si="103"/>
        <v>5.2774595590531319E-2</v>
      </c>
      <c r="AA98" s="365">
        <v>98409.7</v>
      </c>
      <c r="AB98" s="43">
        <f>AA98*'KiGa - PS'!L99</f>
        <v>83826.03590334981</v>
      </c>
      <c r="AC98" s="43">
        <f t="shared" si="104"/>
        <v>748.44674913705182</v>
      </c>
      <c r="AD98" s="42">
        <f t="shared" si="105"/>
        <v>5.8476535720858154E-2</v>
      </c>
      <c r="AE98" s="365">
        <v>91293.15</v>
      </c>
      <c r="AF98" s="43">
        <f>AE98*'KiGa - PS'!L99</f>
        <v>77764.111359245071</v>
      </c>
      <c r="AG98" s="42">
        <f t="shared" si="106"/>
        <v>5.4247773817465775E-2</v>
      </c>
      <c r="AH98" s="42">
        <f>AE98/'Kennzahlen Revision'!F98</f>
        <v>6.1365245924383201E-2</v>
      </c>
      <c r="AI98" s="97">
        <f t="shared" si="108"/>
        <v>9.334573499988516E-2</v>
      </c>
      <c r="AJ98" s="365">
        <v>108454</v>
      </c>
      <c r="AK98" s="43">
        <f>AJ98*'KiGa - PS'!$L99</f>
        <v>92381.837337802062</v>
      </c>
      <c r="AL98" s="365">
        <v>0</v>
      </c>
      <c r="AM98" s="43">
        <f>AL98*'KiGa - PS'!$L99</f>
        <v>0</v>
      </c>
      <c r="AN98" s="97">
        <f>(AK98+AM98)/Funktional!E98</f>
        <v>6.9969340752799106E-2</v>
      </c>
    </row>
    <row r="99" spans="1:40" x14ac:dyDescent="0.25">
      <c r="A99" t="str">
        <f>Funktional!A99</f>
        <v>Schlatt</v>
      </c>
      <c r="B99" t="str">
        <f>Funktional!B99</f>
        <v>PSG</v>
      </c>
      <c r="C99" s="43">
        <f>Funktional!D99</f>
        <v>124</v>
      </c>
      <c r="D99" s="43">
        <f>Funktional!J99-'KiGa - PS'!H100</f>
        <v>1080024.2000000002</v>
      </c>
      <c r="E99" s="43">
        <f>'KiGa - PS'!F100+'KiGa - PS'!K100*Artengliederung!D99</f>
        <v>1563069.2045457838</v>
      </c>
      <c r="F99" s="365">
        <v>1108667.1000000001</v>
      </c>
      <c r="G99" s="43">
        <f>F99*'KiGa - PS'!L100</f>
        <v>850795.22164972406</v>
      </c>
      <c r="H99" s="42">
        <f t="shared" si="95"/>
        <v>0.54431065443257753</v>
      </c>
      <c r="I99" s="85">
        <f t="shared" si="96"/>
        <v>6861.2517874977748</v>
      </c>
      <c r="J99" s="365">
        <v>271995.25</v>
      </c>
      <c r="K99" s="43">
        <f>J99*'KiGa - PS'!L100</f>
        <v>208730.15805323535</v>
      </c>
      <c r="L99" s="42">
        <f t="shared" si="97"/>
        <v>0.13353865423629196</v>
      </c>
      <c r="M99" s="43">
        <f t="shared" si="98"/>
        <v>1683.307726235769</v>
      </c>
      <c r="N99" s="365">
        <v>62364.35</v>
      </c>
      <c r="O99" s="43">
        <f>N99*'KiGa - PS'!L100</f>
        <v>47858.632209155447</v>
      </c>
      <c r="P99" s="42">
        <f t="shared" si="99"/>
        <v>3.0618370619785069E-2</v>
      </c>
      <c r="Q99" s="43">
        <f>O99/Funktional!C99</f>
        <v>7976.4387015259081</v>
      </c>
      <c r="R99" s="85">
        <f t="shared" si="100"/>
        <v>385.95671136415683</v>
      </c>
      <c r="S99" s="365">
        <v>10557.7</v>
      </c>
      <c r="T99" s="365">
        <v>130159.7</v>
      </c>
      <c r="U99" s="43">
        <f>T99*'KiGa - PS'!L100</f>
        <v>99885.033849531188</v>
      </c>
      <c r="V99" s="42">
        <f t="shared" si="101"/>
        <v>6.3903142329873375E-2</v>
      </c>
      <c r="W99" s="43">
        <f t="shared" si="102"/>
        <v>805.52446652847732</v>
      </c>
      <c r="X99" s="365">
        <v>123389.55</v>
      </c>
      <c r="Y99" s="43">
        <f>X99*'KiGa - PS'!L100</f>
        <v>94689.595769108419</v>
      </c>
      <c r="Z99" s="91">
        <f t="shared" si="103"/>
        <v>6.0579272813851198E-2</v>
      </c>
      <c r="AA99" s="365">
        <v>347380.5</v>
      </c>
      <c r="AB99" s="43">
        <f>AA99*'KiGa - PS'!L100</f>
        <v>266581.0769475273</v>
      </c>
      <c r="AC99" s="43">
        <f t="shared" si="104"/>
        <v>2149.8473947381235</v>
      </c>
      <c r="AD99" s="42">
        <f t="shared" si="105"/>
        <v>0.17054975951944096</v>
      </c>
      <c r="AE99" s="365">
        <v>344062.75</v>
      </c>
      <c r="AF99" s="43">
        <f>AE99*'KiGa - PS'!L100</f>
        <v>264035.02336063149</v>
      </c>
      <c r="AG99" s="42">
        <f t="shared" si="106"/>
        <v>0.16892087861033517</v>
      </c>
      <c r="AH99" s="42">
        <f>AE99/'Kennzahlen Revision'!F99</f>
        <v>9.9050740139699403E-2</v>
      </c>
      <c r="AI99" s="97">
        <f t="shared" si="108"/>
        <v>8.7697789481816169E-2</v>
      </c>
      <c r="AJ99" s="365">
        <v>319427</v>
      </c>
      <c r="AK99" s="43">
        <f>AJ99*'KiGa - PS'!$L100</f>
        <v>245129.45794630903</v>
      </c>
      <c r="AL99" s="365">
        <v>0</v>
      </c>
      <c r="AM99" s="43">
        <f>AL99*'KiGa - PS'!$L100</f>
        <v>0</v>
      </c>
      <c r="AN99" s="97">
        <f>(AK99+AM99)/Funktional!E99</f>
        <v>0.16885006570138653</v>
      </c>
    </row>
    <row r="100" spans="1:40" x14ac:dyDescent="0.25">
      <c r="A100" t="str">
        <f>Funktional!A100</f>
        <v>Schlattingen</v>
      </c>
      <c r="B100" t="str">
        <f>Funktional!B100</f>
        <v>PSG</v>
      </c>
      <c r="C100" s="43">
        <f>Funktional!D100</f>
        <v>54</v>
      </c>
      <c r="D100" s="43">
        <f>Funktional!J100-'KiGa - PS'!H101</f>
        <v>253389</v>
      </c>
      <c r="E100" s="43">
        <f>'KiGa - PS'!F101+'KiGa - PS'!K101*Artengliederung!D100</f>
        <v>652240.18370786647</v>
      </c>
      <c r="F100" s="365">
        <v>554529.25</v>
      </c>
      <c r="G100" s="43">
        <f>F100*'KiGa - PS'!L101</f>
        <v>457782.09110625519</v>
      </c>
      <c r="H100" s="42">
        <f t="shared" si="95"/>
        <v>0.70186122005523721</v>
      </c>
      <c r="I100" s="85">
        <f t="shared" si="96"/>
        <v>8477.4461315973185</v>
      </c>
      <c r="J100" s="365">
        <v>118652.25</v>
      </c>
      <c r="K100" s="43">
        <f>J100*'KiGa - PS'!L101</f>
        <v>97951.32559637235</v>
      </c>
      <c r="L100" s="42">
        <f t="shared" si="97"/>
        <v>0.15017677236556776</v>
      </c>
      <c r="M100" s="43">
        <f t="shared" si="98"/>
        <v>1813.9134369698584</v>
      </c>
      <c r="N100" s="365">
        <v>34841.9</v>
      </c>
      <c r="O100" s="43">
        <f>N100*'KiGa - PS'!L101</f>
        <v>28763.131683522613</v>
      </c>
      <c r="P100" s="42">
        <f t="shared" si="99"/>
        <v>4.409898746196448E-2</v>
      </c>
      <c r="Q100" s="43">
        <f>O100/Funktional!C100</f>
        <v>11505.252673409046</v>
      </c>
      <c r="R100" s="85">
        <f t="shared" si="100"/>
        <v>532.65058673190026</v>
      </c>
      <c r="S100" s="365">
        <v>5022.5</v>
      </c>
      <c r="T100" s="365">
        <v>41538.9</v>
      </c>
      <c r="U100" s="43">
        <f>T100*'KiGa - PS'!L101</f>
        <v>34291.724925698007</v>
      </c>
      <c r="V100" s="42">
        <f t="shared" si="101"/>
        <v>5.2575302445727591E-2</v>
      </c>
      <c r="W100" s="43">
        <f t="shared" si="102"/>
        <v>635.03194306848161</v>
      </c>
      <c r="X100" s="365">
        <v>41538.9</v>
      </c>
      <c r="Y100" s="43">
        <f>X100*'KiGa - PS'!L101</f>
        <v>34291.724925698007</v>
      </c>
      <c r="Z100" s="91">
        <f t="shared" si="103"/>
        <v>5.2575302445727591E-2</v>
      </c>
      <c r="AA100" s="365">
        <v>55011</v>
      </c>
      <c r="AB100" s="43">
        <f>AA100*'KiGa - PS'!L101</f>
        <v>45413.385522668468</v>
      </c>
      <c r="AC100" s="43">
        <f t="shared" si="104"/>
        <v>840.9886207901568</v>
      </c>
      <c r="AD100" s="42">
        <f t="shared" si="105"/>
        <v>6.9626782674599499E-2</v>
      </c>
      <c r="AE100" s="365">
        <v>51631</v>
      </c>
      <c r="AF100" s="43">
        <f>AE100*'KiGa - PS'!L101</f>
        <v>42623.084618001776</v>
      </c>
      <c r="AG100" s="42">
        <f t="shared" si="106"/>
        <v>6.5348755999204644E-2</v>
      </c>
      <c r="AH100" s="42">
        <f>AE100/'Kennzahlen Revision'!F100</f>
        <v>5.6376423427984858E-2</v>
      </c>
      <c r="AI100" s="97">
        <f t="shared" si="108"/>
        <v>2.5759922458867948E-2</v>
      </c>
      <c r="AJ100" s="365">
        <v>248379</v>
      </c>
      <c r="AK100" s="43">
        <f>AJ100*'KiGa - PS'!$L101</f>
        <v>205045.01431958828</v>
      </c>
      <c r="AL100" s="365">
        <v>84342</v>
      </c>
      <c r="AM100" s="43">
        <f>AL100*'KiGa - PS'!$L101</f>
        <v>69627.088432366319</v>
      </c>
      <c r="AN100" s="97">
        <f>(AK100+AM100)/Funktional!E100</f>
        <v>0.42537052970438161</v>
      </c>
    </row>
    <row r="101" spans="1:40" x14ac:dyDescent="0.25">
      <c r="A101" t="str">
        <f>Funktional!A101</f>
        <v>Schmidshof</v>
      </c>
      <c r="B101" t="str">
        <f>Funktional!B101</f>
        <v>PSG</v>
      </c>
      <c r="C101" s="43">
        <f>Funktional!D101</f>
        <v>21</v>
      </c>
      <c r="D101" s="43">
        <f>Funktional!J101-'KiGa - PS'!H102</f>
        <v>160698.20000000004</v>
      </c>
      <c r="E101" s="43">
        <f>'KiGa - PS'!F102+'KiGa - PS'!K102*Artengliederung!D101</f>
        <v>313061.3511822088</v>
      </c>
      <c r="F101" s="365">
        <v>168435.05</v>
      </c>
      <c r="G101" s="43">
        <f>F101*'KiGa - PS'!L102</f>
        <v>168435.05</v>
      </c>
      <c r="H101" s="42">
        <f t="shared" si="95"/>
        <v>0.53802569165417991</v>
      </c>
      <c r="I101" s="85">
        <f t="shared" si="96"/>
        <v>8020.7166666666662</v>
      </c>
      <c r="J101" s="365">
        <v>32677.8</v>
      </c>
      <c r="K101" s="43">
        <f>J101*'KiGa - PS'!L102</f>
        <v>32677.8</v>
      </c>
      <c r="L101" s="42">
        <f t="shared" si="97"/>
        <v>0.10438145710608902</v>
      </c>
      <c r="M101" s="43">
        <f t="shared" si="98"/>
        <v>1556.0857142857142</v>
      </c>
      <c r="N101" s="365">
        <v>5516.25</v>
      </c>
      <c r="O101" s="43">
        <f>N101*'KiGa - PS'!L102</f>
        <v>5516.25</v>
      </c>
      <c r="P101" s="42">
        <f t="shared" si="99"/>
        <v>1.7620348149553017E-2</v>
      </c>
      <c r="Q101" s="43">
        <f>O101/Funktional!C101</f>
        <v>5516.25</v>
      </c>
      <c r="R101" s="85">
        <f t="shared" si="100"/>
        <v>262.67857142857144</v>
      </c>
      <c r="S101" s="365">
        <v>5178.25</v>
      </c>
      <c r="T101" s="365">
        <v>34934.300000000003</v>
      </c>
      <c r="U101" s="43">
        <f>T101*'KiGa - PS'!L102</f>
        <v>34934.300000000003</v>
      </c>
      <c r="V101" s="42">
        <f t="shared" si="101"/>
        <v>0.11158930946946385</v>
      </c>
      <c r="W101" s="43">
        <f t="shared" si="102"/>
        <v>1663.5380952380954</v>
      </c>
      <c r="X101" s="365">
        <v>33785.15</v>
      </c>
      <c r="Y101" s="43">
        <f>X101*'KiGa - PS'!L102</f>
        <v>33785.15</v>
      </c>
      <c r="Z101" s="91">
        <f t="shared" si="103"/>
        <v>0.10791862321049103</v>
      </c>
      <c r="AA101" s="365">
        <v>80331.350000000006</v>
      </c>
      <c r="AB101" s="43">
        <f>AA101*'KiGa - PS'!L102</f>
        <v>80331.350000000006</v>
      </c>
      <c r="AC101" s="43">
        <f t="shared" si="104"/>
        <v>3825.3023809523811</v>
      </c>
      <c r="AD101" s="42">
        <f t="shared" si="105"/>
        <v>0.25659938442304026</v>
      </c>
      <c r="AE101" s="365">
        <v>39500</v>
      </c>
      <c r="AF101" s="43">
        <f>AE101*'KiGa - PS'!L102</f>
        <v>39500</v>
      </c>
      <c r="AG101" s="42">
        <f t="shared" si="106"/>
        <v>0.126173351807359</v>
      </c>
      <c r="AH101" s="42">
        <f>AE101/'Kennzahlen Revision'!F101</f>
        <v>5.7203349944027607E-2</v>
      </c>
      <c r="AI101" s="97">
        <f t="shared" si="108"/>
        <v>-1.0595842652773052E-2</v>
      </c>
      <c r="AJ101" s="365">
        <v>17302</v>
      </c>
      <c r="AK101" s="43">
        <f>AJ101*'KiGa - PS'!$L102</f>
        <v>17302</v>
      </c>
      <c r="AL101" s="365">
        <v>128141</v>
      </c>
      <c r="AM101" s="43">
        <f>AL101*'KiGa - PS'!$L102</f>
        <v>128141</v>
      </c>
      <c r="AN101" s="97">
        <f>(AK101+AM101)/Funktional!E101</f>
        <v>0.45560267905389207</v>
      </c>
    </row>
    <row r="102" spans="1:40" x14ac:dyDescent="0.25">
      <c r="A102" t="str">
        <f>Funktional!A102</f>
        <v>Schönenberg-Kradolf</v>
      </c>
      <c r="B102" t="str">
        <f>Funktional!B102</f>
        <v>PSG</v>
      </c>
      <c r="C102" s="43">
        <f>Funktional!D102</f>
        <v>248</v>
      </c>
      <c r="D102" s="43">
        <f>Funktional!J102-'KiGa - PS'!H103</f>
        <v>1794344.2999999998</v>
      </c>
      <c r="E102" s="43">
        <f>'KiGa - PS'!F103+'KiGa - PS'!K103*Artengliederung!D102</f>
        <v>3289300.3838352407</v>
      </c>
      <c r="F102" s="365">
        <v>2373995.4500000002</v>
      </c>
      <c r="G102" s="43">
        <f>F102*'KiGa - PS'!L103</f>
        <v>2017247.0855400385</v>
      </c>
      <c r="H102" s="42">
        <f t="shared" ref="H102:H117" si="109">G102/$E102</f>
        <v>0.61327542338592367</v>
      </c>
      <c r="I102" s="85">
        <f t="shared" ref="I102:I117" si="110">G102/C102</f>
        <v>8134.0608287904779</v>
      </c>
      <c r="J102" s="365">
        <v>391633.2</v>
      </c>
      <c r="K102" s="43">
        <f>J102*'KiGa - PS'!L103</f>
        <v>332781.14804336248</v>
      </c>
      <c r="L102" s="42">
        <f t="shared" ref="L102:L117" si="111">K102/$E102</f>
        <v>0.10117079901816328</v>
      </c>
      <c r="M102" s="43">
        <f t="shared" ref="M102:M117" si="112">K102/C102</f>
        <v>1341.8594679167843</v>
      </c>
      <c r="N102" s="365">
        <v>99364.1</v>
      </c>
      <c r="O102" s="43">
        <f>N102*'KiGa - PS'!L103</f>
        <v>84432.318997203183</v>
      </c>
      <c r="P102" s="42">
        <f t="shared" ref="P102:P117" si="113">O102/$E102</f>
        <v>2.5668777291406035E-2</v>
      </c>
      <c r="Q102" s="43">
        <f>O102/Funktional!C102</f>
        <v>6494.7937690156296</v>
      </c>
      <c r="R102" s="85">
        <f t="shared" ref="R102:R117" si="114">O102/C102</f>
        <v>340.45289918227093</v>
      </c>
      <c r="S102" s="365">
        <v>13897.8</v>
      </c>
      <c r="T102" s="365">
        <v>245044.25</v>
      </c>
      <c r="U102" s="43">
        <f>T102*'KiGa - PS'!L103</f>
        <v>208220.61775259281</v>
      </c>
      <c r="V102" s="42">
        <f t="shared" ref="V102:V117" si="115">U102/$E102</f>
        <v>6.3302402777156166E-2</v>
      </c>
      <c r="W102" s="43">
        <f t="shared" ref="W102:W117" si="116">U102/C102</f>
        <v>839.59926513142261</v>
      </c>
      <c r="X102" s="365">
        <v>244829.6</v>
      </c>
      <c r="Y102" s="43">
        <f>X102*'KiGa - PS'!L103</f>
        <v>208038.22393759576</v>
      </c>
      <c r="Z102" s="91">
        <f t="shared" ref="Z102:Z117" si="117">Y102/$E102</f>
        <v>6.3246952136073523E-2</v>
      </c>
      <c r="AA102" s="365">
        <v>626807.30000000005</v>
      </c>
      <c r="AB102" s="43">
        <f>AA102*'KiGa - PS'!L103</f>
        <v>532614.83678084577</v>
      </c>
      <c r="AC102" s="43">
        <f t="shared" ref="AC102:AC117" si="118">AB102/C102</f>
        <v>2147.640470890507</v>
      </c>
      <c r="AD102" s="42">
        <f t="shared" ref="AD102:AD117" si="119">AB102/$E102</f>
        <v>0.16192344104487971</v>
      </c>
      <c r="AE102" s="365">
        <v>326878</v>
      </c>
      <c r="AF102" s="43">
        <f>AE102*'KiGa - PS'!L103</f>
        <v>277756.93202240835</v>
      </c>
      <c r="AG102" s="42">
        <f t="shared" ref="AG102:AG117" si="120">AF102/$E102</f>
        <v>8.4442556048514736E-2</v>
      </c>
      <c r="AH102" s="42">
        <f>AE102/'Kennzahlen Revision'!F102</f>
        <v>6.8129401301302864E-2</v>
      </c>
      <c r="AI102" s="97">
        <f t="shared" si="108"/>
        <v>6.0327933773877185E-2</v>
      </c>
      <c r="AJ102" s="365">
        <v>1143091.05</v>
      </c>
      <c r="AK102" s="43">
        <f>AJ102*'KiGa - PS'!$L103</f>
        <v>971314.87304215448</v>
      </c>
      <c r="AL102" s="365">
        <v>988702</v>
      </c>
      <c r="AM102" s="43">
        <f>AL102*'KiGa - PS'!$L103</f>
        <v>840126.39028756646</v>
      </c>
      <c r="AN102" s="97">
        <f>(AK102+AM102)/Funktional!E102</f>
        <v>0.57849480739652992</v>
      </c>
    </row>
    <row r="103" spans="1:40" x14ac:dyDescent="0.25">
      <c r="A103" t="str">
        <f>Funktional!A103</f>
        <v>Schönholzerswilen</v>
      </c>
      <c r="B103" t="str">
        <f>Funktional!B103</f>
        <v>PSG</v>
      </c>
      <c r="C103" s="43">
        <f>Funktional!D103</f>
        <v>58</v>
      </c>
      <c r="D103" s="43">
        <f>Funktional!J103-'KiGa - PS'!H104</f>
        <v>485205.65</v>
      </c>
      <c r="E103" s="43">
        <f>'KiGa - PS'!F104+'KiGa - PS'!K104*Artengliederung!D103</f>
        <v>797830.43957962154</v>
      </c>
      <c r="F103" s="365">
        <v>586148.15</v>
      </c>
      <c r="G103" s="43">
        <f>F103*'KiGa - PS'!L104</f>
        <v>461538.07968884823</v>
      </c>
      <c r="H103" s="42">
        <f t="shared" si="109"/>
        <v>0.57849143977514017</v>
      </c>
      <c r="I103" s="85">
        <f t="shared" si="110"/>
        <v>7957.5530980835902</v>
      </c>
      <c r="J103" s="365">
        <v>141839.70000000001</v>
      </c>
      <c r="K103" s="43">
        <f>J103*'KiGa - PS'!L104</f>
        <v>111685.7960937731</v>
      </c>
      <c r="L103" s="42">
        <f t="shared" si="111"/>
        <v>0.13998688261708914</v>
      </c>
      <c r="M103" s="43">
        <f t="shared" si="112"/>
        <v>1925.6171740305706</v>
      </c>
      <c r="N103" s="365">
        <v>22361.3</v>
      </c>
      <c r="O103" s="43">
        <f>N103*'KiGa - PS'!L104</f>
        <v>17607.479374192757</v>
      </c>
      <c r="P103" s="42">
        <f t="shared" si="113"/>
        <v>2.2069199795723731E-2</v>
      </c>
      <c r="Q103" s="43">
        <f>O103/Funktional!C103</f>
        <v>5869.1597913975856</v>
      </c>
      <c r="R103" s="85">
        <f t="shared" si="114"/>
        <v>303.5772305895303</v>
      </c>
      <c r="S103" s="365">
        <v>5683.5</v>
      </c>
      <c r="T103" s="365">
        <v>89221.4</v>
      </c>
      <c r="U103" s="43">
        <f>T103*'KiGa - PS'!L104</f>
        <v>70253.695457625523</v>
      </c>
      <c r="V103" s="42">
        <f t="shared" si="115"/>
        <v>8.8055922627673033E-2</v>
      </c>
      <c r="W103" s="43">
        <f t="shared" si="116"/>
        <v>1211.2706113383711</v>
      </c>
      <c r="X103" s="365">
        <v>88267</v>
      </c>
      <c r="Y103" s="43">
        <f>X103*'KiGa - PS'!L104</f>
        <v>69502.1927133875</v>
      </c>
      <c r="Z103" s="91">
        <f t="shared" si="117"/>
        <v>8.7113989721936833E-2</v>
      </c>
      <c r="AA103" s="365">
        <v>145737</v>
      </c>
      <c r="AB103" s="43">
        <f>AA103*'KiGa - PS'!L104</f>
        <v>114754.5635341742</v>
      </c>
      <c r="AC103" s="43">
        <f t="shared" si="118"/>
        <v>1978.5269574857621</v>
      </c>
      <c r="AD103" s="42">
        <f t="shared" si="119"/>
        <v>0.1438332731383859</v>
      </c>
      <c r="AE103" s="365">
        <v>68345.5</v>
      </c>
      <c r="AF103" s="43">
        <f>AE103*'KiGa - PS'!L104</f>
        <v>53815.832781139332</v>
      </c>
      <c r="AG103" s="42">
        <f t="shared" si="120"/>
        <v>6.7452719414284323E-2</v>
      </c>
      <c r="AH103" s="42">
        <f>AE103/'Kennzahlen Revision'!F103</f>
        <v>6.3830005813722723E-2</v>
      </c>
      <c r="AI103" s="97">
        <f t="shared" si="108"/>
        <v>4.9632481841711762E-2</v>
      </c>
      <c r="AJ103" s="365">
        <v>208171</v>
      </c>
      <c r="AK103" s="43">
        <f>AJ103*'KiGa - PS'!$L104</f>
        <v>163915.63052260291</v>
      </c>
      <c r="AL103" s="365">
        <v>350794</v>
      </c>
      <c r="AM103" s="43">
        <f>AL103*'KiGa - PS'!$L104</f>
        <v>276218.20375338529</v>
      </c>
      <c r="AN103" s="97">
        <f>(AK103+AM103)/Funktional!E103</f>
        <v>0.5755499909852313</v>
      </c>
    </row>
    <row r="104" spans="1:40" x14ac:dyDescent="0.25">
      <c r="A104" t="str">
        <f>Funktional!A104</f>
        <v>Schurten</v>
      </c>
      <c r="B104" t="str">
        <f>Funktional!B104</f>
        <v>PSG</v>
      </c>
      <c r="C104" s="43">
        <f>Funktional!D104</f>
        <v>18</v>
      </c>
      <c r="D104" s="43">
        <f>Funktional!J104-'KiGa - PS'!H105</f>
        <v>106921.25</v>
      </c>
      <c r="E104" s="43">
        <f>'KiGa - PS'!F105+'KiGa - PS'!K105*Artengliederung!D104</f>
        <v>259651.20000000001</v>
      </c>
      <c r="F104" s="365">
        <v>175817.25</v>
      </c>
      <c r="G104" s="43">
        <f>F104*'KiGa - PS'!L105</f>
        <v>175817.25</v>
      </c>
      <c r="H104" s="42">
        <f t="shared" si="109"/>
        <v>0.67712858634968753</v>
      </c>
      <c r="I104" s="85">
        <f t="shared" si="110"/>
        <v>9767.625</v>
      </c>
      <c r="J104" s="365">
        <v>23192</v>
      </c>
      <c r="K104" s="43">
        <f>J104*'KiGa - PS'!L105</f>
        <v>23192</v>
      </c>
      <c r="L104" s="42">
        <f t="shared" si="111"/>
        <v>8.931982598193268E-2</v>
      </c>
      <c r="M104" s="43">
        <f t="shared" si="112"/>
        <v>1288.4444444444443</v>
      </c>
      <c r="N104" s="365">
        <v>6317.95</v>
      </c>
      <c r="O104" s="43">
        <f>N104*'KiGa - PS'!L105</f>
        <v>6317.95</v>
      </c>
      <c r="P104" s="42">
        <f t="shared" si="113"/>
        <v>2.4332450610665385E-2</v>
      </c>
      <c r="Q104" s="43">
        <f>O104/Funktional!C104</f>
        <v>6317.95</v>
      </c>
      <c r="R104" s="85">
        <f t="shared" si="114"/>
        <v>350.99722222222221</v>
      </c>
      <c r="S104" s="365">
        <v>905.6</v>
      </c>
      <c r="T104" s="365">
        <v>17504.3</v>
      </c>
      <c r="U104" s="43">
        <f>T104*'KiGa - PS'!L105</f>
        <v>17504.3</v>
      </c>
      <c r="V104" s="42">
        <f t="shared" si="115"/>
        <v>6.7414670142098315E-2</v>
      </c>
      <c r="W104" s="43">
        <f t="shared" si="116"/>
        <v>972.46111111111111</v>
      </c>
      <c r="X104" s="365">
        <v>13218.95</v>
      </c>
      <c r="Y104" s="43">
        <f>X104*'KiGa - PS'!L105</f>
        <v>13218.95</v>
      </c>
      <c r="Z104" s="91">
        <f t="shared" si="117"/>
        <v>5.0910413662636649E-2</v>
      </c>
      <c r="AA104" s="365">
        <v>33453.75</v>
      </c>
      <c r="AB104" s="43">
        <f>AA104*'KiGa - PS'!L105</f>
        <v>33453.75</v>
      </c>
      <c r="AC104" s="43">
        <f t="shared" si="118"/>
        <v>1858.5416666666667</v>
      </c>
      <c r="AD104" s="42">
        <f t="shared" si="119"/>
        <v>0.12884111454135394</v>
      </c>
      <c r="AE104" s="365">
        <v>20763</v>
      </c>
      <c r="AF104" s="43">
        <f>AE104*'KiGa - PS'!L105</f>
        <v>20763</v>
      </c>
      <c r="AG104" s="42">
        <f t="shared" si="120"/>
        <v>7.9964968388360994E-2</v>
      </c>
      <c r="AH104" s="42">
        <f>AE104/'Kennzahlen Revision'!F104</f>
        <v>6.4905509856647073E-2</v>
      </c>
      <c r="AI104" s="97">
        <f t="shared" si="108"/>
        <v>3.7295802984927545E-2</v>
      </c>
      <c r="AJ104" s="365">
        <v>67803</v>
      </c>
      <c r="AK104" s="43">
        <f>AJ104*'KiGa - PS'!$L105</f>
        <v>67803</v>
      </c>
      <c r="AL104" s="365">
        <v>122394</v>
      </c>
      <c r="AM104" s="43">
        <f>AL104*'KiGa - PS'!$L105</f>
        <v>122394</v>
      </c>
      <c r="AN104" s="97">
        <f>(AK104+AM104)/Funktional!E104</f>
        <v>0.75849143961912124</v>
      </c>
    </row>
    <row r="105" spans="1:40" x14ac:dyDescent="0.25">
      <c r="A105" t="str">
        <f>Funktional!A105</f>
        <v>Sirnach</v>
      </c>
      <c r="B105" t="str">
        <f>Funktional!B105</f>
        <v>PSG</v>
      </c>
      <c r="C105" s="43">
        <f>Funktional!D105</f>
        <v>425</v>
      </c>
      <c r="D105" s="43">
        <f>Funktional!J105-'KiGa - PS'!H106</f>
        <v>2135004.3499999996</v>
      </c>
      <c r="E105" s="43">
        <f>'KiGa - PS'!F106+'KiGa - PS'!K106*Artengliederung!D105</f>
        <v>4498908.0530765355</v>
      </c>
      <c r="F105" s="365">
        <v>3660021.25</v>
      </c>
      <c r="G105" s="43">
        <f>F105*'KiGa - PS'!L106</f>
        <v>3050415.1008192617</v>
      </c>
      <c r="H105" s="42">
        <f t="shared" si="109"/>
        <v>0.67803455079133357</v>
      </c>
      <c r="I105" s="85">
        <f t="shared" si="110"/>
        <v>7177.4472960453213</v>
      </c>
      <c r="J105" s="365">
        <v>772708.3</v>
      </c>
      <c r="K105" s="43">
        <f>J105*'KiGa - PS'!L106</f>
        <v>644007.48133590224</v>
      </c>
      <c r="L105" s="42">
        <f t="shared" si="111"/>
        <v>0.14314750907067414</v>
      </c>
      <c r="M105" s="43">
        <f t="shared" si="112"/>
        <v>1515.3117207903581</v>
      </c>
      <c r="N105" s="365">
        <v>114745.5</v>
      </c>
      <c r="O105" s="43">
        <f>N105*'KiGa - PS'!L106</f>
        <v>95633.708670695996</v>
      </c>
      <c r="P105" s="42">
        <f t="shared" si="113"/>
        <v>2.125709339742958E-2</v>
      </c>
      <c r="Q105" s="43">
        <f>O105/Funktional!C105</f>
        <v>4346.9867577589093</v>
      </c>
      <c r="R105" s="85">
        <f t="shared" si="114"/>
        <v>225.02049098987294</v>
      </c>
      <c r="S105" s="365">
        <v>26935.35</v>
      </c>
      <c r="T105" s="365">
        <v>215553.55</v>
      </c>
      <c r="U105" s="43">
        <f>T105*'KiGa - PS'!L106</f>
        <v>179651.36239446691</v>
      </c>
      <c r="V105" s="42">
        <f t="shared" si="115"/>
        <v>3.9932214722995733E-2</v>
      </c>
      <c r="W105" s="43">
        <f t="shared" si="116"/>
        <v>422.70908798698099</v>
      </c>
      <c r="X105" s="365">
        <v>211906.75</v>
      </c>
      <c r="Y105" s="43">
        <f>X105*'KiGa - PS'!L106</f>
        <v>176611.96643749872</v>
      </c>
      <c r="Z105" s="91">
        <f t="shared" si="117"/>
        <v>3.9256629465170848E-2</v>
      </c>
      <c r="AA105" s="365">
        <v>358265.25</v>
      </c>
      <c r="AB105" s="43">
        <f>AA105*'KiGa - PS'!L106</f>
        <v>298593.27420538553</v>
      </c>
      <c r="AC105" s="43">
        <f t="shared" si="118"/>
        <v>702.57240989502475</v>
      </c>
      <c r="AD105" s="42">
        <f t="shared" si="119"/>
        <v>6.637016597865239E-2</v>
      </c>
      <c r="AE105" s="365">
        <v>311436</v>
      </c>
      <c r="AF105" s="43">
        <f>AE105*'KiGa - PS'!L106</f>
        <v>259563.81464690884</v>
      </c>
      <c r="AG105" s="42">
        <f t="shared" si="120"/>
        <v>5.7694847635174185E-2</v>
      </c>
      <c r="AH105" s="42">
        <f>AE105/'Kennzahlen Revision'!F105</f>
        <v>6.3650648446754721E-2</v>
      </c>
      <c r="AI105" s="97">
        <f t="shared" si="108"/>
        <v>7.2515559436344162E-2</v>
      </c>
      <c r="AJ105" s="365">
        <v>510809.85</v>
      </c>
      <c r="AK105" s="43">
        <f>AJ105*'KiGa - PS'!$L106</f>
        <v>425730.33697201125</v>
      </c>
      <c r="AL105" s="365">
        <v>864533.4</v>
      </c>
      <c r="AM105" s="43">
        <f>AL105*'KiGa - PS'!$L106</f>
        <v>720538.36805527261</v>
      </c>
      <c r="AN105" s="97">
        <f>(AK105+AM105)/Funktional!E105</f>
        <v>0.26636146936502708</v>
      </c>
    </row>
    <row r="106" spans="1:40" x14ac:dyDescent="0.25">
      <c r="A106" t="str">
        <f>Funktional!A106</f>
        <v>Sitterdorf</v>
      </c>
      <c r="B106" t="str">
        <f>Funktional!B106</f>
        <v>PSG</v>
      </c>
      <c r="C106" s="43">
        <f>Funktional!D106</f>
        <v>84</v>
      </c>
      <c r="D106" s="43">
        <f>Funktional!J106-'KiGa - PS'!H107</f>
        <v>684902.02999999991</v>
      </c>
      <c r="E106" s="43">
        <f>'KiGa - PS'!F107+'KiGa - PS'!K107*Artengliederung!D106</f>
        <v>1271406.5842266469</v>
      </c>
      <c r="F106" s="365">
        <v>962977.95</v>
      </c>
      <c r="G106" s="43">
        <f>F106*'KiGa - PS'!L107</f>
        <v>771842.79521684488</v>
      </c>
      <c r="H106" s="42">
        <f t="shared" si="109"/>
        <v>0.60707786540709985</v>
      </c>
      <c r="I106" s="85">
        <f t="shared" si="110"/>
        <v>9188.6047049624394</v>
      </c>
      <c r="J106" s="365">
        <v>173786</v>
      </c>
      <c r="K106" s="43">
        <f>J106*'KiGa - PS'!L107</f>
        <v>139292.36075400753</v>
      </c>
      <c r="L106" s="42">
        <f t="shared" si="111"/>
        <v>0.10955768397151593</v>
      </c>
      <c r="M106" s="43">
        <f t="shared" si="112"/>
        <v>1658.2423899286612</v>
      </c>
      <c r="N106" s="365">
        <v>47623.65</v>
      </c>
      <c r="O106" s="43">
        <f>N106*'KiGa - PS'!L107</f>
        <v>38171.145179833766</v>
      </c>
      <c r="P106" s="42">
        <f t="shared" si="113"/>
        <v>3.0022768210730924E-2</v>
      </c>
      <c r="Q106" s="43">
        <f>O106/Funktional!C106</f>
        <v>7634.2290359667531</v>
      </c>
      <c r="R106" s="85">
        <f t="shared" si="114"/>
        <v>454.41839499802103</v>
      </c>
      <c r="S106" s="365">
        <v>8667.6</v>
      </c>
      <c r="T106" s="365">
        <v>157305.65</v>
      </c>
      <c r="U106" s="43">
        <f>T106*'KiGa - PS'!L107</f>
        <v>126083.08694856687</v>
      </c>
      <c r="V106" s="42">
        <f t="shared" si="115"/>
        <v>9.9168187826602208E-2</v>
      </c>
      <c r="W106" s="43">
        <f t="shared" si="116"/>
        <v>1500.9891303400818</v>
      </c>
      <c r="X106" s="365">
        <v>155757.65</v>
      </c>
      <c r="Y106" s="43">
        <f>X106*'KiGa - PS'!L107</f>
        <v>124842.33927932306</v>
      </c>
      <c r="Z106" s="91">
        <f t="shared" si="117"/>
        <v>9.8192301996973208E-2</v>
      </c>
      <c r="AA106" s="365">
        <v>207096.23</v>
      </c>
      <c r="AB106" s="43">
        <f>AA106*'KiGa - PS'!L107</f>
        <v>165991.06245586477</v>
      </c>
      <c r="AC106" s="43">
        <f t="shared" si="118"/>
        <v>1976.0840768555329</v>
      </c>
      <c r="AD106" s="42">
        <f t="shared" si="119"/>
        <v>0.13055702598616906</v>
      </c>
      <c r="AE106" s="365">
        <v>143000</v>
      </c>
      <c r="AF106" s="43">
        <f>AE106*'KiGa - PS'!L107</f>
        <v>114616.87125443405</v>
      </c>
      <c r="AG106" s="42">
        <f t="shared" si="120"/>
        <v>9.0149659972188656E-2</v>
      </c>
      <c r="AH106" s="42">
        <f>AE106/'Kennzahlen Revision'!F106</f>
        <v>6.3896336014298477E-2</v>
      </c>
      <c r="AI106" s="97">
        <f t="shared" si="108"/>
        <v>5.3639236808612961E-2</v>
      </c>
      <c r="AJ106" s="365">
        <v>435135</v>
      </c>
      <c r="AK106" s="43">
        <f>AJ106*'KiGa - PS'!$L107</f>
        <v>348767.91799509199</v>
      </c>
      <c r="AL106" s="365">
        <v>247877</v>
      </c>
      <c r="AM106" s="43">
        <f>AL106*'KiGa - PS'!$L107</f>
        <v>198677.52584570172</v>
      </c>
      <c r="AN106" s="97">
        <f>(AK106+AM106)/Funktional!E106</f>
        <v>0.45180371625907428</v>
      </c>
    </row>
    <row r="107" spans="1:40" x14ac:dyDescent="0.25">
      <c r="A107" t="str">
        <f>Funktional!A107</f>
        <v>Sommeri</v>
      </c>
      <c r="B107" t="str">
        <f>Funktional!B107</f>
        <v>PSG</v>
      </c>
      <c r="C107" s="43">
        <f>Funktional!D107</f>
        <v>50</v>
      </c>
      <c r="D107" s="43">
        <f>Funktional!J107-'KiGa - PS'!H108</f>
        <v>288568.95</v>
      </c>
      <c r="E107" s="43">
        <f>'KiGa - PS'!F108+'KiGa - PS'!K108*Artengliederung!D107</f>
        <v>495215.95592135284</v>
      </c>
      <c r="F107" s="365">
        <v>377081.05</v>
      </c>
      <c r="G107" s="43">
        <f>F107*'KiGa - PS'!L108</f>
        <v>291271.6449689318</v>
      </c>
      <c r="H107" s="42">
        <f t="shared" si="109"/>
        <v>0.58817096154953008</v>
      </c>
      <c r="I107" s="85">
        <f t="shared" si="110"/>
        <v>5825.4328993786357</v>
      </c>
      <c r="J107" s="365">
        <v>83541.149999999994</v>
      </c>
      <c r="K107" s="43">
        <f>J107*'KiGa - PS'!L108</f>
        <v>64530.339520101254</v>
      </c>
      <c r="L107" s="42">
        <f t="shared" si="111"/>
        <v>0.13030747242390867</v>
      </c>
      <c r="M107" s="43">
        <f t="shared" si="112"/>
        <v>1290.6067904020251</v>
      </c>
      <c r="N107" s="365">
        <v>12980.85</v>
      </c>
      <c r="O107" s="43">
        <f>N107*'KiGa - PS'!L108</f>
        <v>10026.898812854581</v>
      </c>
      <c r="P107" s="42">
        <f t="shared" si="113"/>
        <v>2.0247527756248208E-2</v>
      </c>
      <c r="Q107" s="43">
        <f>O107/Funktional!C107</f>
        <v>5013.4494064272903</v>
      </c>
      <c r="R107" s="85">
        <f t="shared" si="114"/>
        <v>200.5379762570916</v>
      </c>
      <c r="S107" s="365">
        <v>6226.1</v>
      </c>
      <c r="T107" s="365">
        <v>75261.850000000006</v>
      </c>
      <c r="U107" s="43">
        <f>T107*'KiGa - PS'!L108</f>
        <v>58135.095499773859</v>
      </c>
      <c r="V107" s="42">
        <f t="shared" si="115"/>
        <v>0.11739342160656575</v>
      </c>
      <c r="W107" s="43">
        <f t="shared" si="116"/>
        <v>1162.7019099954771</v>
      </c>
      <c r="X107" s="365">
        <v>75215.95</v>
      </c>
      <c r="Y107" s="43">
        <f>X107*'KiGa - PS'!L108</f>
        <v>58099.640606179826</v>
      </c>
      <c r="Z107" s="91">
        <f t="shared" si="117"/>
        <v>0.11732182679389849</v>
      </c>
      <c r="AA107" s="365">
        <v>64047.1</v>
      </c>
      <c r="AB107" s="43">
        <f>AA107*'KiGa - PS'!L108</f>
        <v>49472.399030631932</v>
      </c>
      <c r="AC107" s="43">
        <f t="shared" si="118"/>
        <v>989.44798061263862</v>
      </c>
      <c r="AD107" s="42">
        <f t="shared" si="119"/>
        <v>9.9900656348174771E-2</v>
      </c>
      <c r="AE107" s="365">
        <v>61280</v>
      </c>
      <c r="AF107" s="43">
        <f>AE107*'KiGa - PS'!L108</f>
        <v>47334.986480217296</v>
      </c>
      <c r="AG107" s="42">
        <f t="shared" si="120"/>
        <v>9.5584534210232011E-2</v>
      </c>
      <c r="AH107" s="42">
        <f>AE107/'Kennzahlen Revision'!F107</f>
        <v>6.3829157842591133E-2</v>
      </c>
      <c r="AI107" s="97">
        <f t="shared" si="108"/>
        <v>6.4227488071820743E-2</v>
      </c>
      <c r="AJ107" s="365">
        <v>119546</v>
      </c>
      <c r="AK107" s="43">
        <f>AJ107*'KiGa - PS'!$L108</f>
        <v>92341.845524870369</v>
      </c>
      <c r="AL107" s="365">
        <v>219282</v>
      </c>
      <c r="AM107" s="43">
        <f>AL107*'KiGa - PS'!$L108</f>
        <v>169381.69884717703</v>
      </c>
      <c r="AN107" s="97">
        <f>(AK107+AM107)/Funktional!E107</f>
        <v>0.55915722101032905</v>
      </c>
    </row>
    <row r="108" spans="1:40" x14ac:dyDescent="0.25">
      <c r="A108" t="str">
        <f>Funktional!A108</f>
        <v>Sonterswil</v>
      </c>
      <c r="B108" t="str">
        <f>Funktional!B108</f>
        <v>PSG</v>
      </c>
      <c r="C108" s="43">
        <f>Funktional!D108</f>
        <v>65</v>
      </c>
      <c r="D108" s="43">
        <f>Funktional!J108-'KiGa - PS'!H109</f>
        <v>294922.84999999998</v>
      </c>
      <c r="E108" s="43">
        <f>'KiGa - PS'!F109+'KiGa - PS'!K109*Artengliederung!D108</f>
        <v>642536.45574909402</v>
      </c>
      <c r="F108" s="365">
        <v>551467.35</v>
      </c>
      <c r="G108" s="43">
        <f>F108*'KiGa - PS'!L109</f>
        <v>452673.44083616335</v>
      </c>
      <c r="H108" s="42">
        <f t="shared" si="109"/>
        <v>0.70451012823609993</v>
      </c>
      <c r="I108" s="85">
        <f t="shared" si="110"/>
        <v>6964.2067820948205</v>
      </c>
      <c r="J108" s="365">
        <v>114541.35</v>
      </c>
      <c r="K108" s="43">
        <f>J108*'KiGa - PS'!L109</f>
        <v>94021.571762171021</v>
      </c>
      <c r="L108" s="42">
        <f t="shared" si="111"/>
        <v>0.14632877390988969</v>
      </c>
      <c r="M108" s="43">
        <f t="shared" si="112"/>
        <v>1446.4857194180156</v>
      </c>
      <c r="N108" s="365">
        <v>23079.85</v>
      </c>
      <c r="O108" s="43">
        <f>N108*'KiGa - PS'!L109</f>
        <v>18945.156251739154</v>
      </c>
      <c r="P108" s="42">
        <f t="shared" si="113"/>
        <v>2.9484951526450205E-2</v>
      </c>
      <c r="Q108" s="43">
        <f>O108/Funktional!C108</f>
        <v>6315.0520839130513</v>
      </c>
      <c r="R108" s="85">
        <f t="shared" si="114"/>
        <v>291.46394233444852</v>
      </c>
      <c r="S108" s="365">
        <v>18089.099999999999</v>
      </c>
      <c r="T108" s="365">
        <v>47082.25</v>
      </c>
      <c r="U108" s="43">
        <f>T108*'KiGa - PS'!L109</f>
        <v>38647.590124435206</v>
      </c>
      <c r="V108" s="42">
        <f t="shared" si="115"/>
        <v>6.014847839159311E-2</v>
      </c>
      <c r="W108" s="43">
        <f t="shared" si="116"/>
        <v>594.57830960669548</v>
      </c>
      <c r="X108" s="365">
        <v>3656.2</v>
      </c>
      <c r="Y108" s="43">
        <f>X108*'KiGa - PS'!L109</f>
        <v>3001.201493406963</v>
      </c>
      <c r="Z108" s="91">
        <f t="shared" si="117"/>
        <v>4.6708657019437841E-3</v>
      </c>
      <c r="AA108" s="365">
        <v>58197.75</v>
      </c>
      <c r="AB108" s="43">
        <f>AA108*'KiGa - PS'!L109</f>
        <v>47771.777860326321</v>
      </c>
      <c r="AC108" s="43">
        <f t="shared" si="118"/>
        <v>734.95042862040498</v>
      </c>
      <c r="AD108" s="42">
        <f t="shared" si="119"/>
        <v>7.4348743068021139E-2</v>
      </c>
      <c r="AE108" s="365">
        <v>56943</v>
      </c>
      <c r="AF108" s="43">
        <f>AE108*'KiGa - PS'!L109</f>
        <v>46741.812985906872</v>
      </c>
      <c r="AG108" s="42">
        <f t="shared" si="120"/>
        <v>7.2745775850824604E-2</v>
      </c>
      <c r="AH108" s="42">
        <f>AE108/'Kennzahlen Revision'!F108</f>
        <v>6.3829787234042548E-2</v>
      </c>
      <c r="AI108" s="97">
        <f t="shared" si="108"/>
        <v>1.4663876394396133E-2</v>
      </c>
      <c r="AJ108" s="365">
        <v>212221</v>
      </c>
      <c r="AK108" s="43">
        <f>AJ108*'KiGa - PS'!$L109</f>
        <v>174202.17223683582</v>
      </c>
      <c r="AL108" s="365">
        <v>12890</v>
      </c>
      <c r="AM108" s="43">
        <f>AL108*'KiGa - PS'!$L109</f>
        <v>10580.790780049165</v>
      </c>
      <c r="AN108" s="97">
        <f>(AK108+AM108)/Funktional!E108</f>
        <v>0.29033609177835068</v>
      </c>
    </row>
    <row r="109" spans="1:40" x14ac:dyDescent="0.25">
      <c r="A109" t="str">
        <f>Funktional!A109</f>
        <v>Steckborn</v>
      </c>
      <c r="B109" t="str">
        <f>Funktional!B109</f>
        <v>PSG</v>
      </c>
      <c r="C109" s="43">
        <f>Funktional!D109</f>
        <v>310</v>
      </c>
      <c r="D109" s="43">
        <f>Funktional!J109-'KiGa - PS'!H110</f>
        <v>1792859.6</v>
      </c>
      <c r="E109" s="43">
        <f>'KiGa - PS'!F110+'KiGa - PS'!K110*Artengliederung!D109</f>
        <v>3506252.2671984797</v>
      </c>
      <c r="F109" s="365">
        <v>2775899.6</v>
      </c>
      <c r="G109" s="43">
        <f>F109*'KiGa - PS'!L110</f>
        <v>2326841.492883767</v>
      </c>
      <c r="H109" s="42">
        <f t="shared" si="109"/>
        <v>0.66362637812792913</v>
      </c>
      <c r="I109" s="85">
        <f t="shared" si="110"/>
        <v>7505.9402996250546</v>
      </c>
      <c r="J109" s="365">
        <v>622223.6</v>
      </c>
      <c r="K109" s="43">
        <f>J109*'KiGa - PS'!L110</f>
        <v>521566.30244534486</v>
      </c>
      <c r="L109" s="42">
        <f t="shared" si="111"/>
        <v>0.14875321645412581</v>
      </c>
      <c r="M109" s="43">
        <f t="shared" si="112"/>
        <v>1682.4719433720802</v>
      </c>
      <c r="N109" s="365">
        <v>113487.45</v>
      </c>
      <c r="O109" s="43">
        <f>N109*'KiGa - PS'!L110</f>
        <v>95128.55132857537</v>
      </c>
      <c r="P109" s="42">
        <f t="shared" si="113"/>
        <v>2.7131120090393198E-2</v>
      </c>
      <c r="Q109" s="43">
        <f>O109/Funktional!C109</f>
        <v>6794.8965234696689</v>
      </c>
      <c r="R109" s="85">
        <f t="shared" si="114"/>
        <v>306.86629460830767</v>
      </c>
      <c r="S109" s="365">
        <v>96802.6</v>
      </c>
      <c r="T109" s="365">
        <v>153896.1</v>
      </c>
      <c r="U109" s="43">
        <f>T109*'KiGa - PS'!L110</f>
        <v>129000.28195291699</v>
      </c>
      <c r="V109" s="42">
        <f t="shared" si="115"/>
        <v>3.6791500474661835E-2</v>
      </c>
      <c r="W109" s="43">
        <f t="shared" si="116"/>
        <v>416.12994178360321</v>
      </c>
      <c r="X109" s="365">
        <v>133436.4</v>
      </c>
      <c r="Y109" s="43">
        <f>X109*'KiGa - PS'!L110</f>
        <v>111850.35373074569</v>
      </c>
      <c r="Z109" s="91">
        <f t="shared" si="117"/>
        <v>3.1900258511665766E-2</v>
      </c>
      <c r="AA109" s="365">
        <v>252813.55</v>
      </c>
      <c r="AB109" s="43">
        <f>AA109*'KiGa - PS'!L110</f>
        <v>211915.82653178266</v>
      </c>
      <c r="AC109" s="43">
        <f t="shared" si="118"/>
        <v>683.5994404251054</v>
      </c>
      <c r="AD109" s="42">
        <f t="shared" si="119"/>
        <v>6.0439412336153693E-2</v>
      </c>
      <c r="AE109" s="365">
        <v>237980</v>
      </c>
      <c r="AF109" s="43">
        <f>AE109*'KiGa - PS'!L110</f>
        <v>199481.90434426334</v>
      </c>
      <c r="AG109" s="42">
        <f t="shared" si="120"/>
        <v>5.6893197962521617E-2</v>
      </c>
      <c r="AH109" s="42">
        <f>AE109/'Kennzahlen Revision'!F109</f>
        <v>9.2874933860074727E-2</v>
      </c>
      <c r="AI109" s="97">
        <f t="shared" ref="AI109:AI110" si="121">1-H109-L109-V109-AD109</f>
        <v>9.0389492607129529E-2</v>
      </c>
      <c r="AJ109" s="365">
        <v>301289.3</v>
      </c>
      <c r="AK109" s="43">
        <f>AJ109*'KiGa - PS'!$L110</f>
        <v>252549.63998046078</v>
      </c>
      <c r="AL109" s="365">
        <v>17549</v>
      </c>
      <c r="AM109" s="43">
        <f>AL109*'KiGa - PS'!$L110</f>
        <v>14710.093030244043</v>
      </c>
      <c r="AN109" s="97">
        <f>(AK109+AM109)/Funktional!E109</f>
        <v>8.2288705671688431E-2</v>
      </c>
    </row>
    <row r="110" spans="1:40" x14ac:dyDescent="0.25">
      <c r="A110" t="str">
        <f>Funktional!A110</f>
        <v>Steinebrunn</v>
      </c>
      <c r="B110" t="str">
        <f>Funktional!B110</f>
        <v>PSG</v>
      </c>
      <c r="C110" s="43">
        <f>Funktional!D110</f>
        <v>64</v>
      </c>
      <c r="D110" s="43">
        <f>Funktional!J110-'KiGa - PS'!H111</f>
        <v>258013.15000000002</v>
      </c>
      <c r="E110" s="43">
        <f>'KiGa - PS'!F111+'KiGa - PS'!K111*Artengliederung!D110</f>
        <v>639747.7781902079</v>
      </c>
      <c r="F110" s="365">
        <v>500989.95</v>
      </c>
      <c r="G110" s="43">
        <f>F110*'KiGa - PS'!L111</f>
        <v>413944.52481318614</v>
      </c>
      <c r="H110" s="42">
        <f t="shared" si="109"/>
        <v>0.64704331757774924</v>
      </c>
      <c r="I110" s="85">
        <f t="shared" si="110"/>
        <v>6467.8832002060335</v>
      </c>
      <c r="J110" s="365">
        <v>129296.2</v>
      </c>
      <c r="K110" s="43">
        <f>J110*'KiGa - PS'!L111</f>
        <v>106831.39266396596</v>
      </c>
      <c r="L110" s="42">
        <f t="shared" si="111"/>
        <v>0.16698986117026135</v>
      </c>
      <c r="M110" s="43">
        <f t="shared" si="112"/>
        <v>1669.2405103744682</v>
      </c>
      <c r="N110" s="365">
        <v>30730.25</v>
      </c>
      <c r="O110" s="43">
        <f>N110*'KiGa - PS'!L111</f>
        <v>25390.96589390748</v>
      </c>
      <c r="P110" s="42">
        <f t="shared" si="113"/>
        <v>3.9689025518363445E-2</v>
      </c>
      <c r="Q110" s="43">
        <f>O110/Funktional!C110</f>
        <v>8463.6552979691605</v>
      </c>
      <c r="R110" s="85">
        <f t="shared" si="114"/>
        <v>396.73384209230437</v>
      </c>
      <c r="S110" s="365">
        <v>21117.85</v>
      </c>
      <c r="T110" s="365">
        <v>41659.199999999997</v>
      </c>
      <c r="U110" s="43">
        <f>T110*'KiGa - PS'!L111</f>
        <v>34421.045268667527</v>
      </c>
      <c r="V110" s="42">
        <f t="shared" si="115"/>
        <v>5.3804087238945537E-2</v>
      </c>
      <c r="W110" s="43">
        <f t="shared" si="116"/>
        <v>537.82883232293011</v>
      </c>
      <c r="X110" s="365">
        <v>38687.65</v>
      </c>
      <c r="Y110" s="43">
        <f>X110*'KiGa - PS'!L111</f>
        <v>31965.792717775799</v>
      </c>
      <c r="Z110" s="91">
        <f t="shared" si="117"/>
        <v>4.9966242646757308E-2</v>
      </c>
      <c r="AA110" s="365">
        <v>27825.05</v>
      </c>
      <c r="AB110" s="43">
        <f>AA110*'KiGa - PS'!L111</f>
        <v>22990.535239585435</v>
      </c>
      <c r="AC110" s="43">
        <f t="shared" si="118"/>
        <v>359.22711311852242</v>
      </c>
      <c r="AD110" s="42">
        <f t="shared" si="119"/>
        <v>3.5936873910877354E-2</v>
      </c>
      <c r="AE110" s="365">
        <v>26450</v>
      </c>
      <c r="AF110" s="43">
        <f>AE110*'KiGa - PS'!L111</f>
        <v>21854.395844285445</v>
      </c>
      <c r="AG110" s="42">
        <f t="shared" si="120"/>
        <v>3.4160956222637734E-2</v>
      </c>
      <c r="AH110" s="42">
        <f>AE110/'Kennzahlen Revision'!F110</f>
        <v>2.9536307883346657E-2</v>
      </c>
      <c r="AI110" s="97">
        <f t="shared" si="121"/>
        <v>9.6225860102166522E-2</v>
      </c>
      <c r="AJ110" s="365">
        <v>211966</v>
      </c>
      <c r="AK110" s="43">
        <f>AJ110*'KiGa - PS'!$L111</f>
        <v>175137.57540755422</v>
      </c>
      <c r="AL110" s="365">
        <v>70692</v>
      </c>
      <c r="AM110" s="43">
        <f>AL110*'KiGa - PS'!$L111</f>
        <v>58409.487751388537</v>
      </c>
      <c r="AN110" s="97">
        <f>(AK110+AM110)/Funktional!E110</f>
        <v>0.38819009858293679</v>
      </c>
    </row>
    <row r="111" spans="1:40" x14ac:dyDescent="0.25">
      <c r="A111" t="str">
        <f>Funktional!A111</f>
        <v>Stettfurt</v>
      </c>
      <c r="B111" t="str">
        <f>Funktional!B111</f>
        <v>PSG</v>
      </c>
      <c r="C111" s="43">
        <f>Funktional!D111</f>
        <v>94</v>
      </c>
      <c r="D111" s="43">
        <f>Funktional!J111-'KiGa - PS'!H112</f>
        <v>431656.5</v>
      </c>
      <c r="E111" s="43">
        <f>'KiGa - PS'!F112+'KiGa - PS'!K112*Artengliederung!D111</f>
        <v>846926.0798060277</v>
      </c>
      <c r="F111" s="365">
        <v>717332</v>
      </c>
      <c r="G111" s="43">
        <f>F111*'KiGa - PS'!L112</f>
        <v>542374.06073444372</v>
      </c>
      <c r="H111" s="42">
        <f t="shared" si="109"/>
        <v>0.64040306901242683</v>
      </c>
      <c r="I111" s="85">
        <f t="shared" si="110"/>
        <v>5769.9368163238696</v>
      </c>
      <c r="J111" s="365">
        <v>161298.35</v>
      </c>
      <c r="K111" s="43">
        <f>J111*'KiGa - PS'!L112</f>
        <v>121957.53302413049</v>
      </c>
      <c r="L111" s="42">
        <f t="shared" si="111"/>
        <v>0.1440002096193124</v>
      </c>
      <c r="M111" s="43">
        <f t="shared" si="112"/>
        <v>1297.4205640864946</v>
      </c>
      <c r="N111" s="365">
        <v>45797.05</v>
      </c>
      <c r="O111" s="43">
        <f>N111*'KiGa - PS'!L112</f>
        <v>34627.107083133553</v>
      </c>
      <c r="P111" s="42">
        <f t="shared" si="113"/>
        <v>4.0885630881817021E-2</v>
      </c>
      <c r="Q111" s="43">
        <f>O111/Funktional!C111</f>
        <v>8656.7767707833882</v>
      </c>
      <c r="R111" s="85">
        <f t="shared" si="114"/>
        <v>368.37347960780374</v>
      </c>
      <c r="S111" s="365">
        <v>14859.4</v>
      </c>
      <c r="T111" s="365">
        <v>57175.8</v>
      </c>
      <c r="U111" s="43">
        <f>T111*'KiGa - PS'!L112</f>
        <v>43230.569417982762</v>
      </c>
      <c r="V111" s="42">
        <f t="shared" si="115"/>
        <v>5.104408808367774E-2</v>
      </c>
      <c r="W111" s="43">
        <f t="shared" si="116"/>
        <v>459.89967465939111</v>
      </c>
      <c r="X111" s="365">
        <v>57149.35</v>
      </c>
      <c r="Y111" s="43">
        <f>X111*'KiGa - PS'!L112</f>
        <v>43210.570597483427</v>
      </c>
      <c r="Z111" s="91">
        <f t="shared" si="117"/>
        <v>5.1020474664542133E-2</v>
      </c>
      <c r="AA111" s="365">
        <v>154208.04999999999</v>
      </c>
      <c r="AB111" s="43">
        <f>AA111*'KiGa - PS'!L112</f>
        <v>116596.56376188451</v>
      </c>
      <c r="AC111" s="43">
        <f t="shared" si="118"/>
        <v>1240.3889761902608</v>
      </c>
      <c r="AD111" s="42">
        <f t="shared" si="119"/>
        <v>0.13767029560429728</v>
      </c>
      <c r="AE111" s="365">
        <v>87817.1</v>
      </c>
      <c r="AF111" s="43">
        <f>AE111*'KiGa - PS'!L112</f>
        <v>66398.427964907081</v>
      </c>
      <c r="AG111" s="42">
        <f t="shared" si="120"/>
        <v>7.8399319076482302E-2</v>
      </c>
      <c r="AH111" s="42">
        <f>AE111/'Kennzahlen Revision'!F111</f>
        <v>6.3829756304305152E-2</v>
      </c>
      <c r="AI111" s="97">
        <f t="shared" ref="AI111:AI126" si="122">1-H111-L111-V111-AD111</f>
        <v>2.6882337680285751E-2</v>
      </c>
      <c r="AJ111" s="365">
        <v>22631</v>
      </c>
      <c r="AK111" s="43">
        <f>AJ111*'KiGa - PS'!$L112</f>
        <v>17111.278136875528</v>
      </c>
      <c r="AL111" s="365">
        <v>68713</v>
      </c>
      <c r="AM111" s="43">
        <f>AL111*'KiGa - PS'!$L112</f>
        <v>51953.835651059526</v>
      </c>
      <c r="AN111" s="97">
        <f>(AK111+AM111)/Funktional!E111</f>
        <v>8.3658889450772864E-2</v>
      </c>
    </row>
    <row r="112" spans="1:40" x14ac:dyDescent="0.25">
      <c r="A112" t="str">
        <f>Funktional!A112</f>
        <v>Strohwilen-Wolfikon</v>
      </c>
      <c r="B112" t="str">
        <f>Funktional!B112</f>
        <v>PSG</v>
      </c>
      <c r="C112" s="43">
        <f>Funktional!D112</f>
        <v>20</v>
      </c>
      <c r="D112" s="43">
        <f>Funktional!J112-'KiGa - PS'!H113</f>
        <v>114028.39999999997</v>
      </c>
      <c r="E112" s="43">
        <f>'KiGa - PS'!F113+'KiGa - PS'!K113*Artengliederung!D112</f>
        <v>248694.87555809447</v>
      </c>
      <c r="F112" s="365">
        <v>211865.1</v>
      </c>
      <c r="G112" s="43">
        <f>F112*'KiGa - PS'!L113</f>
        <v>153919.23886495153</v>
      </c>
      <c r="H112" s="42">
        <f t="shared" si="109"/>
        <v>0.61890796309953078</v>
      </c>
      <c r="I112" s="85">
        <f t="shared" si="110"/>
        <v>7695.9619432475765</v>
      </c>
      <c r="J112" s="365">
        <v>48086</v>
      </c>
      <c r="K112" s="43">
        <f>J112*'KiGa - PS'!L113</f>
        <v>34934.307349629831</v>
      </c>
      <c r="L112" s="42">
        <f t="shared" si="111"/>
        <v>0.14047055562055305</v>
      </c>
      <c r="M112" s="43">
        <f t="shared" si="112"/>
        <v>1746.7153674814915</v>
      </c>
      <c r="N112" s="365">
        <v>17472</v>
      </c>
      <c r="O112" s="43">
        <f>N112*'KiGa - PS'!L113</f>
        <v>12693.345631009699</v>
      </c>
      <c r="P112" s="42">
        <f t="shared" si="113"/>
        <v>5.1039835873275027E-2</v>
      </c>
      <c r="Q112" s="43">
        <f>O112/Funktional!C112</f>
        <v>12693.345631009699</v>
      </c>
      <c r="R112" s="85">
        <f t="shared" si="114"/>
        <v>634.66728155048497</v>
      </c>
      <c r="S112" s="365">
        <v>1574.6</v>
      </c>
      <c r="T112" s="365">
        <v>25253.25</v>
      </c>
      <c r="U112" s="43">
        <f>T112*'KiGa - PS'!L113</f>
        <v>18346.395979641467</v>
      </c>
      <c r="V112" s="42">
        <f t="shared" si="115"/>
        <v>7.3770703712613475E-2</v>
      </c>
      <c r="W112" s="43">
        <f t="shared" si="116"/>
        <v>917.31979898207339</v>
      </c>
      <c r="X112" s="365">
        <v>20451.7</v>
      </c>
      <c r="Y112" s="43">
        <f>X112*'KiGa - PS'!L113</f>
        <v>14858.087044512424</v>
      </c>
      <c r="Z112" s="91">
        <f t="shared" si="117"/>
        <v>5.9744242864552363E-2</v>
      </c>
      <c r="AA112" s="365">
        <v>44943.45</v>
      </c>
      <c r="AB112" s="43">
        <f>AA112*'KiGa - PS'!L113</f>
        <v>32651.255992445218</v>
      </c>
      <c r="AC112" s="43">
        <f t="shared" si="118"/>
        <v>1632.5627996222609</v>
      </c>
      <c r="AD112" s="42">
        <f t="shared" si="119"/>
        <v>0.13129042534218993</v>
      </c>
      <c r="AE112" s="365">
        <v>35570</v>
      </c>
      <c r="AF112" s="43">
        <f>AE112*'KiGa - PS'!L113</f>
        <v>25841.478027416153</v>
      </c>
      <c r="AG112" s="42">
        <f t="shared" si="120"/>
        <v>0.10390836549979354</v>
      </c>
      <c r="AH112" s="42">
        <f>AE112/'Kennzahlen Revision'!F112</f>
        <v>6.6995144405896032E-2</v>
      </c>
      <c r="AI112" s="97">
        <f t="shared" si="122"/>
        <v>3.5560352225112779E-2</v>
      </c>
      <c r="AJ112" s="365">
        <v>97910.1</v>
      </c>
      <c r="AK112" s="43">
        <f>AJ112*'KiGa - PS'!$L113</f>
        <v>71131.338144844485</v>
      </c>
      <c r="AL112" s="365">
        <v>112600</v>
      </c>
      <c r="AM112" s="43">
        <f>AL112*'KiGa - PS'!$L113</f>
        <v>81803.498056987868</v>
      </c>
      <c r="AN112" s="97">
        <f>(AK112+AM112)/Funktional!E112</f>
        <v>0.63319887401285502</v>
      </c>
    </row>
    <row r="113" spans="1:40" x14ac:dyDescent="0.25">
      <c r="A113" t="str">
        <f>Funktional!A113</f>
        <v>Sulgen</v>
      </c>
      <c r="B113" t="str">
        <f>Funktional!B113</f>
        <v>PSG</v>
      </c>
      <c r="C113" s="43">
        <f>Funktional!D113</f>
        <v>256</v>
      </c>
      <c r="D113" s="43">
        <f>Funktional!J113-'KiGa - PS'!H114</f>
        <v>1486446.75</v>
      </c>
      <c r="E113" s="43">
        <f>'KiGa - PS'!F114+'KiGa - PS'!K114*Artengliederung!D113</f>
        <v>3231098.0066355271</v>
      </c>
      <c r="F113" s="365">
        <v>2358078.15</v>
      </c>
      <c r="G113" s="43">
        <f>F113*'KiGa - PS'!L114</f>
        <v>1996300.2408422346</v>
      </c>
      <c r="H113" s="42">
        <f t="shared" si="109"/>
        <v>0.61783958169716402</v>
      </c>
      <c r="I113" s="85">
        <f t="shared" si="110"/>
        <v>7798.0478157899788</v>
      </c>
      <c r="J113" s="365">
        <v>459674.65</v>
      </c>
      <c r="K113" s="43">
        <f>J113*'KiGa - PS'!L114</f>
        <v>389151.06121655466</v>
      </c>
      <c r="L113" s="42">
        <f t="shared" si="111"/>
        <v>0.12043926257184916</v>
      </c>
      <c r="M113" s="43">
        <f t="shared" si="112"/>
        <v>1520.1213328771667</v>
      </c>
      <c r="N113" s="365">
        <v>111503.15</v>
      </c>
      <c r="O113" s="43">
        <f>N113*'KiGa - PS'!L114</f>
        <v>94396.262990549236</v>
      </c>
      <c r="P113" s="42">
        <f t="shared" si="113"/>
        <v>2.9214917899950066E-2</v>
      </c>
      <c r="Q113" s="43">
        <f>O113/Funktional!C113</f>
        <v>6293.0841993699487</v>
      </c>
      <c r="R113" s="85">
        <f t="shared" si="114"/>
        <v>368.73540230683295</v>
      </c>
      <c r="S113" s="365">
        <v>24036.15</v>
      </c>
      <c r="T113" s="365">
        <v>187310.95</v>
      </c>
      <c r="U113" s="43">
        <f>T113*'KiGa - PS'!L114</f>
        <v>158573.58018324702</v>
      </c>
      <c r="V113" s="42">
        <f t="shared" si="115"/>
        <v>4.9077304327381353E-2</v>
      </c>
      <c r="W113" s="43">
        <f t="shared" si="116"/>
        <v>619.42804759080866</v>
      </c>
      <c r="X113" s="365">
        <v>171250.95</v>
      </c>
      <c r="Y113" s="43">
        <f>X113*'KiGa - PS'!L114</f>
        <v>144977.51600364115</v>
      </c>
      <c r="Z113" s="91">
        <f t="shared" si="117"/>
        <v>4.4869426958237993E-2</v>
      </c>
      <c r="AA113" s="365">
        <v>411114</v>
      </c>
      <c r="AB113" s="43">
        <f>AA113*'KiGa - PS'!L114</f>
        <v>348040.61825245887</v>
      </c>
      <c r="AC113" s="43">
        <f t="shared" si="118"/>
        <v>1359.5336650486674</v>
      </c>
      <c r="AD113" s="42">
        <f t="shared" si="119"/>
        <v>0.10771589643449599</v>
      </c>
      <c r="AE113" s="365">
        <v>204309</v>
      </c>
      <c r="AF113" s="43">
        <f>AE113*'KiGa - PS'!L114</f>
        <v>172963.77811152532</v>
      </c>
      <c r="AG113" s="42">
        <f t="shared" si="120"/>
        <v>5.3530959988313316E-2</v>
      </c>
      <c r="AH113" s="42">
        <f>AE113/'Kennzahlen Revision'!F113</f>
        <v>5.9034435945250298E-2</v>
      </c>
      <c r="AI113" s="97">
        <f t="shared" si="122"/>
        <v>0.10492795496910946</v>
      </c>
      <c r="AJ113" s="365">
        <v>523023</v>
      </c>
      <c r="AK113" s="43">
        <f>AJ113*'KiGa - PS'!$L114</f>
        <v>442780.46546762163</v>
      </c>
      <c r="AL113" s="365">
        <v>662875</v>
      </c>
      <c r="AM113" s="43">
        <f>AL113*'KiGa - PS'!$L114</f>
        <v>561176.27914422448</v>
      </c>
      <c r="AN113" s="97">
        <f>(AK113+AM113)/Funktional!E113</f>
        <v>0.34314093349103547</v>
      </c>
    </row>
    <row r="114" spans="1:40" x14ac:dyDescent="0.25">
      <c r="A114" t="str">
        <f>Funktional!A114</f>
        <v>Tägerwilen</v>
      </c>
      <c r="B114" t="str">
        <f>Funktional!B114</f>
        <v>PSG</v>
      </c>
      <c r="C114" s="43">
        <f>Funktional!D114</f>
        <v>300</v>
      </c>
      <c r="D114" s="43">
        <f>Funktional!J114-'KiGa - PS'!H115</f>
        <v>1490204.85</v>
      </c>
      <c r="E114" s="43">
        <f>'KiGa - PS'!F115+'KiGa - PS'!K115*Artengliederung!D114</f>
        <v>3078847.3160909126</v>
      </c>
      <c r="F114" s="365">
        <v>2362484.2000000002</v>
      </c>
      <c r="G114" s="43">
        <f>F114*'KiGa - PS'!L115</f>
        <v>1877863.6735102746</v>
      </c>
      <c r="H114" s="42">
        <f t="shared" si="109"/>
        <v>0.60992426084139884</v>
      </c>
      <c r="I114" s="85">
        <f t="shared" si="110"/>
        <v>6259.5455783675825</v>
      </c>
      <c r="J114" s="365">
        <v>514498.6</v>
      </c>
      <c r="K114" s="43">
        <f>J114*'KiGa - PS'!L115</f>
        <v>408958.60002445447</v>
      </c>
      <c r="L114" s="42">
        <f t="shared" si="111"/>
        <v>0.13282847703655945</v>
      </c>
      <c r="M114" s="43">
        <f t="shared" si="112"/>
        <v>1363.1953334148482</v>
      </c>
      <c r="N114" s="365">
        <v>123301.75</v>
      </c>
      <c r="O114" s="43">
        <f>N114*'KiGa - PS'!L115</f>
        <v>98008.64581665583</v>
      </c>
      <c r="P114" s="42">
        <f t="shared" si="113"/>
        <v>3.1832902302246488E-2</v>
      </c>
      <c r="Q114" s="43">
        <f>O114/Funktional!C114</f>
        <v>7259.8996901226537</v>
      </c>
      <c r="R114" s="85">
        <f t="shared" si="114"/>
        <v>326.69548605551944</v>
      </c>
      <c r="S114" s="365">
        <v>96311.4</v>
      </c>
      <c r="T114" s="365">
        <v>285208.15000000002</v>
      </c>
      <c r="U114" s="43">
        <f>T114*'KiGa - PS'!L115</f>
        <v>226702.90208673963</v>
      </c>
      <c r="V114" s="42">
        <f t="shared" si="115"/>
        <v>7.3632395118110344E-2</v>
      </c>
      <c r="W114" s="43">
        <f t="shared" si="116"/>
        <v>755.6763402891321</v>
      </c>
      <c r="X114" s="365">
        <v>267740.25</v>
      </c>
      <c r="Y114" s="43">
        <f>X114*'KiGa - PS'!L115</f>
        <v>212818.22304316756</v>
      </c>
      <c r="Z114" s="91">
        <f t="shared" si="117"/>
        <v>6.9122694695160858E-2</v>
      </c>
      <c r="AA114" s="365">
        <v>349225.9</v>
      </c>
      <c r="AB114" s="43">
        <f>AA114*'KiGa - PS'!L115</f>
        <v>277588.57877607469</v>
      </c>
      <c r="AC114" s="43">
        <f t="shared" si="118"/>
        <v>925.29526258691567</v>
      </c>
      <c r="AD114" s="42">
        <f t="shared" si="119"/>
        <v>9.0159904106098268E-2</v>
      </c>
      <c r="AE114" s="365">
        <v>304602.95</v>
      </c>
      <c r="AF114" s="43">
        <f>AE114*'KiGa - PS'!L115</f>
        <v>242119.21275455152</v>
      </c>
      <c r="AG114" s="42">
        <f t="shared" si="120"/>
        <v>7.8639564712796622E-2</v>
      </c>
      <c r="AH114" s="42">
        <f>AE114/'Kennzahlen Revision'!F114</f>
        <v>5.4309969634138713E-2</v>
      </c>
      <c r="AI114" s="97">
        <f t="shared" si="122"/>
        <v>9.345496289783313E-2</v>
      </c>
      <c r="AJ114" s="365">
        <v>109766</v>
      </c>
      <c r="AK114" s="43">
        <f>AJ114*'KiGa - PS'!$L115</f>
        <v>87249.507948679107</v>
      </c>
      <c r="AL114" s="365">
        <v>0</v>
      </c>
      <c r="AM114" s="43">
        <f>AL114*'KiGa - PS'!$L115</f>
        <v>0</v>
      </c>
      <c r="AN114" s="97">
        <f>(AK114+AM114)/Funktional!E114</f>
        <v>3.0759459018441859E-2</v>
      </c>
    </row>
    <row r="115" spans="1:40" x14ac:dyDescent="0.25">
      <c r="A115" t="str">
        <f>Funktional!A115</f>
        <v>Thundorf</v>
      </c>
      <c r="B115" t="str">
        <f>Funktional!B115</f>
        <v>PSG</v>
      </c>
      <c r="C115" s="43">
        <f>Funktional!D115</f>
        <v>102</v>
      </c>
      <c r="D115" s="43">
        <f>Funktional!J115-'KiGa - PS'!H116</f>
        <v>852163.06</v>
      </c>
      <c r="E115" s="43">
        <f>'KiGa - PS'!F116+'KiGa - PS'!K116*Artengliederung!D115</f>
        <v>1394494.0357432612</v>
      </c>
      <c r="F115" s="365">
        <v>869217.4</v>
      </c>
      <c r="G115" s="43">
        <f>F115*'KiGa - PS'!L116</f>
        <v>725364.78875328705</v>
      </c>
      <c r="H115" s="42">
        <f t="shared" si="109"/>
        <v>0.52016342139941085</v>
      </c>
      <c r="I115" s="85">
        <f t="shared" si="110"/>
        <v>7111.4194975812452</v>
      </c>
      <c r="J115" s="365">
        <v>309185.21000000002</v>
      </c>
      <c r="K115" s="43">
        <f>J115*'KiGa - PS'!L116</f>
        <v>258016.07806895112</v>
      </c>
      <c r="L115" s="42">
        <f t="shared" si="111"/>
        <v>0.18502487027951275</v>
      </c>
      <c r="M115" s="43">
        <f t="shared" si="112"/>
        <v>2529.5693928328542</v>
      </c>
      <c r="N115" s="365">
        <v>41204.9</v>
      </c>
      <c r="O115" s="43">
        <f>N115*'KiGa - PS'!L116</f>
        <v>34385.625027870265</v>
      </c>
      <c r="P115" s="42">
        <f t="shared" si="113"/>
        <v>2.4658137035016309E-2</v>
      </c>
      <c r="Q115" s="43">
        <f>O115/Funktional!C115</f>
        <v>6877.1250055740529</v>
      </c>
      <c r="R115" s="85">
        <f t="shared" si="114"/>
        <v>337.11397086147321</v>
      </c>
      <c r="S115" s="365">
        <v>17114.7</v>
      </c>
      <c r="T115" s="365">
        <v>155363.4</v>
      </c>
      <c r="U115" s="43">
        <f>T115*'KiGa - PS'!L116</f>
        <v>129651.27000563085</v>
      </c>
      <c r="V115" s="42">
        <f t="shared" si="115"/>
        <v>9.2973699910109051E-2</v>
      </c>
      <c r="W115" s="43">
        <f t="shared" si="116"/>
        <v>1271.0908824081457</v>
      </c>
      <c r="X115" s="365">
        <v>153127.6</v>
      </c>
      <c r="Y115" s="43">
        <f>X115*'KiGa - PS'!L116</f>
        <v>127785.4875273986</v>
      </c>
      <c r="Z115" s="91">
        <f t="shared" si="117"/>
        <v>9.1635736153786632E-2</v>
      </c>
      <c r="AA115" s="365">
        <v>235727.65</v>
      </c>
      <c r="AB115" s="43">
        <f>AA115*'KiGa - PS'!L116</f>
        <v>196715.50183597195</v>
      </c>
      <c r="AC115" s="43">
        <f t="shared" si="118"/>
        <v>1928.5833513330583</v>
      </c>
      <c r="AD115" s="42">
        <f t="shared" si="119"/>
        <v>0.14106586101755764</v>
      </c>
      <c r="AE115" s="365">
        <v>173600</v>
      </c>
      <c r="AF115" s="43">
        <f>AE115*'KiGa - PS'!L116</f>
        <v>144869.77288716336</v>
      </c>
      <c r="AG115" s="42">
        <f t="shared" si="120"/>
        <v>0.10388697920098898</v>
      </c>
      <c r="AH115" s="42">
        <f>AE115/'Kennzahlen Revision'!F115</f>
        <v>6.428677233002518E-2</v>
      </c>
      <c r="AI115" s="97">
        <f t="shared" si="122"/>
        <v>6.0772147393409692E-2</v>
      </c>
      <c r="AJ115" s="365">
        <v>98016</v>
      </c>
      <c r="AK115" s="43">
        <f>AJ115*'KiGa - PS'!$L116</f>
        <v>81794.675456844489</v>
      </c>
      <c r="AL115" s="365">
        <v>570255</v>
      </c>
      <c r="AM115" s="43">
        <f>AL115*'KiGa - PS'!$L116</f>
        <v>475879.67936503078</v>
      </c>
      <c r="AN115" s="97">
        <f>(AK115+AM115)/Funktional!E115</f>
        <v>0.42235910265014126</v>
      </c>
    </row>
    <row r="116" spans="1:40" x14ac:dyDescent="0.25">
      <c r="A116" t="str">
        <f>Funktional!A116</f>
        <v>Tobel</v>
      </c>
      <c r="B116" t="str">
        <f>Funktional!B116</f>
        <v>PSG</v>
      </c>
      <c r="C116" s="43">
        <f>Funktional!D116</f>
        <v>130</v>
      </c>
      <c r="D116" s="43">
        <f>Funktional!J116-'KiGa - PS'!H117</f>
        <v>602091.17999999993</v>
      </c>
      <c r="E116" s="43">
        <f>'KiGa - PS'!F117+'KiGa - PS'!K117*Artengliederung!D116</f>
        <v>1326696.7282930149</v>
      </c>
      <c r="F116" s="365">
        <v>919415.1</v>
      </c>
      <c r="G116" s="43">
        <f>F116*'KiGa - PS'!L117</f>
        <v>833930.26039029867</v>
      </c>
      <c r="H116" s="42">
        <f t="shared" si="109"/>
        <v>0.62857640529744063</v>
      </c>
      <c r="I116" s="85">
        <f t="shared" si="110"/>
        <v>6414.8481568484513</v>
      </c>
      <c r="J116" s="365">
        <v>187471.01</v>
      </c>
      <c r="K116" s="43">
        <f>J116*'KiGa - PS'!L117</f>
        <v>170040.44004164418</v>
      </c>
      <c r="L116" s="42">
        <f t="shared" si="111"/>
        <v>0.12816828172963501</v>
      </c>
      <c r="M116" s="43">
        <f t="shared" si="112"/>
        <v>1308.0033849357244</v>
      </c>
      <c r="N116" s="365">
        <v>55185.65</v>
      </c>
      <c r="O116" s="43">
        <f>N116*'KiGa - PS'!L117</f>
        <v>50054.630899914395</v>
      </c>
      <c r="P116" s="42">
        <f t="shared" si="113"/>
        <v>3.7728766365706531E-2</v>
      </c>
      <c r="Q116" s="43">
        <f>O116/Funktional!C116</f>
        <v>8342.4384833190652</v>
      </c>
      <c r="R116" s="85">
        <f t="shared" si="114"/>
        <v>385.0356223070338</v>
      </c>
      <c r="S116" s="365">
        <v>15463.8</v>
      </c>
      <c r="T116" s="365">
        <v>174185</v>
      </c>
      <c r="U116" s="43">
        <f>T116*'KiGa - PS'!L117</f>
        <v>157989.72891143966</v>
      </c>
      <c r="V116" s="42">
        <f t="shared" si="115"/>
        <v>0.11908503695092099</v>
      </c>
      <c r="W116" s="43">
        <f t="shared" si="116"/>
        <v>1215.3056070110742</v>
      </c>
      <c r="X116" s="365">
        <v>139514.6</v>
      </c>
      <c r="Y116" s="43">
        <f>X116*'KiGa - PS'!L117</f>
        <v>126542.89309175841</v>
      </c>
      <c r="Z116" s="91">
        <f t="shared" si="117"/>
        <v>9.5381928961695672E-2</v>
      </c>
      <c r="AA116" s="365">
        <v>71474.850000000006</v>
      </c>
      <c r="AB116" s="43">
        <f>AA116*'KiGa - PS'!L117</f>
        <v>64829.303186186022</v>
      </c>
      <c r="AC116" s="43">
        <f t="shared" si="118"/>
        <v>498.6869475860463</v>
      </c>
      <c r="AD116" s="42">
        <f t="shared" si="119"/>
        <v>4.8865201672426063E-2</v>
      </c>
      <c r="AE116" s="365">
        <v>60247</v>
      </c>
      <c r="AF116" s="43">
        <f>AE116*'KiGa - PS'!L117</f>
        <v>54645.389658854117</v>
      </c>
      <c r="AG116" s="42">
        <f t="shared" si="120"/>
        <v>4.1189058880972164E-2</v>
      </c>
      <c r="AH116" s="42">
        <f>AE116/'Kennzahlen Revision'!F116</f>
        <v>1.5771218046690131E-2</v>
      </c>
      <c r="AI116" s="97">
        <f t="shared" si="122"/>
        <v>7.5305074349577311E-2</v>
      </c>
      <c r="AJ116" s="365">
        <v>196333.6</v>
      </c>
      <c r="AK116" s="43">
        <f>AJ116*'KiGa - PS'!$L117</f>
        <v>178079.00933035006</v>
      </c>
      <c r="AL116" s="365">
        <v>183779</v>
      </c>
      <c r="AM116" s="43">
        <f>AL116*'KiGa - PS'!$L117</f>
        <v>166691.70358880193</v>
      </c>
      <c r="AN116" s="97">
        <f>(AK116+AM116)/Funktional!E116</f>
        <v>0.27625124529693484</v>
      </c>
    </row>
    <row r="117" spans="1:40" x14ac:dyDescent="0.25">
      <c r="A117" t="str">
        <f>Funktional!A117</f>
        <v>Uesslingen</v>
      </c>
      <c r="B117" t="str">
        <f>Funktional!B117</f>
        <v>PSG</v>
      </c>
      <c r="C117" s="43">
        <f>Funktional!D117</f>
        <v>73</v>
      </c>
      <c r="D117" s="43">
        <f>Funktional!J117-'KiGa - PS'!H118</f>
        <v>360338.1</v>
      </c>
      <c r="E117" s="43">
        <f>'KiGa - PS'!F118+'KiGa - PS'!K118*Artengliederung!D117</f>
        <v>761879.28877748223</v>
      </c>
      <c r="F117" s="365">
        <v>672446.15</v>
      </c>
      <c r="G117" s="43">
        <f>F117*'KiGa - PS'!L118</f>
        <v>505556.50211235968</v>
      </c>
      <c r="H117" s="42">
        <f t="shared" si="109"/>
        <v>0.66356509431248589</v>
      </c>
      <c r="I117" s="85">
        <f t="shared" si="110"/>
        <v>6925.4315357857495</v>
      </c>
      <c r="J117" s="365">
        <v>127223.6</v>
      </c>
      <c r="K117" s="43">
        <f>J117*'KiGa - PS'!L118</f>
        <v>95648.875678955112</v>
      </c>
      <c r="L117" s="42">
        <f t="shared" si="111"/>
        <v>0.12554334667954301</v>
      </c>
      <c r="M117" s="43">
        <f t="shared" si="112"/>
        <v>1310.2585709445905</v>
      </c>
      <c r="N117" s="365">
        <v>32218.1</v>
      </c>
      <c r="O117" s="43">
        <f>N117*'KiGa - PS'!L118</f>
        <v>24222.117920827139</v>
      </c>
      <c r="P117" s="42">
        <f t="shared" si="113"/>
        <v>3.1792592708083912E-2</v>
      </c>
      <c r="Q117" s="43">
        <f>O117/Funktional!C117</f>
        <v>8074.0393069423799</v>
      </c>
      <c r="R117" s="85">
        <f t="shared" si="114"/>
        <v>331.80983453187861</v>
      </c>
      <c r="S117" s="365">
        <v>13670.95</v>
      </c>
      <c r="T117" s="365">
        <v>56504</v>
      </c>
      <c r="U117" s="43">
        <f>T117*'KiGa - PS'!L118</f>
        <v>42480.672385969898</v>
      </c>
      <c r="V117" s="42">
        <f t="shared" si="115"/>
        <v>5.5757746682069197E-2</v>
      </c>
      <c r="W117" s="43">
        <f t="shared" si="116"/>
        <v>581.92701898588905</v>
      </c>
      <c r="X117" s="365">
        <v>24375</v>
      </c>
      <c r="Y117" s="43">
        <f>X117*'KiGa - PS'!L118</f>
        <v>18325.541367124737</v>
      </c>
      <c r="Z117" s="91">
        <f t="shared" si="117"/>
        <v>2.4053077222416758E-2</v>
      </c>
      <c r="AA117" s="365">
        <v>80870.8</v>
      </c>
      <c r="AB117" s="43">
        <f>AA117*'KiGa - PS'!L118</f>
        <v>60800.048853024462</v>
      </c>
      <c r="AC117" s="43">
        <f t="shared" si="118"/>
        <v>832.87738154828025</v>
      </c>
      <c r="AD117" s="42">
        <f t="shared" si="119"/>
        <v>7.9802732202610097E-2</v>
      </c>
      <c r="AE117" s="365">
        <v>33500</v>
      </c>
      <c r="AF117" s="43">
        <f>AE117*'KiGa - PS'!L118</f>
        <v>25185.872237894513</v>
      </c>
      <c r="AG117" s="42">
        <f t="shared" si="120"/>
        <v>3.3057562541577906E-2</v>
      </c>
      <c r="AH117" s="42">
        <f>AE117/'Kennzahlen Revision'!F117</f>
        <v>7.1888412017167377E-2</v>
      </c>
      <c r="AI117" s="97">
        <f t="shared" si="122"/>
        <v>7.5331080123291802E-2</v>
      </c>
      <c r="AJ117" s="365">
        <v>281292</v>
      </c>
      <c r="AK117" s="43">
        <f>AJ117*'KiGa - PS'!$L118</f>
        <v>211480.13055348725</v>
      </c>
      <c r="AL117" s="365">
        <v>0</v>
      </c>
      <c r="AM117" s="43">
        <f>AL117*'KiGa - PS'!$L118</f>
        <v>0</v>
      </c>
      <c r="AN117" s="97">
        <f>(AK117+AM117)/Funktional!E117</f>
        <v>0.28976516816489373</v>
      </c>
    </row>
    <row r="118" spans="1:40" x14ac:dyDescent="0.25">
      <c r="A118" t="str">
        <f>Funktional!A118</f>
        <v>Uttwil</v>
      </c>
      <c r="B118" t="str">
        <f>Funktional!B118</f>
        <v>PSG</v>
      </c>
      <c r="C118" s="43">
        <f>Funktional!D118</f>
        <v>124</v>
      </c>
      <c r="D118" s="43">
        <f>Funktional!J118-'KiGa - PS'!H119</f>
        <v>572904.39999999991</v>
      </c>
      <c r="E118" s="43">
        <f>'KiGa - PS'!F119+'KiGa - PS'!K119*Artengliederung!D118</f>
        <v>1300468.5057279463</v>
      </c>
      <c r="F118" s="365">
        <v>965040.3</v>
      </c>
      <c r="G118" s="43">
        <f>F118*'KiGa - PS'!L119</f>
        <v>832764.01470984367</v>
      </c>
      <c r="H118" s="42">
        <f t="shared" ref="H118:H132" si="123">G118/$E118</f>
        <v>0.64035692601698047</v>
      </c>
      <c r="I118" s="85">
        <f t="shared" ref="I118:I132" si="124">G118/C118</f>
        <v>6715.8388283051909</v>
      </c>
      <c r="J118" s="365">
        <v>182769.05</v>
      </c>
      <c r="K118" s="43">
        <f>J118*'KiGa - PS'!L119</f>
        <v>157717.23506542071</v>
      </c>
      <c r="L118" s="42">
        <f t="shared" ref="L118:L132" si="125">K118/$E118</f>
        <v>0.12127724306336615</v>
      </c>
      <c r="M118" s="43">
        <f t="shared" ref="M118:M132" si="126">K118/C118</f>
        <v>1271.9131860114574</v>
      </c>
      <c r="N118" s="365">
        <v>49217.65</v>
      </c>
      <c r="O118" s="43">
        <f>N118*'KiGa - PS'!L119</f>
        <v>42471.477935775256</v>
      </c>
      <c r="P118" s="42">
        <f t="shared" ref="P118:P132" si="127">O118/$E118</f>
        <v>3.2658597842784014E-2</v>
      </c>
      <c r="Q118" s="43">
        <f>O118/Funktional!C118</f>
        <v>6534.0735285808087</v>
      </c>
      <c r="R118" s="85">
        <f t="shared" ref="R118:R132" si="128">O118/C118</f>
        <v>342.51191883689722</v>
      </c>
      <c r="S118" s="365">
        <v>27935.25</v>
      </c>
      <c r="T118" s="365">
        <v>117431.25</v>
      </c>
      <c r="U118" s="43">
        <f>T118*'KiGa - PS'!L119</f>
        <v>101335.16621263932</v>
      </c>
      <c r="V118" s="42">
        <f t="shared" ref="V118:V132" si="129">U118/$E118</f>
        <v>7.7922045606107354E-2</v>
      </c>
      <c r="W118" s="43">
        <f t="shared" ref="W118:W132" si="130">U118/C118</f>
        <v>817.21908235999456</v>
      </c>
      <c r="X118" s="365">
        <v>117431.25</v>
      </c>
      <c r="Y118" s="43">
        <f>X118*'KiGa - PS'!L119</f>
        <v>101335.16621263932</v>
      </c>
      <c r="Z118" s="91">
        <f t="shared" ref="Z118:Z132" si="131">Y118/$E118</f>
        <v>7.7922045606107354E-2</v>
      </c>
      <c r="AA118" s="365">
        <v>173754.1</v>
      </c>
      <c r="AB118" s="43">
        <f>AA118*'KiGa - PS'!L119</f>
        <v>149937.94755337745</v>
      </c>
      <c r="AC118" s="43">
        <f t="shared" ref="AC118:AC132" si="132">AB118/C118</f>
        <v>1209.1769963982053</v>
      </c>
      <c r="AD118" s="42">
        <f t="shared" ref="AD118:AD132" si="133">AB118/$E118</f>
        <v>0.11529533156164258</v>
      </c>
      <c r="AE118" s="365">
        <v>159604.04999999999</v>
      </c>
      <c r="AF118" s="43">
        <f>AE118*'KiGa - PS'!L119</f>
        <v>137727.41868080597</v>
      </c>
      <c r="AG118" s="42">
        <f t="shared" ref="AG118:AG132" si="134">AF118/$E118</f>
        <v>0.10590600085598544</v>
      </c>
      <c r="AH118" s="42">
        <f>AE118/'Kennzahlen Revision'!F118</f>
        <v>6.3830679421547146E-2</v>
      </c>
      <c r="AI118" s="97">
        <f t="shared" si="122"/>
        <v>4.5148453751903447E-2</v>
      </c>
      <c r="AJ118" s="365">
        <v>65328</v>
      </c>
      <c r="AK118" s="43">
        <f>AJ118*'KiGa - PS'!$L119</f>
        <v>56373.612120617821</v>
      </c>
      <c r="AL118" s="365">
        <v>0</v>
      </c>
      <c r="AM118" s="43">
        <f>AL118*'KiGa - PS'!$L119</f>
        <v>0</v>
      </c>
      <c r="AN118" s="97">
        <f>(AK118+AM118)/Funktional!E118</f>
        <v>4.4168076949054655E-2</v>
      </c>
    </row>
    <row r="119" spans="1:40" x14ac:dyDescent="0.25">
      <c r="A119" t="str">
        <f>Funktional!A119</f>
        <v>Wagenhausen-Rheinklingen</v>
      </c>
      <c r="B119" t="str">
        <f>Funktional!B119</f>
        <v>PSG</v>
      </c>
      <c r="C119" s="43">
        <f>Funktional!D119</f>
        <v>60</v>
      </c>
      <c r="D119" s="43">
        <f>Funktional!J119-'KiGa - PS'!H120</f>
        <v>309278.94999999995</v>
      </c>
      <c r="E119" s="43">
        <f>'KiGa - PS'!F120+'KiGa - PS'!K120*Artengliederung!D119</f>
        <v>727671.53031224222</v>
      </c>
      <c r="F119" s="365">
        <v>530152.65</v>
      </c>
      <c r="G119" s="43">
        <f>F119*'KiGa - PS'!L120</f>
        <v>447379.75009786646</v>
      </c>
      <c r="H119" s="42">
        <f t="shared" si="123"/>
        <v>0.61481002273910157</v>
      </c>
      <c r="I119" s="85">
        <f t="shared" si="124"/>
        <v>7456.3291682977742</v>
      </c>
      <c r="J119" s="365">
        <v>104990.3</v>
      </c>
      <c r="K119" s="43">
        <f>J119*'KiGa - PS'!L120</f>
        <v>88598.131456477728</v>
      </c>
      <c r="L119" s="42">
        <f t="shared" si="125"/>
        <v>0.12175566552460898</v>
      </c>
      <c r="M119" s="43">
        <f t="shared" si="126"/>
        <v>1476.6355242746288</v>
      </c>
      <c r="N119" s="365">
        <v>21254.85</v>
      </c>
      <c r="O119" s="43">
        <f>N119*'KiGa - PS'!L120</f>
        <v>17936.3235878716</v>
      </c>
      <c r="P119" s="42">
        <f t="shared" si="127"/>
        <v>2.464892859031487E-2</v>
      </c>
      <c r="Q119" s="43">
        <f>O119/Funktional!C119</f>
        <v>5978.7745292905338</v>
      </c>
      <c r="R119" s="85">
        <f t="shared" si="128"/>
        <v>298.93872646452667</v>
      </c>
      <c r="S119" s="365">
        <v>7080.4</v>
      </c>
      <c r="T119" s="365">
        <v>27212.95</v>
      </c>
      <c r="U119" s="43">
        <f>T119*'KiGa - PS'!L120</f>
        <v>22964.183561896247</v>
      </c>
      <c r="V119" s="42">
        <f t="shared" si="129"/>
        <v>3.1558447191196784E-2</v>
      </c>
      <c r="W119" s="43">
        <f t="shared" si="130"/>
        <v>382.73639269827078</v>
      </c>
      <c r="X119" s="365">
        <v>26462.5</v>
      </c>
      <c r="Y119" s="43">
        <f>X119*'KiGa - PS'!L120</f>
        <v>22330.901556306078</v>
      </c>
      <c r="Z119" s="91">
        <f t="shared" si="131"/>
        <v>3.0688161658219526E-2</v>
      </c>
      <c r="AA119" s="365">
        <v>125952.2</v>
      </c>
      <c r="AB119" s="43">
        <f>AA119*'KiGa - PS'!L120</f>
        <v>106287.24341994045</v>
      </c>
      <c r="AC119" s="43">
        <f t="shared" si="132"/>
        <v>1771.4540569990074</v>
      </c>
      <c r="AD119" s="42">
        <f t="shared" si="133"/>
        <v>0.14606486442355776</v>
      </c>
      <c r="AE119" s="365">
        <v>71284</v>
      </c>
      <c r="AF119" s="43">
        <f>AE119*'KiGa - PS'!L120</f>
        <v>60154.406671316858</v>
      </c>
      <c r="AG119" s="42">
        <f t="shared" si="134"/>
        <v>8.2666978389967699E-2</v>
      </c>
      <c r="AH119" s="42">
        <f>AE119/'Kennzahlen Revision'!F119</f>
        <v>8.7743657159175398E-2</v>
      </c>
      <c r="AI119" s="97">
        <f t="shared" si="122"/>
        <v>8.5811000121534919E-2</v>
      </c>
      <c r="AJ119" s="365">
        <v>140059.29999999999</v>
      </c>
      <c r="AK119" s="43">
        <f>AJ119*'KiGa - PS'!$L120</f>
        <v>118191.79746226319</v>
      </c>
      <c r="AL119" s="365">
        <v>45000</v>
      </c>
      <c r="AM119" s="43">
        <f>AL119*'KiGa - PS'!$L120</f>
        <v>37974.135853897911</v>
      </c>
      <c r="AN119" s="97">
        <f>(AK119+AM119)/Funktional!E119</f>
        <v>0.23220356698450798</v>
      </c>
    </row>
    <row r="120" spans="1:40" x14ac:dyDescent="0.25">
      <c r="A120" t="str">
        <f>Funktional!A120</f>
        <v>Wäldi</v>
      </c>
      <c r="B120" t="str">
        <f>Funktional!B120</f>
        <v>PSG</v>
      </c>
      <c r="C120" s="43">
        <f>Funktional!D120</f>
        <v>35</v>
      </c>
      <c r="D120" s="43">
        <f>Funktional!J120-'KiGa - PS'!H121</f>
        <v>62205.449999999983</v>
      </c>
      <c r="E120" s="43">
        <f>'KiGa - PS'!F121+'KiGa - PS'!K121*Artengliederung!D120</f>
        <v>273392.45785775624</v>
      </c>
      <c r="F120" s="365">
        <v>211070.75</v>
      </c>
      <c r="G120" s="43">
        <f>F120*'KiGa - PS'!L121</f>
        <v>211070.75</v>
      </c>
      <c r="H120" s="42">
        <f t="shared" si="123"/>
        <v>0.77204306093117725</v>
      </c>
      <c r="I120" s="85">
        <f t="shared" si="124"/>
        <v>6030.5928571428567</v>
      </c>
      <c r="J120" s="365">
        <v>49118</v>
      </c>
      <c r="K120" s="43">
        <f>J120*'KiGa - PS'!L121</f>
        <v>49118</v>
      </c>
      <c r="L120" s="42">
        <f t="shared" si="125"/>
        <v>0.17966113763663399</v>
      </c>
      <c r="M120" s="43">
        <f t="shared" si="126"/>
        <v>1403.3714285714286</v>
      </c>
      <c r="N120" s="365">
        <v>11816.85</v>
      </c>
      <c r="O120" s="43">
        <f>N120*'KiGa - PS'!L121</f>
        <v>11816.85</v>
      </c>
      <c r="P120" s="42">
        <f t="shared" si="127"/>
        <v>4.3223028508519452E-2</v>
      </c>
      <c r="Q120" s="43">
        <f>O120/Funktional!C120</f>
        <v>7877.9000000000005</v>
      </c>
      <c r="R120" s="85">
        <f t="shared" si="128"/>
        <v>337.62428571428575</v>
      </c>
      <c r="S120" s="365">
        <v>3160.4</v>
      </c>
      <c r="T120" s="365">
        <v>1004</v>
      </c>
      <c r="U120" s="43">
        <f>T120*'KiGa - PS'!L121</f>
        <v>1004</v>
      </c>
      <c r="V120" s="42">
        <f t="shared" si="129"/>
        <v>3.6723763627831045E-3</v>
      </c>
      <c r="W120" s="43">
        <f t="shared" si="130"/>
        <v>28.685714285714287</v>
      </c>
      <c r="X120" s="365">
        <v>692.2</v>
      </c>
      <c r="Y120" s="43">
        <f>X120*'KiGa - PS'!L121</f>
        <v>692.2</v>
      </c>
      <c r="Z120" s="91">
        <f t="shared" si="131"/>
        <v>2.5318913529068375E-3</v>
      </c>
      <c r="AA120" s="365">
        <v>8807.65</v>
      </c>
      <c r="AB120" s="43">
        <f>AA120*'KiGa - PS'!L121</f>
        <v>8807.65</v>
      </c>
      <c r="AC120" s="43">
        <f t="shared" si="132"/>
        <v>251.64714285714285</v>
      </c>
      <c r="AD120" s="42">
        <f t="shared" si="133"/>
        <v>3.221614110723766E-2</v>
      </c>
      <c r="AE120" s="365">
        <v>6725.3</v>
      </c>
      <c r="AF120" s="43">
        <f>AE120*'KiGa - PS'!L121</f>
        <v>6725.3</v>
      </c>
      <c r="AG120" s="42">
        <f t="shared" si="134"/>
        <v>2.4599435012574913E-2</v>
      </c>
      <c r="AH120" s="42">
        <f>AE120/'Kennzahlen Revision'!F120</f>
        <v>6.3626300851466422E-2</v>
      </c>
      <c r="AI120" s="97">
        <f t="shared" si="122"/>
        <v>1.2407283962167989E-2</v>
      </c>
      <c r="AJ120" s="365">
        <v>78282</v>
      </c>
      <c r="AK120" s="43">
        <f>AJ120*'KiGa - PS'!$L121</f>
        <v>78282</v>
      </c>
      <c r="AL120" s="365">
        <v>0</v>
      </c>
      <c r="AM120" s="43">
        <f>AL120*'KiGa - PS'!$L121</f>
        <v>0</v>
      </c>
      <c r="AN120" s="97">
        <f>(AK120+AM120)/Funktional!E120</f>
        <v>0.28617139832355665</v>
      </c>
    </row>
    <row r="121" spans="1:40" x14ac:dyDescent="0.25">
      <c r="A121" t="str">
        <f>Funktional!A121</f>
        <v>Warth-Weiningen</v>
      </c>
      <c r="B121" t="str">
        <f>Funktional!B121</f>
        <v>PSG</v>
      </c>
      <c r="C121" s="43">
        <f>Funktional!D121</f>
        <v>113</v>
      </c>
      <c r="D121" s="43">
        <f>Funktional!J121-'KiGa - PS'!H122</f>
        <v>519575.80000000005</v>
      </c>
      <c r="E121" s="43">
        <f>'KiGa - PS'!F122+'KiGa - PS'!K122*Artengliederung!D121</f>
        <v>1113436.5650858965</v>
      </c>
      <c r="F121" s="365">
        <v>781598.2</v>
      </c>
      <c r="G121" s="43">
        <f>F121*'KiGa - PS'!L122</f>
        <v>688554.67180674977</v>
      </c>
      <c r="H121" s="42">
        <f t="shared" si="123"/>
        <v>0.61840493962368748</v>
      </c>
      <c r="I121" s="85">
        <f t="shared" si="124"/>
        <v>6093.4041752809717</v>
      </c>
      <c r="J121" s="365">
        <v>223980.6</v>
      </c>
      <c r="K121" s="43">
        <f>J121*'KiGa - PS'!L122</f>
        <v>197317.35375552159</v>
      </c>
      <c r="L121" s="42">
        <f t="shared" si="125"/>
        <v>0.17721472416374207</v>
      </c>
      <c r="M121" s="43">
        <f t="shared" si="126"/>
        <v>1746.1712721727574</v>
      </c>
      <c r="N121" s="365">
        <v>31077.5</v>
      </c>
      <c r="O121" s="43">
        <f>N121*'KiGa - PS'!L122</f>
        <v>27377.951757148709</v>
      </c>
      <c r="P121" s="42">
        <f t="shared" si="127"/>
        <v>2.4588694691409407E-2</v>
      </c>
      <c r="Q121" s="43">
        <f>O121/Funktional!C121</f>
        <v>5475.5903514297415</v>
      </c>
      <c r="R121" s="85">
        <f t="shared" si="128"/>
        <v>242.28275891282044</v>
      </c>
      <c r="S121" s="365">
        <v>33820.699999999997</v>
      </c>
      <c r="T121" s="365">
        <v>50840.25</v>
      </c>
      <c r="U121" s="43">
        <f>T121*'KiGa - PS'!L122</f>
        <v>44788.09144304978</v>
      </c>
      <c r="V121" s="42">
        <f t="shared" si="129"/>
        <v>4.022509485270459E-2</v>
      </c>
      <c r="W121" s="43">
        <f t="shared" si="130"/>
        <v>396.35479153141398</v>
      </c>
      <c r="X121" s="365">
        <v>50472.25</v>
      </c>
      <c r="Y121" s="43">
        <f>X121*'KiGa - PS'!L122</f>
        <v>44463.899141653892</v>
      </c>
      <c r="Z121" s="91">
        <f t="shared" si="131"/>
        <v>3.9933931160437239E-2</v>
      </c>
      <c r="AA121" s="365">
        <v>105330.35</v>
      </c>
      <c r="AB121" s="43">
        <f>AA121*'KiGa - PS'!L122</f>
        <v>92791.545036234849</v>
      </c>
      <c r="AC121" s="43">
        <f t="shared" si="132"/>
        <v>821.16411536491012</v>
      </c>
      <c r="AD121" s="42">
        <f t="shared" si="133"/>
        <v>8.3337971776664618E-2</v>
      </c>
      <c r="AE121" s="365">
        <v>73468</v>
      </c>
      <c r="AF121" s="43">
        <f>AE121*'KiGa - PS'!L122</f>
        <v>64722.17391019874</v>
      </c>
      <c r="AG121" s="42">
        <f t="shared" si="134"/>
        <v>5.812829930298339E-2</v>
      </c>
      <c r="AH121" s="42">
        <f>AE121/'Kennzahlen Revision'!F121</f>
        <v>8.6957036349669836E-2</v>
      </c>
      <c r="AI121" s="97">
        <f t="shared" si="122"/>
        <v>8.0817269583201248E-2</v>
      </c>
      <c r="AJ121" s="365">
        <v>38383</v>
      </c>
      <c r="AK121" s="43">
        <f>AJ121*'KiGa - PS'!$L122</f>
        <v>33813.785609995619</v>
      </c>
      <c r="AL121" s="365">
        <v>0</v>
      </c>
      <c r="AM121" s="43">
        <f>AL121*'KiGa - PS'!$L122</f>
        <v>0</v>
      </c>
      <c r="AN121" s="97">
        <f>(AK121+AM121)/Funktional!E121</f>
        <v>3.2378816376816097E-2</v>
      </c>
    </row>
    <row r="122" spans="1:40" x14ac:dyDescent="0.25">
      <c r="A122" t="str">
        <f>Funktional!A122</f>
        <v>Weinfelden</v>
      </c>
      <c r="B122" t="str">
        <f>Funktional!B122</f>
        <v>PSG</v>
      </c>
      <c r="C122" s="43">
        <f>Funktional!D122</f>
        <v>694</v>
      </c>
      <c r="D122" s="43">
        <f>Funktional!J122-'KiGa - PS'!H123</f>
        <v>3090728.1000000006</v>
      </c>
      <c r="E122" s="43">
        <f>'KiGa - PS'!F123+'KiGa - PS'!K123*Artengliederung!D122</f>
        <v>7370484.5211247411</v>
      </c>
      <c r="F122" s="365">
        <v>6054534.9000000004</v>
      </c>
      <c r="G122" s="43">
        <f>F122*'KiGa - PS'!L123</f>
        <v>5019480.7959453864</v>
      </c>
      <c r="H122" s="42">
        <f t="shared" si="123"/>
        <v>0.68102453530143359</v>
      </c>
      <c r="I122" s="85">
        <f t="shared" si="124"/>
        <v>7232.6812621691442</v>
      </c>
      <c r="J122" s="365">
        <v>1153142</v>
      </c>
      <c r="K122" s="43">
        <f>J122*'KiGa - PS'!L123</f>
        <v>956006.40174657409</v>
      </c>
      <c r="L122" s="42">
        <f t="shared" si="125"/>
        <v>0.12970740241113576</v>
      </c>
      <c r="M122" s="43">
        <f t="shared" si="126"/>
        <v>1377.5308382515477</v>
      </c>
      <c r="N122" s="365">
        <v>249396.9</v>
      </c>
      <c r="O122" s="43">
        <f>N122*'KiGa - PS'!L123</f>
        <v>206761.20805221747</v>
      </c>
      <c r="P122" s="42">
        <f t="shared" si="127"/>
        <v>2.8052593755486997E-2</v>
      </c>
      <c r="Q122" s="43">
        <f>O122/Funktional!C122</f>
        <v>6265.4911530974987</v>
      </c>
      <c r="R122" s="85">
        <f t="shared" si="128"/>
        <v>297.92681275535659</v>
      </c>
      <c r="S122" s="365">
        <v>112724.8</v>
      </c>
      <c r="T122" s="365">
        <v>21379.7</v>
      </c>
      <c r="U122" s="43">
        <f>T122*'KiGa - PS'!L123</f>
        <v>17724.729536710336</v>
      </c>
      <c r="V122" s="42">
        <f t="shared" si="129"/>
        <v>2.4048255560281035E-3</v>
      </c>
      <c r="W122" s="43">
        <f t="shared" si="130"/>
        <v>25.539956104769935</v>
      </c>
      <c r="X122" s="365">
        <v>0</v>
      </c>
      <c r="Y122" s="43">
        <f>X122*'KiGa - PS'!L123</f>
        <v>0</v>
      </c>
      <c r="Z122" s="91">
        <f t="shared" si="131"/>
        <v>0</v>
      </c>
      <c r="AA122" s="365">
        <v>132164.15</v>
      </c>
      <c r="AB122" s="43">
        <f>AA122*'KiGa - PS'!L123</f>
        <v>109570.00393827862</v>
      </c>
      <c r="AC122" s="43">
        <f t="shared" si="132"/>
        <v>157.88185005515652</v>
      </c>
      <c r="AD122" s="42">
        <f t="shared" si="133"/>
        <v>1.4866051699075837E-2</v>
      </c>
      <c r="AE122" s="365">
        <v>70000</v>
      </c>
      <c r="AF122" s="43">
        <f>AE122*'KiGa - PS'!L123</f>
        <v>58033.137395273254</v>
      </c>
      <c r="AG122" s="42">
        <f t="shared" si="134"/>
        <v>7.8737208156319898E-3</v>
      </c>
      <c r="AH122" s="42">
        <f>AE122/'Kennzahlen Revision'!F122</f>
        <v>0.19133040916691324</v>
      </c>
      <c r="AI122" s="97">
        <f t="shared" si="122"/>
        <v>0.17199718503232669</v>
      </c>
      <c r="AJ122" s="365">
        <v>154976.95000000001</v>
      </c>
      <c r="AK122" s="43">
        <f>AJ122*'KiGa - PS'!$L123</f>
        <v>128482.8376064342</v>
      </c>
      <c r="AL122" s="365">
        <v>0</v>
      </c>
      <c r="AM122" s="43">
        <f>AL122*'KiGa - PS'!$L123</f>
        <v>0</v>
      </c>
      <c r="AN122" s="97">
        <f>(AK122+AM122)/Funktional!E122</f>
        <v>2.0415659709334063E-2</v>
      </c>
    </row>
    <row r="123" spans="1:40" x14ac:dyDescent="0.25">
      <c r="A123" t="str">
        <f>Funktional!A123</f>
        <v>Wigoltingen</v>
      </c>
      <c r="B123" t="str">
        <f>Funktional!B123</f>
        <v>PSG</v>
      </c>
      <c r="C123" s="43">
        <f>Funktional!D123</f>
        <v>132</v>
      </c>
      <c r="D123" s="43">
        <f>Funktional!J123-'KiGa - PS'!H124</f>
        <v>641050.70000000019</v>
      </c>
      <c r="E123" s="43">
        <f>'KiGa - PS'!F124+'KiGa - PS'!K124*Artengliederung!D123</f>
        <v>1758105.472749836</v>
      </c>
      <c r="F123" s="365">
        <v>1517112.25</v>
      </c>
      <c r="G123" s="43">
        <f>F123*'KiGa - PS'!L124</f>
        <v>1300658.2156469719</v>
      </c>
      <c r="H123" s="42">
        <f t="shared" si="123"/>
        <v>0.73980670432282136</v>
      </c>
      <c r="I123" s="85">
        <f t="shared" si="124"/>
        <v>9853.4713306588783</v>
      </c>
      <c r="J123" s="365">
        <v>261589.8</v>
      </c>
      <c r="K123" s="43">
        <f>J123*'KiGa - PS'!L124</f>
        <v>224267.46768371837</v>
      </c>
      <c r="L123" s="42">
        <f t="shared" si="125"/>
        <v>0.12756200987927291</v>
      </c>
      <c r="M123" s="43">
        <f t="shared" si="126"/>
        <v>1698.9959673008966</v>
      </c>
      <c r="N123" s="365">
        <v>62344.9</v>
      </c>
      <c r="O123" s="43">
        <f>N123*'KiGa - PS'!L124</f>
        <v>53449.839580880653</v>
      </c>
      <c r="P123" s="42">
        <f t="shared" si="127"/>
        <v>3.0401952789146529E-2</v>
      </c>
      <c r="Q123" s="43">
        <f>O123/Funktional!C123</f>
        <v>7635.6913686972357</v>
      </c>
      <c r="R123" s="85">
        <f t="shared" si="128"/>
        <v>404.92302712788376</v>
      </c>
      <c r="S123" s="365">
        <v>3114.25</v>
      </c>
      <c r="T123" s="365">
        <v>84668.25</v>
      </c>
      <c r="U123" s="43">
        <f>T123*'KiGa - PS'!L124</f>
        <v>72588.204970958293</v>
      </c>
      <c r="V123" s="42">
        <f t="shared" si="129"/>
        <v>4.1287741888104003E-2</v>
      </c>
      <c r="W123" s="43">
        <f t="shared" si="130"/>
        <v>549.91064371938103</v>
      </c>
      <c r="X123" s="365">
        <v>75912.5</v>
      </c>
      <c r="Y123" s="43">
        <f>X123*'KiGa - PS'!L124</f>
        <v>65081.681856633055</v>
      </c>
      <c r="Z123" s="91">
        <f t="shared" si="131"/>
        <v>3.7018075914887753E-2</v>
      </c>
      <c r="AA123" s="365">
        <v>62832.55</v>
      </c>
      <c r="AB123" s="43">
        <f>AA123*'KiGa - PS'!L124</f>
        <v>53867.914102960509</v>
      </c>
      <c r="AC123" s="43">
        <f t="shared" si="132"/>
        <v>408.09025835576142</v>
      </c>
      <c r="AD123" s="42">
        <f t="shared" si="133"/>
        <v>3.06397511058914E-2</v>
      </c>
      <c r="AE123" s="365">
        <v>50987</v>
      </c>
      <c r="AF123" s="43">
        <f>AE123*'KiGa - PS'!L124</f>
        <v>43712.428293418736</v>
      </c>
      <c r="AG123" s="42">
        <f t="shared" si="134"/>
        <v>2.4863370810767425E-2</v>
      </c>
      <c r="AH123" s="42">
        <f>AE123/'Kennzahlen Revision'!F123</f>
        <v>6.3921880083320226E-2</v>
      </c>
      <c r="AI123" s="97">
        <f t="shared" si="122"/>
        <v>6.0703792803910334E-2</v>
      </c>
      <c r="AJ123" s="365">
        <v>288228</v>
      </c>
      <c r="AK123" s="43">
        <f>AJ123*'KiGa - PS'!$L124</f>
        <v>247105.06172466502</v>
      </c>
      <c r="AL123" s="365">
        <v>238360</v>
      </c>
      <c r="AM123" s="43">
        <f>AL123*'KiGa - PS'!$L124</f>
        <v>204351.98007373034</v>
      </c>
      <c r="AN123" s="97">
        <f>(AK123+AM123)/Funktional!E123</f>
        <v>0.27192855417906159</v>
      </c>
    </row>
    <row r="124" spans="1:40" x14ac:dyDescent="0.25">
      <c r="A124" t="str">
        <f>Funktional!A124</f>
        <v>Wilen bei Wil</v>
      </c>
      <c r="B124" t="str">
        <f>Funktional!B124</f>
        <v>PSG</v>
      </c>
      <c r="C124" s="43">
        <f>Funktional!D124</f>
        <v>163</v>
      </c>
      <c r="D124" s="43">
        <f>Funktional!J124-'KiGa - PS'!H125</f>
        <v>704787.10000000009</v>
      </c>
      <c r="E124" s="43">
        <f>'KiGa - PS'!F125+'KiGa - PS'!K125*Artengliederung!D124</f>
        <v>1598676.1008725199</v>
      </c>
      <c r="F124" s="365">
        <v>1279272.3999999999</v>
      </c>
      <c r="G124" s="43">
        <f>F124*'KiGa - PS'!L125</f>
        <v>1080591.2089296333</v>
      </c>
      <c r="H124" s="42">
        <f t="shared" si="123"/>
        <v>0.67592879404394168</v>
      </c>
      <c r="I124" s="85">
        <f t="shared" si="124"/>
        <v>6629.3939198137014</v>
      </c>
      <c r="J124" s="365">
        <v>247197.15</v>
      </c>
      <c r="K124" s="43">
        <f>J124*'KiGa - PS'!L125</f>
        <v>208805.4640766579</v>
      </c>
      <c r="L124" s="42">
        <f t="shared" si="125"/>
        <v>0.13061148781963824</v>
      </c>
      <c r="M124" s="43">
        <f t="shared" si="126"/>
        <v>1281.015117034711</v>
      </c>
      <c r="N124" s="365">
        <v>51713.35</v>
      </c>
      <c r="O124" s="43">
        <f>N124*'KiGa - PS'!L125</f>
        <v>43681.854931210321</v>
      </c>
      <c r="P124" s="42">
        <f t="shared" si="127"/>
        <v>2.7323768027413303E-2</v>
      </c>
      <c r="Q124" s="43">
        <f>O124/Funktional!C124</f>
        <v>5460.2318664012901</v>
      </c>
      <c r="R124" s="85">
        <f t="shared" si="128"/>
        <v>267.986840068775</v>
      </c>
      <c r="S124" s="365">
        <v>27144.799999999999</v>
      </c>
      <c r="T124" s="365">
        <v>89951.2</v>
      </c>
      <c r="U124" s="43">
        <f>T124*'KiGa - PS'!L125</f>
        <v>75981.062323138714</v>
      </c>
      <c r="V124" s="42">
        <f t="shared" si="129"/>
        <v>4.7527489953512178E-2</v>
      </c>
      <c r="W124" s="43">
        <f t="shared" si="130"/>
        <v>466.14148664502278</v>
      </c>
      <c r="X124" s="365">
        <v>90407</v>
      </c>
      <c r="Y124" s="43">
        <f>X124*'KiGa - PS'!L125</f>
        <v>76366.07295342366</v>
      </c>
      <c r="Z124" s="91">
        <f t="shared" si="131"/>
        <v>4.7768320869840272E-2</v>
      </c>
      <c r="AA124" s="365">
        <v>93403.8</v>
      </c>
      <c r="AB124" s="43">
        <f>AA124*'KiGa - PS'!L125</f>
        <v>78897.446048724029</v>
      </c>
      <c r="AC124" s="43">
        <f t="shared" si="132"/>
        <v>484.03341134186519</v>
      </c>
      <c r="AD124" s="42">
        <f t="shared" si="133"/>
        <v>4.9351739233271616E-2</v>
      </c>
      <c r="AE124" s="365">
        <v>90031</v>
      </c>
      <c r="AF124" s="43">
        <f>AE124*'KiGa - PS'!L125</f>
        <v>76048.468747659863</v>
      </c>
      <c r="AG124" s="42">
        <f t="shared" si="134"/>
        <v>4.7569653856809641E-2</v>
      </c>
      <c r="AH124" s="42">
        <f>AE124/'Kennzahlen Revision'!F124</f>
        <v>6.6227460073075228E-2</v>
      </c>
      <c r="AI124" s="97">
        <f t="shared" si="122"/>
        <v>9.6580488949636292E-2</v>
      </c>
      <c r="AJ124" s="365">
        <v>343710</v>
      </c>
      <c r="AK124" s="43">
        <f>AJ124*'KiGa - PS'!$L125</f>
        <v>290329.09990179131</v>
      </c>
      <c r="AL124" s="365">
        <v>0</v>
      </c>
      <c r="AM124" s="43">
        <f>AL124*'KiGa - PS'!$L125</f>
        <v>0</v>
      </c>
      <c r="AN124" s="97">
        <f>(AK124+AM124)/Funktional!E124</f>
        <v>0.19743005474087316</v>
      </c>
    </row>
    <row r="125" spans="1:40" x14ac:dyDescent="0.25">
      <c r="A125" t="str">
        <f>Funktional!A125</f>
        <v>Wittenwil</v>
      </c>
      <c r="B125" t="str">
        <f>Funktional!B125</f>
        <v>PSG</v>
      </c>
      <c r="C125" s="43">
        <f>Funktional!D125</f>
        <v>38</v>
      </c>
      <c r="D125" s="43">
        <f>Funktional!J125-'KiGa - PS'!H126</f>
        <v>132590.84999999998</v>
      </c>
      <c r="E125" s="43">
        <f>'KiGa - PS'!F126+'KiGa - PS'!K126*Artengliederung!D125</f>
        <v>381889.37021974998</v>
      </c>
      <c r="F125" s="365">
        <v>339613.9</v>
      </c>
      <c r="G125" s="43">
        <f>F125*'KiGa - PS'!L126</f>
        <v>276035.30237447121</v>
      </c>
      <c r="H125" s="42">
        <f t="shared" si="123"/>
        <v>0.72281483565680993</v>
      </c>
      <c r="I125" s="85">
        <f t="shared" si="124"/>
        <v>7264.0869045913478</v>
      </c>
      <c r="J125" s="365">
        <v>69852.05</v>
      </c>
      <c r="K125" s="43">
        <f>J125*'KiGa - PS'!L126</f>
        <v>56775.154795568385</v>
      </c>
      <c r="L125" s="42">
        <f t="shared" si="125"/>
        <v>0.14866911525423804</v>
      </c>
      <c r="M125" s="43">
        <f t="shared" si="126"/>
        <v>1494.0830209360101</v>
      </c>
      <c r="N125" s="365">
        <v>14730.6</v>
      </c>
      <c r="O125" s="43">
        <f>N125*'KiGa - PS'!L126</f>
        <v>11972.906954507414</v>
      </c>
      <c r="P125" s="42">
        <f t="shared" si="127"/>
        <v>3.1351768046379146E-2</v>
      </c>
      <c r="Q125" s="43">
        <f>O125/Funktional!C125</f>
        <v>5986.4534772537072</v>
      </c>
      <c r="R125" s="85">
        <f t="shared" si="128"/>
        <v>315.07649880282668</v>
      </c>
      <c r="S125" s="365">
        <v>11771.55</v>
      </c>
      <c r="T125" s="365">
        <v>17967.650000000001</v>
      </c>
      <c r="U125" s="43">
        <f>T125*'KiGa - PS'!L126</f>
        <v>14603.953786074917</v>
      </c>
      <c r="V125" s="42">
        <f t="shared" si="129"/>
        <v>3.824132045799386E-2</v>
      </c>
      <c r="W125" s="43">
        <f t="shared" si="130"/>
        <v>384.31457331776096</v>
      </c>
      <c r="X125" s="365">
        <v>17695.5</v>
      </c>
      <c r="Y125" s="43">
        <f>X125*'KiGa - PS'!L126</f>
        <v>14382.752570396722</v>
      </c>
      <c r="Z125" s="91">
        <f t="shared" si="131"/>
        <v>3.7662091935474609E-2</v>
      </c>
      <c r="AA125" s="365">
        <v>27449.599999999999</v>
      </c>
      <c r="AB125" s="43">
        <f>AA125*'KiGa - PS'!L126</f>
        <v>22310.802461437193</v>
      </c>
      <c r="AC125" s="43">
        <f t="shared" si="132"/>
        <v>587.12638056413664</v>
      </c>
      <c r="AD125" s="42">
        <f t="shared" si="133"/>
        <v>5.8422161498234225E-2</v>
      </c>
      <c r="AE125" s="365">
        <v>6500</v>
      </c>
      <c r="AF125" s="43">
        <f>AE125*'KiGa - PS'!L126</f>
        <v>5283.1449638370595</v>
      </c>
      <c r="AG125" s="42">
        <f t="shared" si="134"/>
        <v>1.3834228904556803E-2</v>
      </c>
      <c r="AH125" s="42">
        <f>AE125/'Kennzahlen Revision'!F125</f>
        <v>2.2558482431887697E-2</v>
      </c>
      <c r="AI125" s="97">
        <f t="shared" si="122"/>
        <v>3.1852567132723948E-2</v>
      </c>
      <c r="AJ125" s="365">
        <v>91587</v>
      </c>
      <c r="AK125" s="43">
        <f>AJ125*'KiGa - PS'!$L126</f>
        <v>74441.138123529963</v>
      </c>
      <c r="AL125" s="365">
        <v>25618</v>
      </c>
      <c r="AM125" s="43">
        <f>AL125*'KiGa - PS'!$L126</f>
        <v>20822.0934897812</v>
      </c>
      <c r="AN125" s="97">
        <f>(AK125+AM125)/Funktional!E125</f>
        <v>0.25550834617723933</v>
      </c>
    </row>
    <row r="126" spans="1:40" x14ac:dyDescent="0.25">
      <c r="A126" t="str">
        <f>Funktional!A126</f>
        <v>Wuppenau</v>
      </c>
      <c r="B126" t="str">
        <f>Funktional!B126</f>
        <v>PSG</v>
      </c>
      <c r="C126" s="43">
        <f>Funktional!D126</f>
        <v>131</v>
      </c>
      <c r="D126" s="43">
        <f>Funktional!J126-'KiGa - PS'!H127</f>
        <v>556946.20000000019</v>
      </c>
      <c r="E126" s="43">
        <f>'KiGa - PS'!F127+'KiGa - PS'!K127*Artengliederung!D126</f>
        <v>1485375.6760183065</v>
      </c>
      <c r="F126" s="365">
        <v>1167275.05</v>
      </c>
      <c r="G126" s="43">
        <f>F126*'KiGa - PS'!L127</f>
        <v>1090617.6515528567</v>
      </c>
      <c r="H126" s="42">
        <f t="shared" si="123"/>
        <v>0.73423691336885422</v>
      </c>
      <c r="I126" s="85">
        <f t="shared" si="124"/>
        <v>8325.3255843729512</v>
      </c>
      <c r="J126" s="365">
        <v>243453.25</v>
      </c>
      <c r="K126" s="43">
        <f>J126*'KiGa - PS'!L127</f>
        <v>227465.16493941206</v>
      </c>
      <c r="L126" s="42">
        <f t="shared" si="125"/>
        <v>0.1531364547110092</v>
      </c>
      <c r="M126" s="43">
        <f t="shared" si="126"/>
        <v>1736.3753048810081</v>
      </c>
      <c r="N126" s="365">
        <v>37840.800000000003</v>
      </c>
      <c r="O126" s="43">
        <f>N126*'KiGa - PS'!L127</f>
        <v>35355.715372209263</v>
      </c>
      <c r="P126" s="42">
        <f t="shared" si="127"/>
        <v>2.3802540961882238E-2</v>
      </c>
      <c r="Q126" s="43">
        <f>O126/Funktional!C126</f>
        <v>5892.6192287015438</v>
      </c>
      <c r="R126" s="85">
        <f t="shared" si="128"/>
        <v>269.89095703976534</v>
      </c>
      <c r="S126" s="365">
        <v>20121.25</v>
      </c>
      <c r="T126" s="365">
        <v>37924.400000000001</v>
      </c>
      <c r="U126" s="43">
        <f>T126*'KiGa - PS'!L127</f>
        <v>35433.825185033427</v>
      </c>
      <c r="V126" s="42">
        <f t="shared" si="129"/>
        <v>2.3855126859231485E-2</v>
      </c>
      <c r="W126" s="43">
        <f t="shared" si="130"/>
        <v>270.48721515292692</v>
      </c>
      <c r="X126" s="365">
        <v>29685.4</v>
      </c>
      <c r="Y126" s="43">
        <f>X126*'KiGa - PS'!L127</f>
        <v>27735.897579072876</v>
      </c>
      <c r="Z126" s="91">
        <f t="shared" si="131"/>
        <v>1.8672648291522882E-2</v>
      </c>
      <c r="AA126" s="365">
        <v>75740</v>
      </c>
      <c r="AB126" s="43">
        <f>AA126*'KiGa - PS'!L127</f>
        <v>70765.995494046889</v>
      </c>
      <c r="AC126" s="43">
        <f t="shared" si="132"/>
        <v>540.1984388858541</v>
      </c>
      <c r="AD126" s="42">
        <f t="shared" si="133"/>
        <v>4.7641816569759646E-2</v>
      </c>
      <c r="AE126" s="365">
        <v>75740</v>
      </c>
      <c r="AF126" s="43">
        <f>AE126*'KiGa - PS'!L127</f>
        <v>70765.995494046889</v>
      </c>
      <c r="AG126" s="42">
        <f t="shared" si="134"/>
        <v>4.7641816569759646E-2</v>
      </c>
      <c r="AH126" s="42">
        <f>AE126/'Kennzahlen Revision'!F126</f>
        <v>6.5843463988649958E-2</v>
      </c>
      <c r="AI126" s="97">
        <f t="shared" si="122"/>
        <v>4.1129688491145455E-2</v>
      </c>
      <c r="AJ126" s="365">
        <v>505614</v>
      </c>
      <c r="AK126" s="43">
        <f>AJ126*'KiGa - PS'!$L127</f>
        <v>472409.26915404043</v>
      </c>
      <c r="AL126" s="365">
        <v>266715</v>
      </c>
      <c r="AM126" s="43">
        <f>AL126*'KiGa - PS'!$L127</f>
        <v>249199.26707413144</v>
      </c>
      <c r="AN126" s="97">
        <f>(AK126+AM126)/Funktional!E126</f>
        <v>0.5012048940239352</v>
      </c>
    </row>
    <row r="127" spans="1:40" x14ac:dyDescent="0.25">
      <c r="A127" t="str">
        <f>Funktional!A127</f>
        <v>Zezikon</v>
      </c>
      <c r="B127" t="str">
        <f>Funktional!B127</f>
        <v>PSG</v>
      </c>
      <c r="C127" s="43">
        <f>Funktional!D127</f>
        <v>41</v>
      </c>
      <c r="D127" s="43">
        <f>Funktional!J127-'KiGa - PS'!H128</f>
        <v>182639.09999999998</v>
      </c>
      <c r="E127" s="43">
        <f>'KiGa - PS'!F128+'KiGa - PS'!K128*Artengliederung!D127</f>
        <v>450716.46048772836</v>
      </c>
      <c r="F127" s="365">
        <v>283271</v>
      </c>
      <c r="G127" s="43">
        <f>F127*'KiGa - PS'!L128</f>
        <v>283271</v>
      </c>
      <c r="H127" s="42">
        <f t="shared" si="123"/>
        <v>0.62849046980327139</v>
      </c>
      <c r="I127" s="85">
        <f t="shared" si="124"/>
        <v>6909.0487804878048</v>
      </c>
      <c r="J127" s="365">
        <v>96648.9</v>
      </c>
      <c r="K127" s="43">
        <f>J127*'KiGa - PS'!L128</f>
        <v>96648.9</v>
      </c>
      <c r="L127" s="42">
        <f t="shared" si="125"/>
        <v>0.21443392570001657</v>
      </c>
      <c r="M127" s="43">
        <f t="shared" si="126"/>
        <v>2357.2902439024388</v>
      </c>
      <c r="N127" s="365">
        <v>16159.45</v>
      </c>
      <c r="O127" s="43">
        <f>N127*'KiGa - PS'!L128</f>
        <v>16159.45</v>
      </c>
      <c r="P127" s="42">
        <f t="shared" si="127"/>
        <v>3.5852806401864203E-2</v>
      </c>
      <c r="Q127" s="43">
        <f>O127/Funktional!C127</f>
        <v>8079.7250000000004</v>
      </c>
      <c r="R127" s="85">
        <f t="shared" si="128"/>
        <v>394.13292682926829</v>
      </c>
      <c r="S127" s="365">
        <v>1947</v>
      </c>
      <c r="T127" s="365">
        <v>34997.35</v>
      </c>
      <c r="U127" s="43">
        <f>T127*'KiGa - PS'!L128</f>
        <v>34997.35</v>
      </c>
      <c r="V127" s="42">
        <f t="shared" si="129"/>
        <v>7.7648262417859645E-2</v>
      </c>
      <c r="W127" s="43">
        <f t="shared" si="130"/>
        <v>853.5939024390243</v>
      </c>
      <c r="X127" s="365">
        <v>23070</v>
      </c>
      <c r="Y127" s="43">
        <f>X127*'KiGa - PS'!L128</f>
        <v>23070</v>
      </c>
      <c r="Z127" s="91">
        <f t="shared" si="131"/>
        <v>5.1185172991098531E-2</v>
      </c>
      <c r="AA127" s="365">
        <v>34459.85</v>
      </c>
      <c r="AB127" s="43">
        <f>AA127*'KiGa - PS'!L128</f>
        <v>34459.85</v>
      </c>
      <c r="AC127" s="43">
        <f t="shared" si="132"/>
        <v>840.48414634146343</v>
      </c>
      <c r="AD127" s="42">
        <f t="shared" si="133"/>
        <v>7.6455716666549919E-2</v>
      </c>
      <c r="AE127" s="365">
        <v>34771.25</v>
      </c>
      <c r="AF127" s="43">
        <f>AE127*'KiGa - PS'!L128</f>
        <v>34771.25</v>
      </c>
      <c r="AG127" s="42">
        <f t="shared" si="134"/>
        <v>7.7146616660890108E-2</v>
      </c>
      <c r="AH127" s="42">
        <f>AE127/'Kennzahlen Revision'!F127</f>
        <v>7.6114033417171781E-2</v>
      </c>
      <c r="AI127" s="97">
        <f t="shared" ref="AI127:AI142" si="135">1-H127-L127-V127-AD127</f>
        <v>2.9716254123024755E-3</v>
      </c>
      <c r="AJ127" s="365">
        <v>114925</v>
      </c>
      <c r="AK127" s="43">
        <f>AJ127*'KiGa - PS'!$L128</f>
        <v>114925</v>
      </c>
      <c r="AL127" s="365">
        <v>138848</v>
      </c>
      <c r="AM127" s="43">
        <f>AL127*'KiGa - PS'!$L128</f>
        <v>138848</v>
      </c>
      <c r="AN127" s="97">
        <f>(AK127+AM127)/Funktional!E127</f>
        <v>0.55968928426143094</v>
      </c>
    </row>
    <row r="128" spans="1:40" x14ac:dyDescent="0.25">
      <c r="A128" t="str">
        <f>Funktional!A128</f>
        <v>Zihlschlacht</v>
      </c>
      <c r="B128" t="str">
        <f>Funktional!B128</f>
        <v>PSG</v>
      </c>
      <c r="C128" s="43">
        <f>Funktional!D128</f>
        <v>97</v>
      </c>
      <c r="D128" s="43">
        <f>Funktional!J128-'KiGa - PS'!H129</f>
        <v>476156.67000000004</v>
      </c>
      <c r="E128" s="43">
        <f>'KiGa - PS'!F129+'KiGa - PS'!K129*Artengliederung!D128</f>
        <v>1172787.4316972061</v>
      </c>
      <c r="F128" s="365">
        <v>886113.85</v>
      </c>
      <c r="G128" s="43">
        <f>F128*'KiGa - PS'!L129</f>
        <v>769982.88569900824</v>
      </c>
      <c r="H128" s="42">
        <f t="shared" si="123"/>
        <v>0.65654087423560048</v>
      </c>
      <c r="I128" s="85">
        <f t="shared" si="124"/>
        <v>7937.9678938042089</v>
      </c>
      <c r="J128" s="365">
        <v>236627</v>
      </c>
      <c r="K128" s="43">
        <f>J128*'KiGa - PS'!L129</f>
        <v>205615.49770867394</v>
      </c>
      <c r="L128" s="42">
        <f t="shared" si="125"/>
        <v>0.1753220508264795</v>
      </c>
      <c r="M128" s="43">
        <f t="shared" si="126"/>
        <v>2119.747399058494</v>
      </c>
      <c r="N128" s="365">
        <v>34415.75</v>
      </c>
      <c r="O128" s="43">
        <f>N128*'KiGa - PS'!L129</f>
        <v>29905.34286141182</v>
      </c>
      <c r="P128" s="42">
        <f t="shared" si="127"/>
        <v>2.5499371883730141E-2</v>
      </c>
      <c r="Q128" s="43">
        <f>O128/Funktional!C128</f>
        <v>5981.0685722823637</v>
      </c>
      <c r="R128" s="85">
        <f t="shared" si="128"/>
        <v>308.30250372589506</v>
      </c>
      <c r="S128" s="365">
        <v>23092.5</v>
      </c>
      <c r="T128" s="365">
        <v>51910.95</v>
      </c>
      <c r="U128" s="43">
        <f>T128*'KiGa - PS'!L129</f>
        <v>45107.683488275165</v>
      </c>
      <c r="V128" s="42">
        <f t="shared" si="129"/>
        <v>3.8461943118709346E-2</v>
      </c>
      <c r="W128" s="43">
        <f t="shared" si="130"/>
        <v>465.02766482757903</v>
      </c>
      <c r="X128" s="365">
        <v>47347.199999999997</v>
      </c>
      <c r="Y128" s="43">
        <f>X128*'KiGa - PS'!L129</f>
        <v>41142.04251041566</v>
      </c>
      <c r="Z128" s="91">
        <f t="shared" si="131"/>
        <v>3.5080562255750569E-2</v>
      </c>
      <c r="AA128" s="365">
        <v>102250.85</v>
      </c>
      <c r="AB128" s="43">
        <f>AA128*'KiGa - PS'!L129</f>
        <v>88850.213263427097</v>
      </c>
      <c r="AC128" s="43">
        <f t="shared" si="132"/>
        <v>915.98158003533092</v>
      </c>
      <c r="AD128" s="42">
        <f t="shared" si="133"/>
        <v>7.5759861388390734E-2</v>
      </c>
      <c r="AE128" s="365">
        <v>87249</v>
      </c>
      <c r="AF128" s="43">
        <f>AE128*'KiGa - PS'!L129</f>
        <v>75814.452955850735</v>
      </c>
      <c r="AG128" s="42">
        <f t="shared" si="134"/>
        <v>6.464466697612492E-2</v>
      </c>
      <c r="AH128" s="42">
        <f>AE128/'Kennzahlen Revision'!F128</f>
        <v>6.6592682429786845E-2</v>
      </c>
      <c r="AI128" s="97">
        <f t="shared" si="135"/>
        <v>5.3915270430819937E-2</v>
      </c>
      <c r="AJ128" s="365">
        <v>399154</v>
      </c>
      <c r="AK128" s="43">
        <f>AJ128*'KiGa - PS'!$L129</f>
        <v>346842.28077272687</v>
      </c>
      <c r="AL128" s="365">
        <v>150361</v>
      </c>
      <c r="AM128" s="43">
        <f>AL128*'KiGa - PS'!$L129</f>
        <v>130655.21623049746</v>
      </c>
      <c r="AN128" s="97">
        <f>(AK128+AM128)/Funktional!E128</f>
        <v>0.42665733507009324</v>
      </c>
    </row>
    <row r="129" spans="1:40" x14ac:dyDescent="0.25">
      <c r="A129" t="str">
        <f>Funktional!A129</f>
        <v>Zuben-Schönenbaumgarten</v>
      </c>
      <c r="B129" t="str">
        <f>Funktional!B129</f>
        <v>PSG</v>
      </c>
      <c r="C129" s="43">
        <f>Funktional!D129</f>
        <v>57</v>
      </c>
      <c r="D129" s="43">
        <f>Funktional!J129-'KiGa - PS'!H130</f>
        <v>160183.15000000008</v>
      </c>
      <c r="E129" s="43">
        <f>'KiGa - PS'!F130+'KiGa - PS'!K130*Artengliederung!D129</f>
        <v>509097.53214763606</v>
      </c>
      <c r="F129" s="365">
        <v>283315.84999999998</v>
      </c>
      <c r="G129" s="43">
        <f>F129*'KiGa - PS'!L130</f>
        <v>283315.84999999998</v>
      </c>
      <c r="H129" s="42">
        <f t="shared" si="123"/>
        <v>0.55650603687829236</v>
      </c>
      <c r="I129" s="85">
        <f t="shared" si="124"/>
        <v>4970.4535087719296</v>
      </c>
      <c r="J129" s="365">
        <v>86038.95</v>
      </c>
      <c r="K129" s="43">
        <f>J129*'KiGa - PS'!L130</f>
        <v>86038.95</v>
      </c>
      <c r="L129" s="42">
        <f t="shared" si="125"/>
        <v>0.16900288170135752</v>
      </c>
      <c r="M129" s="43">
        <f t="shared" si="126"/>
        <v>1509.4552631578947</v>
      </c>
      <c r="N129" s="365">
        <v>15134.55</v>
      </c>
      <c r="O129" s="43">
        <f>N129*'KiGa - PS'!L130</f>
        <v>15134.55</v>
      </c>
      <c r="P129" s="42">
        <f t="shared" si="127"/>
        <v>2.9728193605957309E-2</v>
      </c>
      <c r="Q129" s="43">
        <f>O129/Funktional!C129</f>
        <v>6053.82</v>
      </c>
      <c r="R129" s="85">
        <f t="shared" si="128"/>
        <v>265.51842105263154</v>
      </c>
      <c r="S129" s="365">
        <v>32887.449999999997</v>
      </c>
      <c r="T129" s="365">
        <v>29494.5</v>
      </c>
      <c r="U129" s="43">
        <f>T129*'KiGa - PS'!L130</f>
        <v>29494.5</v>
      </c>
      <c r="V129" s="42">
        <f t="shared" si="129"/>
        <v>5.7934871291905464E-2</v>
      </c>
      <c r="W129" s="43">
        <f t="shared" si="130"/>
        <v>517.4473684210526</v>
      </c>
      <c r="X129" s="365">
        <v>22816.95</v>
      </c>
      <c r="Y129" s="43">
        <f>X129*'KiGa - PS'!L130</f>
        <v>22816.95</v>
      </c>
      <c r="Z129" s="91">
        <f t="shared" si="131"/>
        <v>4.4818425859866839E-2</v>
      </c>
      <c r="AA129" s="365">
        <v>57054.35</v>
      </c>
      <c r="AB129" s="43">
        <f>AA129*'KiGa - PS'!L130</f>
        <v>57054.35</v>
      </c>
      <c r="AC129" s="43">
        <f t="shared" si="132"/>
        <v>1000.9535087719298</v>
      </c>
      <c r="AD129" s="42">
        <f t="shared" si="133"/>
        <v>0.11206958666508422</v>
      </c>
      <c r="AE129" s="365">
        <v>23079.5</v>
      </c>
      <c r="AF129" s="43">
        <f>AE129*'KiGa - PS'!L130</f>
        <v>23079.5</v>
      </c>
      <c r="AG129" s="42">
        <f t="shared" si="134"/>
        <v>4.5334142364899632E-2</v>
      </c>
      <c r="AH129" s="42">
        <f>AE129/'Kennzahlen Revision'!F129</f>
        <v>6.3829748985733556E-2</v>
      </c>
      <c r="AI129" s="97">
        <f t="shared" si="135"/>
        <v>0.10448662346336042</v>
      </c>
      <c r="AJ129" s="365">
        <v>125120</v>
      </c>
      <c r="AK129" s="43">
        <f>AJ129*'KiGa - PS'!$L130</f>
        <v>125120</v>
      </c>
      <c r="AL129" s="365">
        <v>94495</v>
      </c>
      <c r="AM129" s="43">
        <f>AL129*'KiGa - PS'!$L130</f>
        <v>94495</v>
      </c>
      <c r="AN129" s="97">
        <f>(AK129+AM129)/Funktional!E129</f>
        <v>0.47594501736831429</v>
      </c>
    </row>
    <row r="130" spans="1:40" ht="39" customHeight="1" x14ac:dyDescent="0.25">
      <c r="A130" t="str">
        <f>Funktional!A130</f>
        <v>Aadorf</v>
      </c>
      <c r="B130" t="str">
        <f>Funktional!B130</f>
        <v>KiGa</v>
      </c>
      <c r="C130" s="43">
        <f>Funktional!D130</f>
        <v>47</v>
      </c>
      <c r="D130" s="43">
        <f>Funktional!J130-'KiGa - PS'!H131</f>
        <v>3137986.9099999997</v>
      </c>
      <c r="E130" s="43">
        <f>'KiGa - PS'!C131+'KiGa - PS'!J131*Artengliederung!D130</f>
        <v>759335.32450542564</v>
      </c>
      <c r="F130" s="365">
        <v>2323105.9</v>
      </c>
      <c r="G130" s="43">
        <f>F130*'KiGa - PS'!L131</f>
        <v>330938.42058151186</v>
      </c>
      <c r="H130" s="42">
        <f t="shared" si="123"/>
        <v>0.43582645229505218</v>
      </c>
      <c r="I130" s="85">
        <f t="shared" si="124"/>
        <v>7041.2429910959972</v>
      </c>
      <c r="J130" s="365">
        <v>811466.35</v>
      </c>
      <c r="K130" s="43">
        <f>J130*'KiGa - PS'!L131</f>
        <v>115597.56799035477</v>
      </c>
      <c r="L130" s="42">
        <f t="shared" si="125"/>
        <v>0.15223520394714468</v>
      </c>
      <c r="M130" s="43">
        <f t="shared" si="126"/>
        <v>2459.5227231990375</v>
      </c>
      <c r="N130" s="365">
        <v>117961.3</v>
      </c>
      <c r="O130" s="43">
        <f>N130*'KiGa - PS'!L131</f>
        <v>16804.195758678889</v>
      </c>
      <c r="P130" s="42">
        <f t="shared" si="127"/>
        <v>2.213013831487938E-2</v>
      </c>
      <c r="Q130" s="43">
        <f>O130/Funktional!C130</f>
        <v>5601.3985862262962</v>
      </c>
      <c r="R130" s="85">
        <f t="shared" si="128"/>
        <v>357.53607997189124</v>
      </c>
      <c r="S130" s="365">
        <v>22804.3</v>
      </c>
      <c r="T130" s="365">
        <v>601555.5</v>
      </c>
      <c r="U130" s="43">
        <f>T130*'KiGa - PS'!L131</f>
        <v>85694.68445761413</v>
      </c>
      <c r="V130" s="42">
        <f t="shared" si="129"/>
        <v>0.11285486357878748</v>
      </c>
      <c r="W130" s="43">
        <f t="shared" si="130"/>
        <v>1823.2911586726411</v>
      </c>
      <c r="X130" s="365">
        <v>592974.69999999995</v>
      </c>
      <c r="Y130" s="43">
        <f>X130*'KiGa - PS'!L131</f>
        <v>84472.305228442579</v>
      </c>
      <c r="Z130" s="91">
        <f t="shared" si="131"/>
        <v>0.11124506196713756</v>
      </c>
      <c r="AA130" s="365">
        <v>1150664.96</v>
      </c>
      <c r="AB130" s="43">
        <f>AA130*'KiGa - PS'!L131</f>
        <v>163918.15994306954</v>
      </c>
      <c r="AC130" s="43">
        <f t="shared" si="132"/>
        <v>3487.6204243206284</v>
      </c>
      <c r="AD130" s="42">
        <f t="shared" si="133"/>
        <v>0.21587058398716483</v>
      </c>
      <c r="AE130" s="365">
        <v>525885.6</v>
      </c>
      <c r="AF130" s="43">
        <f>AE130*'KiGa - PS'!L131</f>
        <v>74915.116814330642</v>
      </c>
      <c r="AG130" s="42">
        <f t="shared" si="134"/>
        <v>9.8658806454348422E-2</v>
      </c>
      <c r="AH130" s="42"/>
      <c r="AI130" s="97">
        <f t="shared" si="135"/>
        <v>8.3212896191850877E-2</v>
      </c>
      <c r="AJ130" s="365">
        <v>78859</v>
      </c>
      <c r="AK130" s="43">
        <f>AJ130*'KiGa - PS'!$L131</f>
        <v>11233.871391156747</v>
      </c>
      <c r="AL130" s="365">
        <v>1326504</v>
      </c>
      <c r="AM130" s="43">
        <f>AL130*'KiGa - PS'!$L131</f>
        <v>188967.33836156924</v>
      </c>
      <c r="AN130" s="97">
        <f>(AK130+AM130)/Funktional!E130</f>
        <v>0.28504499792276156</v>
      </c>
    </row>
    <row r="131" spans="1:40" x14ac:dyDescent="0.25">
      <c r="A131" t="str">
        <f>Funktional!A131</f>
        <v>Affeltrangen</v>
      </c>
      <c r="B131" t="str">
        <f>Funktional!B131</f>
        <v>KiGa</v>
      </c>
      <c r="C131" s="43">
        <f>Funktional!D131</f>
        <v>20</v>
      </c>
      <c r="D131" s="43">
        <f>Funktional!J131-'KiGa - PS'!H132</f>
        <v>925368.07999999984</v>
      </c>
      <c r="E131" s="43">
        <f>'KiGa - PS'!C132+'KiGa - PS'!J132*Artengliederung!D131</f>
        <v>388024.74984802178</v>
      </c>
      <c r="F131" s="365">
        <v>734880.25</v>
      </c>
      <c r="G131" s="43">
        <f>F131*'KiGa - PS'!L132</f>
        <v>187669.74716394933</v>
      </c>
      <c r="H131" s="42">
        <f t="shared" si="123"/>
        <v>0.48365406391590798</v>
      </c>
      <c r="I131" s="85">
        <f t="shared" si="124"/>
        <v>9383.4873581974662</v>
      </c>
      <c r="J131" s="365">
        <v>139706.45000000001</v>
      </c>
      <c r="K131" s="43">
        <f>J131*'KiGa - PS'!L132</f>
        <v>35677.478267612896</v>
      </c>
      <c r="L131" s="42">
        <f t="shared" si="125"/>
        <v>9.1946398474805402E-2</v>
      </c>
      <c r="M131" s="43">
        <f t="shared" si="126"/>
        <v>1783.8739133806448</v>
      </c>
      <c r="N131" s="365">
        <v>28755.95</v>
      </c>
      <c r="O131" s="43">
        <f>N131*'KiGa - PS'!L132</f>
        <v>7343.5391221347545</v>
      </c>
      <c r="P131" s="42">
        <f t="shared" si="127"/>
        <v>1.892544000095615E-2</v>
      </c>
      <c r="Q131" s="43">
        <f>O131/Funktional!C131</f>
        <v>7343.5391221347545</v>
      </c>
      <c r="R131" s="85">
        <f t="shared" si="128"/>
        <v>367.17695610673775</v>
      </c>
      <c r="S131" s="365">
        <v>10410.6</v>
      </c>
      <c r="T131" s="365">
        <v>132287.35</v>
      </c>
      <c r="U131" s="43">
        <f>T131*'KiGa - PS'!L132</f>
        <v>33782.828600290828</v>
      </c>
      <c r="V131" s="42">
        <f t="shared" si="129"/>
        <v>8.7063592241274815E-2</v>
      </c>
      <c r="W131" s="43">
        <f t="shared" si="130"/>
        <v>1689.1414300145414</v>
      </c>
      <c r="X131" s="365">
        <v>124021.45</v>
      </c>
      <c r="Y131" s="43">
        <f>X131*'KiGa - PS'!L132</f>
        <v>31671.927724831879</v>
      </c>
      <c r="Z131" s="91">
        <f t="shared" si="131"/>
        <v>8.1623473083190873E-2</v>
      </c>
      <c r="AA131" s="365">
        <v>386428.08</v>
      </c>
      <c r="AB131" s="43">
        <f>AA131*'KiGa - PS'!L132</f>
        <v>98683.914924438897</v>
      </c>
      <c r="AC131" s="43">
        <f t="shared" si="132"/>
        <v>4934.1957462219452</v>
      </c>
      <c r="AD131" s="42">
        <f t="shared" si="133"/>
        <v>0.25432376404621243</v>
      </c>
      <c r="AE131" s="365">
        <v>110400</v>
      </c>
      <c r="AF131" s="43">
        <f>AE131*'KiGa - PS'!L132</f>
        <v>28193.355430221462</v>
      </c>
      <c r="AG131" s="42">
        <f t="shared" si="134"/>
        <v>7.2658652421692158E-2</v>
      </c>
      <c r="AH131" s="42"/>
      <c r="AI131" s="97">
        <f t="shared" si="135"/>
        <v>8.3012181321799439E-2</v>
      </c>
      <c r="AJ131" s="365">
        <v>56977.55</v>
      </c>
      <c r="AK131" s="43">
        <f>AJ131*'KiGa - PS'!$L132</f>
        <v>14550.618828742889</v>
      </c>
      <c r="AL131" s="365">
        <v>329442</v>
      </c>
      <c r="AM131" s="43">
        <f>AL131*'KiGa - PS'!$L132</f>
        <v>84131.117750389662</v>
      </c>
      <c r="AN131" s="97">
        <f>(AK131+AM131)/Funktional!E131</f>
        <v>0.27420943508348394</v>
      </c>
    </row>
    <row r="132" spans="1:40" x14ac:dyDescent="0.25">
      <c r="A132" t="str">
        <f>Funktional!A132</f>
        <v>Alterswilen</v>
      </c>
      <c r="B132" t="str">
        <f>Funktional!B132</f>
        <v>KiGa</v>
      </c>
      <c r="C132" s="43">
        <f>Funktional!D132</f>
        <v>20</v>
      </c>
      <c r="D132" s="43">
        <f>Funktional!J132-'KiGa - PS'!H133</f>
        <v>626997.25</v>
      </c>
      <c r="E132" s="43">
        <f>'KiGa - PS'!C133+'KiGa - PS'!J133*Artengliederung!D132</f>
        <v>178041.45532490197</v>
      </c>
      <c r="F132" s="365">
        <v>656550.94999999995</v>
      </c>
      <c r="G132" s="43">
        <f>F132*'KiGa - PS'!L133</f>
        <v>99963.72932555835</v>
      </c>
      <c r="H132" s="42">
        <f t="shared" si="123"/>
        <v>0.5614632229507327</v>
      </c>
      <c r="I132" s="85">
        <f t="shared" si="124"/>
        <v>4998.1864662779171</v>
      </c>
      <c r="J132" s="365">
        <v>197095.85</v>
      </c>
      <c r="K132" s="43">
        <f>J132*'KiGa - PS'!L133</f>
        <v>30008.998083988532</v>
      </c>
      <c r="L132" s="42">
        <f t="shared" si="125"/>
        <v>0.16855062226505677</v>
      </c>
      <c r="M132" s="43">
        <f t="shared" si="126"/>
        <v>1500.4499041994266</v>
      </c>
      <c r="N132" s="365">
        <v>18282.3</v>
      </c>
      <c r="O132" s="43">
        <f>N132*'KiGa - PS'!L133</f>
        <v>2783.5873036946414</v>
      </c>
      <c r="P132" s="42">
        <f t="shared" si="127"/>
        <v>1.5634489723839681E-2</v>
      </c>
      <c r="Q132" s="43">
        <f>O132/Funktional!C132</f>
        <v>2783.5873036946414</v>
      </c>
      <c r="R132" s="85">
        <f t="shared" si="128"/>
        <v>139.17936518473206</v>
      </c>
      <c r="S132" s="365">
        <v>20912.95</v>
      </c>
      <c r="T132" s="365">
        <v>77983.7</v>
      </c>
      <c r="U132" s="43">
        <f>T132*'KiGa - PS'!L133</f>
        <v>11873.475285666016</v>
      </c>
      <c r="V132" s="42">
        <f t="shared" si="129"/>
        <v>6.6689385705135384E-2</v>
      </c>
      <c r="W132" s="43">
        <f t="shared" si="130"/>
        <v>593.67376428330078</v>
      </c>
      <c r="X132" s="365">
        <v>77666.3</v>
      </c>
      <c r="Y132" s="43">
        <f>X132*'KiGa - PS'!L133</f>
        <v>11825.149275798951</v>
      </c>
      <c r="Z132" s="91">
        <f t="shared" si="131"/>
        <v>6.6417954482677233E-2</v>
      </c>
      <c r="AA132" s="365">
        <v>191310.4</v>
      </c>
      <c r="AB132" s="43">
        <f>AA132*'KiGa - PS'!L133</f>
        <v>29128.129420518388</v>
      </c>
      <c r="AC132" s="43">
        <f t="shared" si="132"/>
        <v>1456.4064710259195</v>
      </c>
      <c r="AD132" s="42">
        <f t="shared" si="133"/>
        <v>0.16360307416811118</v>
      </c>
      <c r="AE132" s="365">
        <v>97546.25</v>
      </c>
      <c r="AF132" s="43">
        <f>AE132*'KiGa - PS'!L133</f>
        <v>14851.988153734674</v>
      </c>
      <c r="AG132" s="42">
        <f t="shared" si="134"/>
        <v>8.3418707888181273E-2</v>
      </c>
      <c r="AH132" s="42"/>
      <c r="AI132" s="97">
        <f t="shared" si="135"/>
        <v>3.9693694910963945E-2</v>
      </c>
      <c r="AJ132" s="365">
        <v>103245.85</v>
      </c>
      <c r="AK132" s="43">
        <f>AJ132*'KiGa - PS'!$L133</f>
        <v>15719.785651650034</v>
      </c>
      <c r="AL132" s="365">
        <v>76227</v>
      </c>
      <c r="AM132" s="43">
        <f>AL132*'KiGa - PS'!$L133</f>
        <v>11606.007416940507</v>
      </c>
      <c r="AN132" s="97">
        <f>(AK132+AM132)/Funktional!E132</f>
        <v>0.1582175973575515</v>
      </c>
    </row>
    <row r="133" spans="1:40" x14ac:dyDescent="0.25">
      <c r="A133" t="str">
        <f>Funktional!A133</f>
        <v>Altishausen-Graltshausen</v>
      </c>
      <c r="B133" t="str">
        <f>Funktional!B133</f>
        <v>KiGa</v>
      </c>
      <c r="C133" s="43">
        <f>Funktional!D133</f>
        <v>0</v>
      </c>
      <c r="D133" s="43">
        <f>Funktional!J133-'KiGa - PS'!H134</f>
        <v>-282440.40000000002</v>
      </c>
      <c r="E133" s="43">
        <f>'KiGa - PS'!C134+'KiGa - PS'!J134*Artengliederung!D133</f>
        <v>0</v>
      </c>
      <c r="F133" s="365">
        <v>230511.35</v>
      </c>
      <c r="G133" s="43">
        <f>F133*'KiGa - PS'!L134</f>
        <v>0</v>
      </c>
      <c r="H133" s="42"/>
      <c r="I133" s="85"/>
      <c r="J133" s="365">
        <v>70793.850000000006</v>
      </c>
      <c r="K133" s="43">
        <f>J133*'KiGa - PS'!L134</f>
        <v>0</v>
      </c>
      <c r="L133" s="42"/>
      <c r="M133" s="43"/>
      <c r="N133" s="365">
        <v>21699.599999999999</v>
      </c>
      <c r="O133" s="43">
        <f>N133*'KiGa - PS'!L134</f>
        <v>0</v>
      </c>
      <c r="P133" s="42"/>
      <c r="Q133" s="43"/>
      <c r="R133" s="85"/>
      <c r="S133" s="365">
        <v>11805.45</v>
      </c>
      <c r="T133" s="365">
        <v>22788</v>
      </c>
      <c r="U133" s="43">
        <f>T133*'KiGa - PS'!L134</f>
        <v>0</v>
      </c>
      <c r="V133" s="42"/>
      <c r="W133" s="43"/>
      <c r="X133" s="365">
        <v>13894.2</v>
      </c>
      <c r="Y133" s="43">
        <f>X133*'KiGa - PS'!L134</f>
        <v>0</v>
      </c>
      <c r="Z133" s="91"/>
      <c r="AA133" s="365">
        <v>5651.15</v>
      </c>
      <c r="AB133" s="43">
        <f>AA133*'KiGa - PS'!L134</f>
        <v>0</v>
      </c>
      <c r="AC133" s="43"/>
      <c r="AD133" s="42"/>
      <c r="AE133" s="365">
        <v>3043</v>
      </c>
      <c r="AF133" s="43">
        <f>AE133*'KiGa - PS'!L134</f>
        <v>0</v>
      </c>
      <c r="AG133" s="42"/>
      <c r="AH133" s="42"/>
      <c r="AI133" s="97"/>
      <c r="AJ133" s="365">
        <v>4725</v>
      </c>
      <c r="AK133" s="43">
        <f>AJ133*'KiGa - PS'!$L134</f>
        <v>0</v>
      </c>
      <c r="AL133" s="365">
        <v>52715</v>
      </c>
      <c r="AM133" s="43">
        <f>AL133*'KiGa - PS'!$L134</f>
        <v>0</v>
      </c>
      <c r="AN133" s="97"/>
    </row>
    <row r="134" spans="1:40" x14ac:dyDescent="0.25">
      <c r="A134" t="str">
        <f>Funktional!A134</f>
        <v>Altnau</v>
      </c>
      <c r="B134" t="str">
        <f>Funktional!B134</f>
        <v>KiGa</v>
      </c>
      <c r="C134" s="43">
        <f>Funktional!D134</f>
        <v>34</v>
      </c>
      <c r="D134" s="43">
        <f>Funktional!J134-'KiGa - PS'!H135</f>
        <v>1204901.7999999998</v>
      </c>
      <c r="E134" s="43">
        <f>'KiGa - PS'!C135+'KiGa - PS'!J135*Artengliederung!D134</f>
        <v>383477.7911136836</v>
      </c>
      <c r="F134" s="365">
        <v>1381525.3</v>
      </c>
      <c r="G134" s="43">
        <f>F134*'KiGa - PS'!L135</f>
        <v>205564.83415062877</v>
      </c>
      <c r="H134" s="42">
        <f t="shared" ref="H134:H149" si="136">G134/$E134</f>
        <v>0.53605407904753521</v>
      </c>
      <c r="I134" s="85">
        <f t="shared" ref="I134:I149" si="137">G134/C134</f>
        <v>6046.0245338420227</v>
      </c>
      <c r="J134" s="365">
        <v>239591.25</v>
      </c>
      <c r="K134" s="43">
        <f>J134*'KiGa - PS'!L135</f>
        <v>35650.114818883041</v>
      </c>
      <c r="L134" s="42">
        <f t="shared" ref="L134:L149" si="138">K134/$E134</f>
        <v>9.2965265903272129E-2</v>
      </c>
      <c r="M134" s="43">
        <f t="shared" ref="M134:M149" si="139">K134/C134</f>
        <v>1048.5327887906776</v>
      </c>
      <c r="N134" s="365">
        <v>66732</v>
      </c>
      <c r="O134" s="43">
        <f>N134*'KiGa - PS'!L135</f>
        <v>9929.4254781579166</v>
      </c>
      <c r="P134" s="42">
        <f t="shared" ref="P134:P149" si="140">O134/$E134</f>
        <v>2.5893091355619853E-2</v>
      </c>
      <c r="Q134" s="43">
        <f>O134/Funktional!C134</f>
        <v>4964.7127390789583</v>
      </c>
      <c r="R134" s="85">
        <f t="shared" ref="R134:R149" si="141">O134/C134</f>
        <v>292.04192582817404</v>
      </c>
      <c r="S134" s="365">
        <v>12903.05</v>
      </c>
      <c r="T134" s="365">
        <v>278598.09999999998</v>
      </c>
      <c r="U134" s="43">
        <f>T134*'KiGa - PS'!L135</f>
        <v>41454.161006809132</v>
      </c>
      <c r="V134" s="42">
        <f t="shared" ref="V134:V149" si="142">U134/$E134</f>
        <v>0.10810055228079654</v>
      </c>
      <c r="W134" s="43">
        <f t="shared" ref="W134:W149" si="143">U134/C134</f>
        <v>1219.2400296120334</v>
      </c>
      <c r="X134" s="365">
        <v>267316.55</v>
      </c>
      <c r="Y134" s="43">
        <f>X134*'KiGa - PS'!L135</f>
        <v>39775.516428449235</v>
      </c>
      <c r="Z134" s="91">
        <f t="shared" ref="Z134:Z149" si="144">Y134/$E134</f>
        <v>0.10372312908378471</v>
      </c>
      <c r="AA134" s="365">
        <v>507286.05</v>
      </c>
      <c r="AB134" s="43">
        <f>AA134*'KiGa - PS'!L135</f>
        <v>75481.913168855885</v>
      </c>
      <c r="AC134" s="43">
        <f t="shared" ref="AC134:AC149" si="145">AB134/C134</f>
        <v>2220.0562696722318</v>
      </c>
      <c r="AD134" s="42">
        <f t="shared" ref="AD134:AD149" si="146">AB134/$E134</f>
        <v>0.19683516208238239</v>
      </c>
      <c r="AE134" s="365">
        <v>349562</v>
      </c>
      <c r="AF134" s="43">
        <f>AE134*'KiGa - PS'!L135</f>
        <v>52013.274426000084</v>
      </c>
      <c r="AG134" s="42">
        <f t="shared" ref="AG134:AG149" si="147">AF134/$E134</f>
        <v>0.13563568903154688</v>
      </c>
      <c r="AH134" s="42"/>
      <c r="AI134" s="97">
        <f t="shared" si="135"/>
        <v>6.6044940686013742E-2</v>
      </c>
      <c r="AJ134" s="365">
        <v>206151.85</v>
      </c>
      <c r="AK134" s="43">
        <f>AJ134*'KiGa - PS'!$L135</f>
        <v>30674.480485515032</v>
      </c>
      <c r="AL134" s="365">
        <v>290484</v>
      </c>
      <c r="AM134" s="43">
        <f>AL134*'KiGa - PS'!$L135</f>
        <v>43222.730183378655</v>
      </c>
      <c r="AN134" s="97">
        <f>(AK134+AM134)/Funktional!E134</f>
        <v>0.19499776147656755</v>
      </c>
    </row>
    <row r="135" spans="1:40" x14ac:dyDescent="0.25">
      <c r="A135" t="str">
        <f>Funktional!A135</f>
        <v>Amlikon</v>
      </c>
      <c r="B135" t="str">
        <f>Funktional!B135</f>
        <v>KiGa</v>
      </c>
      <c r="C135" s="43">
        <f>Funktional!D135</f>
        <v>19</v>
      </c>
      <c r="D135" s="43">
        <f>Funktional!J135-'KiGa - PS'!H136</f>
        <v>630080.65</v>
      </c>
      <c r="E135" s="43">
        <f>'KiGa - PS'!C136+'KiGa - PS'!J136*Artengliederung!D135</f>
        <v>267193.94501157798</v>
      </c>
      <c r="F135" s="365">
        <v>489556.55</v>
      </c>
      <c r="G135" s="43">
        <f>F135*'KiGa - PS'!L136</f>
        <v>128701.80801323263</v>
      </c>
      <c r="H135" s="42">
        <f t="shared" si="136"/>
        <v>0.48167935844375426</v>
      </c>
      <c r="I135" s="85">
        <f t="shared" si="137"/>
        <v>6773.7793691175066</v>
      </c>
      <c r="J135" s="365">
        <v>204103.2</v>
      </c>
      <c r="K135" s="43">
        <f>J135*'KiGa - PS'!L136</f>
        <v>53657.643557800264</v>
      </c>
      <c r="L135" s="42">
        <f t="shared" si="138"/>
        <v>0.20081908501135826</v>
      </c>
      <c r="M135" s="43">
        <f t="shared" si="139"/>
        <v>2824.0865030421191</v>
      </c>
      <c r="N135" s="365">
        <v>17970.45</v>
      </c>
      <c r="O135" s="43">
        <f>N135*'KiGa - PS'!L136</f>
        <v>4724.3355355196381</v>
      </c>
      <c r="P135" s="42">
        <f t="shared" si="140"/>
        <v>1.768129713910592E-2</v>
      </c>
      <c r="Q135" s="43">
        <f>O135/Funktional!C135</f>
        <v>4724.3355355196381</v>
      </c>
      <c r="R135" s="85">
        <f t="shared" si="141"/>
        <v>248.64923871155989</v>
      </c>
      <c r="S135" s="365">
        <v>20012.5</v>
      </c>
      <c r="T135" s="365">
        <v>87627.15</v>
      </c>
      <c r="U135" s="43">
        <f>T135*'KiGa - PS'!L136</f>
        <v>23036.710745769284</v>
      </c>
      <c r="V135" s="42">
        <f t="shared" si="142"/>
        <v>8.6217188584760268E-2</v>
      </c>
      <c r="W135" s="43">
        <f t="shared" si="143"/>
        <v>1212.4584603036465</v>
      </c>
      <c r="X135" s="365">
        <v>77106.3</v>
      </c>
      <c r="Y135" s="43">
        <f>X135*'KiGa - PS'!L136</f>
        <v>20270.835349278281</v>
      </c>
      <c r="Z135" s="91">
        <f t="shared" si="144"/>
        <v>7.5865623932458159E-2</v>
      </c>
      <c r="AA135" s="365">
        <v>168005.5</v>
      </c>
      <c r="AB135" s="43">
        <f>AA135*'KiGa - PS'!L136</f>
        <v>44167.750602391396</v>
      </c>
      <c r="AC135" s="43">
        <f t="shared" si="145"/>
        <v>2324.6184527574419</v>
      </c>
      <c r="AD135" s="42">
        <f t="shared" si="146"/>
        <v>0.16530221371774548</v>
      </c>
      <c r="AE135" s="365">
        <v>136193.70000000001</v>
      </c>
      <c r="AF135" s="43">
        <f>AE135*'KiGa - PS'!L136</f>
        <v>35804.597916240324</v>
      </c>
      <c r="AG135" s="42">
        <f t="shared" si="147"/>
        <v>0.13400228030874295</v>
      </c>
      <c r="AH135" s="42"/>
      <c r="AI135" s="97">
        <f t="shared" si="135"/>
        <v>6.5982154242381796E-2</v>
      </c>
      <c r="AJ135" s="365">
        <v>94632</v>
      </c>
      <c r="AK135" s="43">
        <f>AJ135*'KiGa - PS'!$L136</f>
        <v>24878.248479993232</v>
      </c>
      <c r="AL135" s="365">
        <v>86269</v>
      </c>
      <c r="AM135" s="43">
        <f>AL135*'KiGa - PS'!$L136</f>
        <v>22679.660348724916</v>
      </c>
      <c r="AN135" s="97">
        <f>(AK135+AM135)/Funktional!E135</f>
        <v>0.19195397883700516</v>
      </c>
    </row>
    <row r="136" spans="1:40" x14ac:dyDescent="0.25">
      <c r="A136" t="str">
        <f>Funktional!A136</f>
        <v>Amriswil</v>
      </c>
      <c r="B136" t="str">
        <f>Funktional!B136</f>
        <v>KiGa</v>
      </c>
      <c r="C136" s="43">
        <f>Funktional!D136</f>
        <v>210</v>
      </c>
      <c r="D136" s="43">
        <f>Funktional!J136-'KiGa - PS'!H137</f>
        <v>6538149.6500000004</v>
      </c>
      <c r="E136" s="43">
        <f>'KiGa - PS'!C137+'KiGa - PS'!J137*Artengliederung!D136</f>
        <v>1698726.911066005</v>
      </c>
      <c r="F136" s="365">
        <v>8721197.1500000004</v>
      </c>
      <c r="G136" s="43">
        <f>F136*'KiGa - PS'!L137</f>
        <v>1092462.6886830241</v>
      </c>
      <c r="H136" s="42">
        <f t="shared" si="136"/>
        <v>0.64310671807599085</v>
      </c>
      <c r="I136" s="85">
        <f t="shared" si="137"/>
        <v>5202.2032794429724</v>
      </c>
      <c r="J136" s="365">
        <v>1477814.45</v>
      </c>
      <c r="K136" s="43">
        <f>J136*'KiGa - PS'!L137</f>
        <v>185118.75372770635</v>
      </c>
      <c r="L136" s="42">
        <f t="shared" si="138"/>
        <v>0.10897499328572977</v>
      </c>
      <c r="M136" s="43">
        <f t="shared" si="139"/>
        <v>881.5178748938398</v>
      </c>
      <c r="N136" s="365">
        <v>142439.20000000001</v>
      </c>
      <c r="O136" s="43">
        <f>N136*'KiGa - PS'!L137</f>
        <v>17842.677872023454</v>
      </c>
      <c r="P136" s="42">
        <f t="shared" si="140"/>
        <v>1.0503558727298084E-2</v>
      </c>
      <c r="Q136" s="43">
        <f>O136/Funktional!C136</f>
        <v>1699.3026544784243</v>
      </c>
      <c r="R136" s="85">
        <f t="shared" si="141"/>
        <v>84.965132723921215</v>
      </c>
      <c r="S136" s="365">
        <v>97268.4</v>
      </c>
      <c r="T136" s="365">
        <v>941652.55</v>
      </c>
      <c r="U136" s="43">
        <f>T136*'KiGa - PS'!L137</f>
        <v>117956.31481375534</v>
      </c>
      <c r="V136" s="42">
        <f t="shared" si="142"/>
        <v>6.943806802927141E-2</v>
      </c>
      <c r="W136" s="43">
        <f t="shared" si="143"/>
        <v>561.69673720835874</v>
      </c>
      <c r="X136" s="365">
        <v>916881.05</v>
      </c>
      <c r="Y136" s="43">
        <f>X136*'KiGa - PS'!L137</f>
        <v>114853.3073908912</v>
      </c>
      <c r="Z136" s="91">
        <f t="shared" si="144"/>
        <v>6.7611401598869775E-2</v>
      </c>
      <c r="AA136" s="365">
        <v>1375953.55</v>
      </c>
      <c r="AB136" s="43">
        <f>AA136*'KiGa - PS'!L137</f>
        <v>172359.1255744003</v>
      </c>
      <c r="AC136" s="43">
        <f t="shared" si="145"/>
        <v>820.75774083047759</v>
      </c>
      <c r="AD136" s="42">
        <f t="shared" si="146"/>
        <v>0.10146370464352006</v>
      </c>
      <c r="AE136" s="365">
        <v>821000</v>
      </c>
      <c r="AF136" s="43">
        <f>AE136*'KiGa - PS'!L137</f>
        <v>102842.74646959022</v>
      </c>
      <c r="AG136" s="42">
        <f t="shared" si="147"/>
        <v>6.0541070962991418E-2</v>
      </c>
      <c r="AH136" s="42"/>
      <c r="AI136" s="97">
        <f t="shared" si="135"/>
        <v>7.7016515965487919E-2</v>
      </c>
      <c r="AJ136" s="365">
        <v>1012155.7</v>
      </c>
      <c r="AK136" s="43">
        <f>AJ136*'KiGa - PS'!$L137</f>
        <v>126787.90748215666</v>
      </c>
      <c r="AL136" s="365">
        <v>2511219</v>
      </c>
      <c r="AM136" s="43">
        <f>AL136*'KiGa - PS'!$L137</f>
        <v>314568.40310184885</v>
      </c>
      <c r="AN136" s="97">
        <f>(AK136+AM136)/Funktional!E136</f>
        <v>0.2754143345052662</v>
      </c>
    </row>
    <row r="137" spans="1:40" x14ac:dyDescent="0.25">
      <c r="A137" t="str">
        <f>Funktional!A137</f>
        <v>Au</v>
      </c>
      <c r="B137" t="str">
        <f>Funktional!B137</f>
        <v>KiGa</v>
      </c>
      <c r="C137" s="43">
        <f>Funktional!D137</f>
        <v>0</v>
      </c>
      <c r="D137" s="43">
        <f>Funktional!J137-'KiGa - PS'!H138</f>
        <v>-157564</v>
      </c>
      <c r="E137" s="43">
        <f>'KiGa - PS'!C138+'KiGa - PS'!J138*Artengliederung!D137</f>
        <v>0</v>
      </c>
      <c r="F137" s="365">
        <v>136651.4</v>
      </c>
      <c r="G137" s="43">
        <f>F137*'KiGa - PS'!L138</f>
        <v>0</v>
      </c>
      <c r="H137" s="42"/>
      <c r="I137" s="85"/>
      <c r="J137" s="365">
        <v>65561.100000000006</v>
      </c>
      <c r="K137" s="43">
        <f>J137*'KiGa - PS'!L138</f>
        <v>0</v>
      </c>
      <c r="L137" s="42"/>
      <c r="M137" s="43"/>
      <c r="N137" s="365">
        <v>8256.35</v>
      </c>
      <c r="O137" s="43">
        <f>N137*'KiGa - PS'!L138</f>
        <v>0</v>
      </c>
      <c r="P137" s="42"/>
      <c r="Q137" s="43"/>
      <c r="R137" s="85"/>
      <c r="S137" s="365">
        <v>5118.8999999999996</v>
      </c>
      <c r="T137" s="365">
        <v>8314.85</v>
      </c>
      <c r="U137" s="43">
        <f>T137*'KiGa - PS'!L138</f>
        <v>0</v>
      </c>
      <c r="V137" s="42"/>
      <c r="W137" s="43"/>
      <c r="X137" s="365">
        <v>0</v>
      </c>
      <c r="Y137" s="43">
        <f>X137*'KiGa - PS'!L138</f>
        <v>0</v>
      </c>
      <c r="Z137" s="91"/>
      <c r="AA137" s="365">
        <v>13079.75</v>
      </c>
      <c r="AB137" s="43">
        <f>AA137*'KiGa - PS'!L138</f>
        <v>0</v>
      </c>
      <c r="AC137" s="43"/>
      <c r="AD137" s="42"/>
      <c r="AE137" s="365">
        <v>9358</v>
      </c>
      <c r="AF137" s="43">
        <f>AE137*'KiGa - PS'!L138</f>
        <v>0</v>
      </c>
      <c r="AG137" s="42"/>
      <c r="AH137" s="42"/>
      <c r="AI137" s="97"/>
      <c r="AJ137" s="365">
        <v>81346</v>
      </c>
      <c r="AK137" s="43">
        <f>AJ137*'KiGa - PS'!$L138</f>
        <v>0</v>
      </c>
      <c r="AL137" s="365">
        <v>68797</v>
      </c>
      <c r="AM137" s="43">
        <f>AL137*'KiGa - PS'!$L138</f>
        <v>0</v>
      </c>
      <c r="AN137" s="97"/>
    </row>
    <row r="138" spans="1:40" x14ac:dyDescent="0.25">
      <c r="A138" t="str">
        <f>Funktional!A138</f>
        <v>Balterswil</v>
      </c>
      <c r="B138" t="str">
        <f>Funktional!B138</f>
        <v>KiGa</v>
      </c>
      <c r="C138" s="43">
        <f>Funktional!D138</f>
        <v>40</v>
      </c>
      <c r="D138" s="43">
        <f>Funktional!J138-'KiGa - PS'!H139</f>
        <v>711029.25</v>
      </c>
      <c r="E138" s="43">
        <f>'KiGa - PS'!C139+'KiGa - PS'!J139*Artengliederung!D138</f>
        <v>271855.63402374543</v>
      </c>
      <c r="F138" s="365">
        <v>1042190.5</v>
      </c>
      <c r="G138" s="43">
        <f>F138*'KiGa - PS'!L139</f>
        <v>164201.10844722527</v>
      </c>
      <c r="H138" s="42">
        <f t="shared" si="136"/>
        <v>0.60400112374674197</v>
      </c>
      <c r="I138" s="85">
        <f t="shared" si="137"/>
        <v>4105.0277111806317</v>
      </c>
      <c r="J138" s="365">
        <v>127708.95</v>
      </c>
      <c r="K138" s="43">
        <f>J138*'KiGa - PS'!L139</f>
        <v>20121.03463678787</v>
      </c>
      <c r="L138" s="42">
        <f t="shared" si="138"/>
        <v>7.4013675342959356E-2</v>
      </c>
      <c r="M138" s="43">
        <f t="shared" si="139"/>
        <v>503.02586591969674</v>
      </c>
      <c r="N138" s="365">
        <v>44462.55</v>
      </c>
      <c r="O138" s="43">
        <f>N138*'KiGa - PS'!L139</f>
        <v>7005.2451969099475</v>
      </c>
      <c r="P138" s="42">
        <f t="shared" si="140"/>
        <v>2.5768254618177489E-2</v>
      </c>
      <c r="Q138" s="43">
        <f>O138/Funktional!C138</f>
        <v>3502.6225984549737</v>
      </c>
      <c r="R138" s="85">
        <f t="shared" si="141"/>
        <v>175.1311299227487</v>
      </c>
      <c r="S138" s="365">
        <v>791.35</v>
      </c>
      <c r="T138" s="365">
        <v>172221.4</v>
      </c>
      <c r="U138" s="43">
        <f>T138*'KiGa - PS'!L139</f>
        <v>27134.141769986352</v>
      </c>
      <c r="V138" s="42">
        <f t="shared" si="142"/>
        <v>9.9810849487917186E-2</v>
      </c>
      <c r="W138" s="43">
        <f t="shared" si="143"/>
        <v>678.35354424965885</v>
      </c>
      <c r="X138" s="365">
        <v>160739.45000000001</v>
      </c>
      <c r="Y138" s="43">
        <f>X138*'KiGa - PS'!L139</f>
        <v>25325.116532147767</v>
      </c>
      <c r="Z138" s="91">
        <f t="shared" si="144"/>
        <v>9.3156489557747135E-2</v>
      </c>
      <c r="AA138" s="365">
        <v>244471.55</v>
      </c>
      <c r="AB138" s="43">
        <f>AA138*'KiGa - PS'!L139</f>
        <v>38517.429868926316</v>
      </c>
      <c r="AC138" s="43">
        <f t="shared" si="145"/>
        <v>962.93574672315788</v>
      </c>
      <c r="AD138" s="42">
        <f t="shared" si="146"/>
        <v>0.14168339754018849</v>
      </c>
      <c r="AE138" s="365">
        <v>239038.3</v>
      </c>
      <c r="AF138" s="43">
        <f>AE138*'KiGa - PS'!L139</f>
        <v>37661.400503401601</v>
      </c>
      <c r="AG138" s="42">
        <f t="shared" si="147"/>
        <v>0.13853455948649582</v>
      </c>
      <c r="AH138" s="42"/>
      <c r="AI138" s="97">
        <f t="shared" si="135"/>
        <v>8.0490953882193017E-2</v>
      </c>
      <c r="AJ138" s="365">
        <v>150148</v>
      </c>
      <c r="AK138" s="43">
        <f>AJ138*'KiGa - PS'!$L139</f>
        <v>23656.392982985337</v>
      </c>
      <c r="AL138" s="365">
        <v>199307</v>
      </c>
      <c r="AM138" s="43">
        <f>AL138*'KiGa - PS'!$L139</f>
        <v>31401.581880943195</v>
      </c>
      <c r="AN138" s="97">
        <f>(AK138+AM138)/Funktional!E138</f>
        <v>0.21634405995316092</v>
      </c>
    </row>
    <row r="139" spans="1:40" x14ac:dyDescent="0.25">
      <c r="A139" t="str">
        <f>Funktional!A139</f>
        <v xml:space="preserve">Basadingen-Willisdorf </v>
      </c>
      <c r="B139" t="str">
        <f>Funktional!B139</f>
        <v>KiGa</v>
      </c>
      <c r="C139" s="43">
        <f>Funktional!D139</f>
        <v>33</v>
      </c>
      <c r="D139" s="43">
        <f>Funktional!J139-'KiGa - PS'!H140</f>
        <v>420890.05000000016</v>
      </c>
      <c r="E139" s="43">
        <f>'KiGa - PS'!C140+'KiGa - PS'!J140*Artengliederung!D139</f>
        <v>229803.38975717113</v>
      </c>
      <c r="F139" s="365">
        <v>957267.9</v>
      </c>
      <c r="G139" s="43">
        <f>F139*'KiGa - PS'!L140</f>
        <v>162142.11215738812</v>
      </c>
      <c r="H139" s="42">
        <f t="shared" si="136"/>
        <v>0.70556884443140988</v>
      </c>
      <c r="I139" s="85">
        <f t="shared" si="137"/>
        <v>4913.3973381026708</v>
      </c>
      <c r="J139" s="365">
        <v>140300.4</v>
      </c>
      <c r="K139" s="43">
        <f>J139*'KiGa - PS'!L140</f>
        <v>23764.09278168255</v>
      </c>
      <c r="L139" s="42">
        <f t="shared" si="138"/>
        <v>0.10341054066606073</v>
      </c>
      <c r="M139" s="43">
        <f t="shared" si="139"/>
        <v>720.12402368735002</v>
      </c>
      <c r="N139" s="365">
        <v>43710.8</v>
      </c>
      <c r="O139" s="43">
        <f>N139*'KiGa - PS'!L140</f>
        <v>7403.7387403141383</v>
      </c>
      <c r="P139" s="42">
        <f t="shared" si="140"/>
        <v>3.2217709008285425E-2</v>
      </c>
      <c r="Q139" s="43">
        <f>O139/Funktional!C139</f>
        <v>3701.8693701570692</v>
      </c>
      <c r="R139" s="85">
        <f t="shared" si="141"/>
        <v>224.35571940345875</v>
      </c>
      <c r="S139" s="365">
        <v>10176.950000000001</v>
      </c>
      <c r="T139" s="365">
        <v>87655.5</v>
      </c>
      <c r="U139" s="43">
        <f>T139*'KiGa - PS'!L140</f>
        <v>14847.095481016269</v>
      </c>
      <c r="V139" s="42">
        <f t="shared" si="142"/>
        <v>6.4607817563983344E-2</v>
      </c>
      <c r="W139" s="43">
        <f t="shared" si="143"/>
        <v>449.9119842732203</v>
      </c>
      <c r="X139" s="365">
        <v>68240.95</v>
      </c>
      <c r="Y139" s="43">
        <f>X139*'KiGa - PS'!L140</f>
        <v>11558.65747574604</v>
      </c>
      <c r="Z139" s="91">
        <f t="shared" si="144"/>
        <v>5.0298028623336904E-2</v>
      </c>
      <c r="AA139" s="365">
        <v>76250.350000000006</v>
      </c>
      <c r="AB139" s="43">
        <f>AA139*'KiGa - PS'!L140</f>
        <v>12915.290277403117</v>
      </c>
      <c r="AC139" s="43">
        <f t="shared" si="145"/>
        <v>391.37243264857932</v>
      </c>
      <c r="AD139" s="42">
        <f t="shared" si="146"/>
        <v>5.6201478538025304E-2</v>
      </c>
      <c r="AE139" s="365">
        <v>42300</v>
      </c>
      <c r="AF139" s="43">
        <f>AE139*'KiGa - PS'!L140</f>
        <v>7164.7773254044314</v>
      </c>
      <c r="AG139" s="42">
        <f t="shared" si="147"/>
        <v>3.1177857441421188E-2</v>
      </c>
      <c r="AH139" s="42"/>
      <c r="AI139" s="97">
        <f t="shared" si="135"/>
        <v>7.0211318800520742E-2</v>
      </c>
      <c r="AJ139" s="365">
        <v>129740</v>
      </c>
      <c r="AK139" s="43">
        <f>AJ139*'KiGa - PS'!$L140</f>
        <v>21975.37139947922</v>
      </c>
      <c r="AL139" s="365">
        <v>0</v>
      </c>
      <c r="AM139" s="43">
        <f>AL139*'KiGa - PS'!$L140</f>
        <v>0</v>
      </c>
      <c r="AN139" s="97">
        <f>(AK139+AM139)/Funktional!E139</f>
        <v>0.10064919272349934</v>
      </c>
    </row>
    <row r="140" spans="1:40" x14ac:dyDescent="0.25">
      <c r="A140" t="str">
        <f>Funktional!A140</f>
        <v>Berg</v>
      </c>
      <c r="B140" t="str">
        <f>Funktional!B140</f>
        <v>KiGa</v>
      </c>
      <c r="C140" s="43">
        <f>Funktional!D140</f>
        <v>55</v>
      </c>
      <c r="D140" s="43">
        <f>Funktional!J140-'KiGa - PS'!H141</f>
        <v>876189.3</v>
      </c>
      <c r="E140" s="43">
        <f>'KiGa - PS'!C141+'KiGa - PS'!J141*Artengliederung!D140</f>
        <v>394755.42666947236</v>
      </c>
      <c r="F140" s="365">
        <v>1555750.35</v>
      </c>
      <c r="G140" s="43">
        <f>F140*'KiGa - PS'!L141</f>
        <v>250706.89788137222</v>
      </c>
      <c r="H140" s="42">
        <f t="shared" si="136"/>
        <v>0.63509424049359153</v>
      </c>
      <c r="I140" s="85">
        <f t="shared" si="137"/>
        <v>4558.307234206768</v>
      </c>
      <c r="J140" s="365">
        <v>259474.1</v>
      </c>
      <c r="K140" s="43">
        <f>J140*'KiGa - PS'!L141</f>
        <v>41813.872445255089</v>
      </c>
      <c r="L140" s="42">
        <f t="shared" si="138"/>
        <v>0.10592348988850185</v>
      </c>
      <c r="M140" s="43">
        <f t="shared" si="139"/>
        <v>760.25222627736525</v>
      </c>
      <c r="N140" s="365">
        <v>76715.75</v>
      </c>
      <c r="O140" s="43">
        <f>N140*'KiGa - PS'!L141</f>
        <v>12362.631125966245</v>
      </c>
      <c r="P140" s="42">
        <f t="shared" si="140"/>
        <v>3.1317191077698453E-2</v>
      </c>
      <c r="Q140" s="43">
        <f>O140/Funktional!C140</f>
        <v>3090.6577814915613</v>
      </c>
      <c r="R140" s="85">
        <f t="shared" si="141"/>
        <v>224.77511138120445</v>
      </c>
      <c r="S140" s="365">
        <v>41302.15</v>
      </c>
      <c r="T140" s="365">
        <v>72203.600000000006</v>
      </c>
      <c r="U140" s="43">
        <f>T140*'KiGa - PS'!L141</f>
        <v>11635.504740119421</v>
      </c>
      <c r="V140" s="42">
        <f t="shared" si="142"/>
        <v>2.9475224288333334E-2</v>
      </c>
      <c r="W140" s="43">
        <f t="shared" si="143"/>
        <v>211.55463163853491</v>
      </c>
      <c r="X140" s="365">
        <v>61303.8</v>
      </c>
      <c r="Y140" s="43">
        <f>X140*'KiGa - PS'!L141</f>
        <v>9879.0178812044396</v>
      </c>
      <c r="Z140" s="91">
        <f t="shared" si="144"/>
        <v>2.5025667068222762E-2</v>
      </c>
      <c r="AA140" s="365">
        <v>309763.75</v>
      </c>
      <c r="AB140" s="43">
        <f>AA140*'KiGa - PS'!L141</f>
        <v>49917.976131968033</v>
      </c>
      <c r="AC140" s="43">
        <f t="shared" si="145"/>
        <v>907.59956603578246</v>
      </c>
      <c r="AD140" s="42">
        <f t="shared" si="146"/>
        <v>0.12645291935090791</v>
      </c>
      <c r="AE140" s="365">
        <v>278800.8</v>
      </c>
      <c r="AF140" s="43">
        <f>AE140*'KiGa - PS'!L141</f>
        <v>44928.341937923957</v>
      </c>
      <c r="AG140" s="42">
        <f t="shared" si="147"/>
        <v>0.11381310781964837</v>
      </c>
      <c r="AH140" s="42"/>
      <c r="AI140" s="97">
        <f t="shared" si="135"/>
        <v>0.10305412597866537</v>
      </c>
      <c r="AJ140" s="365">
        <v>80614</v>
      </c>
      <c r="AK140" s="43">
        <f>AJ140*'KiGa - PS'!$L141</f>
        <v>12990.828422959339</v>
      </c>
      <c r="AL140" s="365">
        <v>0</v>
      </c>
      <c r="AM140" s="43">
        <f>AL140*'KiGa - PS'!$L141</f>
        <v>0</v>
      </c>
      <c r="AN140" s="97">
        <f>(AK140+AM140)/Funktional!E140</f>
        <v>3.5446833289736024E-2</v>
      </c>
    </row>
    <row r="141" spans="1:40" x14ac:dyDescent="0.25">
      <c r="A141" t="str">
        <f>Funktional!A141</f>
        <v>Berlingen</v>
      </c>
      <c r="B141" t="str">
        <f>Funktional!B141</f>
        <v>KiGa</v>
      </c>
      <c r="C141" s="43">
        <f>Funktional!D141</f>
        <v>12</v>
      </c>
      <c r="D141" s="43">
        <f>Funktional!J141-'KiGa - PS'!H142</f>
        <v>453087.19999999995</v>
      </c>
      <c r="E141" s="43">
        <f>'KiGa - PS'!C142+'KiGa - PS'!J142*Artengliederung!D141</f>
        <v>204907.33567304694</v>
      </c>
      <c r="F141" s="365">
        <v>537487.5</v>
      </c>
      <c r="G141" s="43">
        <f>F141*'KiGa - PS'!L142</f>
        <v>96985.408600853902</v>
      </c>
      <c r="H141" s="42">
        <f t="shared" si="136"/>
        <v>0.47331350184360993</v>
      </c>
      <c r="I141" s="85">
        <f t="shared" si="137"/>
        <v>8082.1173834044921</v>
      </c>
      <c r="J141" s="365">
        <v>237210.45</v>
      </c>
      <c r="K141" s="43">
        <f>J141*'KiGa - PS'!L142</f>
        <v>42802.767352994117</v>
      </c>
      <c r="L141" s="42">
        <f t="shared" si="138"/>
        <v>0.20888840905769632</v>
      </c>
      <c r="M141" s="43">
        <f t="shared" si="139"/>
        <v>3566.8972794161764</v>
      </c>
      <c r="N141" s="365">
        <v>27327.85</v>
      </c>
      <c r="O141" s="43">
        <f>N141*'KiGa - PS'!L142</f>
        <v>4931.0964411876466</v>
      </c>
      <c r="P141" s="42">
        <f t="shared" si="140"/>
        <v>2.4065006872451722E-2</v>
      </c>
      <c r="Q141" s="43">
        <f>O141/Funktional!C141</f>
        <v>4931.0964411876466</v>
      </c>
      <c r="R141" s="85">
        <f t="shared" si="141"/>
        <v>410.92470343230389</v>
      </c>
      <c r="S141" s="365">
        <v>8280.65</v>
      </c>
      <c r="T141" s="365">
        <v>53537</v>
      </c>
      <c r="U141" s="43">
        <f>T141*'KiGa - PS'!L142</f>
        <v>9660.3322314731322</v>
      </c>
      <c r="V141" s="42">
        <f t="shared" si="142"/>
        <v>4.7144882342754657E-2</v>
      </c>
      <c r="W141" s="43">
        <f t="shared" si="143"/>
        <v>805.02768595609439</v>
      </c>
      <c r="X141" s="365">
        <v>51309.599999999999</v>
      </c>
      <c r="Y141" s="43">
        <f>X141*'KiGa - PS'!L142</f>
        <v>9258.415351327003</v>
      </c>
      <c r="Z141" s="91">
        <f t="shared" si="144"/>
        <v>4.5183425575841082E-2</v>
      </c>
      <c r="AA141" s="365">
        <v>204583.65</v>
      </c>
      <c r="AB141" s="43">
        <f>AA141*'KiGa - PS'!L142</f>
        <v>36915.516897237765</v>
      </c>
      <c r="AC141" s="43">
        <f t="shared" si="145"/>
        <v>3076.2930747698138</v>
      </c>
      <c r="AD141" s="42">
        <f t="shared" si="146"/>
        <v>0.18015712700564654</v>
      </c>
      <c r="AE141" s="365">
        <v>4135</v>
      </c>
      <c r="AF141" s="43">
        <f>AE141*'KiGa - PS'!L142</f>
        <v>746.12835566321235</v>
      </c>
      <c r="AG141" s="42">
        <f t="shared" si="147"/>
        <v>3.6412964582866148E-3</v>
      </c>
      <c r="AH141" s="42"/>
      <c r="AI141" s="97">
        <f t="shared" si="135"/>
        <v>9.0496079750292585E-2</v>
      </c>
      <c r="AJ141" s="365">
        <v>19379</v>
      </c>
      <c r="AK141" s="43">
        <f>AJ141*'KiGa - PS'!$L142</f>
        <v>3496.7887314141217</v>
      </c>
      <c r="AL141" s="365">
        <v>0</v>
      </c>
      <c r="AM141" s="43">
        <f>AL141*'KiGa - PS'!$L142</f>
        <v>0</v>
      </c>
      <c r="AN141" s="97">
        <f>(AK141+AM141)/Funktional!E141</f>
        <v>1.8266347457241299E-2</v>
      </c>
    </row>
    <row r="142" spans="1:40" x14ac:dyDescent="0.25">
      <c r="A142" t="str">
        <f>Funktional!A142</f>
        <v>Bettwiesen</v>
      </c>
      <c r="B142" t="str">
        <f>Funktional!B142</f>
        <v>KiGa</v>
      </c>
      <c r="C142" s="43">
        <f>Funktional!D142</f>
        <v>32</v>
      </c>
      <c r="D142" s="43">
        <f>Funktional!J142-'KiGa - PS'!H143</f>
        <v>729999.95</v>
      </c>
      <c r="E142" s="43">
        <f>'KiGa - PS'!C143+'KiGa - PS'!J143*Artengliederung!D142</f>
        <v>282406.35127538256</v>
      </c>
      <c r="F142" s="365">
        <v>939506.85</v>
      </c>
      <c r="G142" s="43">
        <f>F142*'KiGa - PS'!L143</f>
        <v>167352.95259918951</v>
      </c>
      <c r="H142" s="42">
        <f t="shared" si="136"/>
        <v>0.5925962778223739</v>
      </c>
      <c r="I142" s="85">
        <f t="shared" si="137"/>
        <v>5229.7797687246721</v>
      </c>
      <c r="J142" s="365">
        <v>144486.54999999999</v>
      </c>
      <c r="K142" s="43">
        <f>J142*'KiGa - PS'!L143</f>
        <v>25737.173447293568</v>
      </c>
      <c r="L142" s="42">
        <f t="shared" si="138"/>
        <v>9.113525007869426E-2</v>
      </c>
      <c r="M142" s="43">
        <f t="shared" si="139"/>
        <v>804.28667022792399</v>
      </c>
      <c r="N142" s="365">
        <v>45472.3</v>
      </c>
      <c r="O142" s="43">
        <f>N142*'KiGa - PS'!L143</f>
        <v>8099.912913329078</v>
      </c>
      <c r="P142" s="42">
        <f t="shared" si="140"/>
        <v>2.868176610316607E-2</v>
      </c>
      <c r="Q142" s="43">
        <f>O142/Funktional!C142</f>
        <v>4049.956456664539</v>
      </c>
      <c r="R142" s="85">
        <f t="shared" si="141"/>
        <v>253.12227854153369</v>
      </c>
      <c r="S142" s="365">
        <v>15958.55</v>
      </c>
      <c r="T142" s="365">
        <v>223919.7</v>
      </c>
      <c r="U142" s="43">
        <f>T142*'KiGa - PS'!L143</f>
        <v>39886.481870914227</v>
      </c>
      <c r="V142" s="42">
        <f t="shared" si="142"/>
        <v>0.14123790662207794</v>
      </c>
      <c r="W142" s="43">
        <f t="shared" si="143"/>
        <v>1246.4525584660696</v>
      </c>
      <c r="X142" s="365">
        <v>223237.5</v>
      </c>
      <c r="Y142" s="43">
        <f>X142*'KiGa - PS'!L143</f>
        <v>39764.962603371721</v>
      </c>
      <c r="Z142" s="91">
        <f t="shared" si="144"/>
        <v>0.14080760727861874</v>
      </c>
      <c r="AA142" s="365">
        <v>233068.65</v>
      </c>
      <c r="AB142" s="43">
        <f>AA142*'KiGa - PS'!L143</f>
        <v>41516.170675931833</v>
      </c>
      <c r="AC142" s="43">
        <f t="shared" si="145"/>
        <v>1297.3803336228698</v>
      </c>
      <c r="AD142" s="42">
        <f t="shared" si="146"/>
        <v>0.14700862954547442</v>
      </c>
      <c r="AE142" s="365">
        <v>199964</v>
      </c>
      <c r="AF142" s="43">
        <f>AE142*'KiGa - PS'!L143</f>
        <v>35619.288793417873</v>
      </c>
      <c r="AG142" s="42">
        <f t="shared" si="147"/>
        <v>0.12612778938064489</v>
      </c>
      <c r="AH142" s="42"/>
      <c r="AI142" s="97">
        <f t="shared" si="135"/>
        <v>2.8021935931379471E-2</v>
      </c>
      <c r="AJ142" s="365">
        <v>395694.75</v>
      </c>
      <c r="AK142" s="43">
        <f>AJ142*'KiGa - PS'!$L143</f>
        <v>70484.515084161583</v>
      </c>
      <c r="AL142" s="365">
        <v>324826</v>
      </c>
      <c r="AM142" s="43">
        <f>AL142*'KiGa - PS'!$L143</f>
        <v>57860.770446734183</v>
      </c>
      <c r="AN142" s="97">
        <f>(AK142+AM142)/Funktional!E142</f>
        <v>0.46358473089166652</v>
      </c>
    </row>
    <row r="143" spans="1:40" x14ac:dyDescent="0.25">
      <c r="A143" t="str">
        <f>Funktional!A143</f>
        <v>Bichelsee</v>
      </c>
      <c r="B143" t="str">
        <f>Funktional!B143</f>
        <v>KiGa</v>
      </c>
      <c r="C143" s="43">
        <f>Funktional!D143</f>
        <v>38</v>
      </c>
      <c r="D143" s="43">
        <f>Funktional!J143-'KiGa - PS'!H144</f>
        <v>596394.55000000005</v>
      </c>
      <c r="E143" s="43">
        <f>'KiGa - PS'!C144+'KiGa - PS'!J144*Artengliederung!D143</f>
        <v>317895.07961034123</v>
      </c>
      <c r="F143" s="365">
        <v>843255.35</v>
      </c>
      <c r="G143" s="43">
        <f>F143*'KiGa - PS'!L144</f>
        <v>186032.72314412269</v>
      </c>
      <c r="H143" s="42">
        <f t="shared" si="136"/>
        <v>0.5852016438006894</v>
      </c>
      <c r="I143" s="85">
        <f t="shared" si="137"/>
        <v>4895.597977476913</v>
      </c>
      <c r="J143" s="365">
        <v>253903.15</v>
      </c>
      <c r="K143" s="43">
        <f>J143*'KiGa - PS'!L144</f>
        <v>56014.224409451599</v>
      </c>
      <c r="L143" s="42">
        <f t="shared" si="138"/>
        <v>0.17620349606578006</v>
      </c>
      <c r="M143" s="43">
        <f t="shared" si="139"/>
        <v>1474.0585370908316</v>
      </c>
      <c r="N143" s="365">
        <v>42092.45</v>
      </c>
      <c r="O143" s="43">
        <f>N143*'KiGa - PS'!L144</f>
        <v>9286.1232333809985</v>
      </c>
      <c r="P143" s="42">
        <f t="shared" si="140"/>
        <v>2.9211283310089074E-2</v>
      </c>
      <c r="Q143" s="43">
        <f>O143/Funktional!C143</f>
        <v>4643.0616166904992</v>
      </c>
      <c r="R143" s="85">
        <f t="shared" si="141"/>
        <v>244.37166403634205</v>
      </c>
      <c r="S143" s="365">
        <v>38861.35</v>
      </c>
      <c r="T143" s="365">
        <v>114514.2</v>
      </c>
      <c r="U143" s="43">
        <f>T143*'KiGa - PS'!L144</f>
        <v>25263.271042004882</v>
      </c>
      <c r="V143" s="42">
        <f t="shared" si="142"/>
        <v>7.9470468913741127E-2</v>
      </c>
      <c r="W143" s="43">
        <f t="shared" si="143"/>
        <v>664.82292215802318</v>
      </c>
      <c r="X143" s="365">
        <v>112753.65</v>
      </c>
      <c r="Y143" s="43">
        <f>X143*'KiGa - PS'!L144</f>
        <v>24874.871596058427</v>
      </c>
      <c r="Z143" s="91">
        <f t="shared" si="144"/>
        <v>7.8248683894537513E-2</v>
      </c>
      <c r="AA143" s="365">
        <v>94657.95</v>
      </c>
      <c r="AB143" s="43">
        <f>AA143*'KiGa - PS'!L144</f>
        <v>20882.732858724474</v>
      </c>
      <c r="AC143" s="43">
        <f t="shared" si="145"/>
        <v>549.54560154538092</v>
      </c>
      <c r="AD143" s="42">
        <f t="shared" si="146"/>
        <v>6.5690645115745142E-2</v>
      </c>
      <c r="AE143" s="365">
        <v>85345</v>
      </c>
      <c r="AF143" s="43">
        <f>AE143*'KiGa - PS'!L144</f>
        <v>18828.179099883742</v>
      </c>
      <c r="AG143" s="42">
        <f t="shared" si="147"/>
        <v>5.922765184966787E-2</v>
      </c>
      <c r="AH143" s="42"/>
      <c r="AI143" s="97">
        <f t="shared" ref="AI143:AI158" si="148">1-H143-L143-V143-AD143</f>
        <v>9.3433746104044271E-2</v>
      </c>
      <c r="AJ143" s="365">
        <v>0</v>
      </c>
      <c r="AK143" s="43">
        <f>AJ143*'KiGa - PS'!$L144</f>
        <v>0</v>
      </c>
      <c r="AL143" s="365">
        <v>241114</v>
      </c>
      <c r="AM143" s="43">
        <f>AL143*'KiGa - PS'!$L144</f>
        <v>53192.777262749645</v>
      </c>
      <c r="AN143" s="97">
        <f>(AK143+AM143)/Funktional!E143</f>
        <v>0.18164126975469533</v>
      </c>
    </row>
    <row r="144" spans="1:40" x14ac:dyDescent="0.25">
      <c r="A144" t="str">
        <f>Funktional!A144</f>
        <v>Bischofszell</v>
      </c>
      <c r="B144" t="str">
        <f>Funktional!B144</f>
        <v>KiGa</v>
      </c>
      <c r="C144" s="43">
        <f>Funktional!D144</f>
        <v>85</v>
      </c>
      <c r="D144" s="43">
        <f>Funktional!J144-'KiGa - PS'!H145</f>
        <v>2532473</v>
      </c>
      <c r="E144" s="43">
        <f>'KiGa - PS'!C145+'KiGa - PS'!J145*Artengliederung!D144</f>
        <v>659657.6285535465</v>
      </c>
      <c r="F144" s="365">
        <v>3600281.95</v>
      </c>
      <c r="G144" s="43">
        <f>F144*'KiGa - PS'!L145</f>
        <v>402767.20112708147</v>
      </c>
      <c r="H144" s="42">
        <f t="shared" si="136"/>
        <v>0.61057006497483046</v>
      </c>
      <c r="I144" s="85">
        <f t="shared" si="137"/>
        <v>4738.4376603186056</v>
      </c>
      <c r="J144" s="365">
        <v>402834.75</v>
      </c>
      <c r="K144" s="43">
        <f>J144*'KiGa - PS'!L145</f>
        <v>45065.532929782785</v>
      </c>
      <c r="L144" s="42">
        <f t="shared" si="138"/>
        <v>6.8316549341814622E-2</v>
      </c>
      <c r="M144" s="43">
        <f t="shared" si="139"/>
        <v>530.18274035038576</v>
      </c>
      <c r="N144" s="365">
        <v>131383.5</v>
      </c>
      <c r="O144" s="43">
        <f>N144*'KiGa - PS'!L145</f>
        <v>14698.005685160271</v>
      </c>
      <c r="P144" s="42">
        <f t="shared" si="140"/>
        <v>2.2281263869242417E-2</v>
      </c>
      <c r="Q144" s="43">
        <f>O144/Funktional!C144</f>
        <v>3674.5014212900678</v>
      </c>
      <c r="R144" s="85">
        <f t="shared" si="141"/>
        <v>172.91771394306201</v>
      </c>
      <c r="S144" s="365">
        <v>43355.95</v>
      </c>
      <c r="T144" s="365">
        <v>614477.85</v>
      </c>
      <c r="U144" s="43">
        <f>T144*'KiGa - PS'!L145</f>
        <v>68742.261644004451</v>
      </c>
      <c r="V144" s="42">
        <f t="shared" si="142"/>
        <v>0.10420899974239353</v>
      </c>
      <c r="W144" s="43">
        <f t="shared" si="143"/>
        <v>808.73248992946412</v>
      </c>
      <c r="X144" s="365">
        <v>609935.65</v>
      </c>
      <c r="Y144" s="43">
        <f>X144*'KiGa - PS'!L145</f>
        <v>68234.12111324424</v>
      </c>
      <c r="Z144" s="91">
        <f t="shared" si="144"/>
        <v>0.10343869025340235</v>
      </c>
      <c r="AA144" s="365">
        <v>831973.3</v>
      </c>
      <c r="AB144" s="43">
        <f>AA144*'KiGa - PS'!L145</f>
        <v>93073.698701142479</v>
      </c>
      <c r="AC144" s="43">
        <f t="shared" si="145"/>
        <v>1094.9846906016762</v>
      </c>
      <c r="AD144" s="42">
        <f t="shared" si="146"/>
        <v>0.14109394733329819</v>
      </c>
      <c r="AE144" s="365">
        <v>644840</v>
      </c>
      <c r="AF144" s="43">
        <f>AE144*'KiGa - PS'!L145</f>
        <v>72138.906225049184</v>
      </c>
      <c r="AG144" s="42">
        <f t="shared" si="147"/>
        <v>0.10935810199486451</v>
      </c>
      <c r="AH144" s="42"/>
      <c r="AI144" s="97">
        <f t="shared" si="148"/>
        <v>7.5810438607663178E-2</v>
      </c>
      <c r="AJ144" s="365">
        <v>260776.25</v>
      </c>
      <c r="AK144" s="43">
        <f>AJ144*'KiGa - PS'!$L145</f>
        <v>29173.304144392379</v>
      </c>
      <c r="AL144" s="365">
        <v>0</v>
      </c>
      <c r="AM144" s="43">
        <f>AL144*'KiGa - PS'!$L145</f>
        <v>0</v>
      </c>
      <c r="AN144" s="97">
        <f>(AK144+AM144)/Funktional!E144</f>
        <v>4.7101620145275858E-2</v>
      </c>
    </row>
    <row r="145" spans="1:40" x14ac:dyDescent="0.25">
      <c r="A145" t="str">
        <f>Funktional!A145</f>
        <v>Blidegg</v>
      </c>
      <c r="B145" t="str">
        <f>Funktional!B145</f>
        <v>KiGa</v>
      </c>
      <c r="C145" s="43">
        <f>Funktional!D145</f>
        <v>0</v>
      </c>
      <c r="D145" s="43">
        <f>Funktional!J145-'KiGa - PS'!H146</f>
        <v>-253936.25</v>
      </c>
      <c r="E145" s="43">
        <f>'KiGa - PS'!C146+'KiGa - PS'!J146*Artengliederung!D145</f>
        <v>9.0949470177292824E-13</v>
      </c>
      <c r="F145" s="365">
        <v>221404.7</v>
      </c>
      <c r="G145" s="43">
        <f>F145*'KiGa - PS'!L146</f>
        <v>0</v>
      </c>
      <c r="H145" s="42"/>
      <c r="I145" s="85"/>
      <c r="J145" s="365">
        <v>161789.9</v>
      </c>
      <c r="K145" s="43">
        <f>J145*'KiGa - PS'!L146</f>
        <v>0</v>
      </c>
      <c r="L145" s="42"/>
      <c r="M145" s="43"/>
      <c r="N145" s="365">
        <v>12672.9</v>
      </c>
      <c r="O145" s="43">
        <f>N145*'KiGa - PS'!L146</f>
        <v>0</v>
      </c>
      <c r="P145" s="42"/>
      <c r="Q145" s="43"/>
      <c r="R145" s="85"/>
      <c r="S145" s="365">
        <v>15142.1</v>
      </c>
      <c r="T145" s="365">
        <v>20223.150000000001</v>
      </c>
      <c r="U145" s="43">
        <f>T145*'KiGa - PS'!L146</f>
        <v>0</v>
      </c>
      <c r="V145" s="42"/>
      <c r="W145" s="43"/>
      <c r="X145" s="365">
        <v>13671.45</v>
      </c>
      <c r="Y145" s="43">
        <f>X145*'KiGa - PS'!L146</f>
        <v>0</v>
      </c>
      <c r="Z145" s="91"/>
      <c r="AA145" s="365">
        <v>21087.9</v>
      </c>
      <c r="AB145" s="43">
        <f>AA145*'KiGa - PS'!L146</f>
        <v>0</v>
      </c>
      <c r="AC145" s="43"/>
      <c r="AD145" s="42"/>
      <c r="AE145" s="365">
        <v>21194.85</v>
      </c>
      <c r="AF145" s="43">
        <f>AE145*'KiGa - PS'!L146</f>
        <v>0</v>
      </c>
      <c r="AG145" s="42">
        <f t="shared" si="147"/>
        <v>0</v>
      </c>
      <c r="AH145" s="42"/>
      <c r="AI145" s="97"/>
      <c r="AJ145" s="365">
        <v>119618</v>
      </c>
      <c r="AK145" s="43">
        <f>AJ145*'KiGa - PS'!$L146</f>
        <v>0</v>
      </c>
      <c r="AL145" s="365">
        <v>0</v>
      </c>
      <c r="AM145" s="43">
        <f>AL145*'KiGa - PS'!$L146</f>
        <v>0</v>
      </c>
      <c r="AN145" s="97"/>
    </row>
    <row r="146" spans="1:40" x14ac:dyDescent="0.25">
      <c r="A146" t="str">
        <f>Funktional!A146</f>
        <v>Bottighofen</v>
      </c>
      <c r="B146" t="str">
        <f>Funktional!B146</f>
        <v>KiGa</v>
      </c>
      <c r="C146" s="43">
        <f>Funktional!D146</f>
        <v>31</v>
      </c>
      <c r="D146" s="43">
        <f>Funktional!J146-'KiGa - PS'!H147</f>
        <v>8515085.5999999996</v>
      </c>
      <c r="E146" s="43">
        <f>'KiGa - PS'!C147+'KiGa - PS'!J147*Artengliederung!D146</f>
        <v>1845388.6862375673</v>
      </c>
      <c r="F146" s="365">
        <v>936272.7</v>
      </c>
      <c r="G146" s="43">
        <f>F146*'KiGa - PS'!L147</f>
        <v>183485.54602304759</v>
      </c>
      <c r="H146" s="42">
        <f t="shared" si="136"/>
        <v>9.9429213688929305E-2</v>
      </c>
      <c r="I146" s="85">
        <f t="shared" si="137"/>
        <v>5918.8885813886318</v>
      </c>
      <c r="J146" s="365">
        <v>358895.05</v>
      </c>
      <c r="K146" s="43">
        <f>J146*'KiGa - PS'!L147</f>
        <v>70334.267157655006</v>
      </c>
      <c r="L146" s="42">
        <f t="shared" si="138"/>
        <v>3.8113524636944958E-2</v>
      </c>
      <c r="M146" s="43">
        <f t="shared" si="139"/>
        <v>2268.8473276662903</v>
      </c>
      <c r="N146" s="365">
        <v>53351.9</v>
      </c>
      <c r="O146" s="43">
        <f>N146*'KiGa - PS'!L147</f>
        <v>10455.610318304736</v>
      </c>
      <c r="P146" s="42">
        <f t="shared" si="140"/>
        <v>5.6658038473303644E-3</v>
      </c>
      <c r="Q146" s="43">
        <f>O146/Funktional!C146</f>
        <v>5227.8051591523681</v>
      </c>
      <c r="R146" s="85">
        <f t="shared" si="141"/>
        <v>337.27775220337861</v>
      </c>
      <c r="S146" s="365">
        <v>47293.95</v>
      </c>
      <c r="T146" s="365">
        <v>528974.80000000005</v>
      </c>
      <c r="U146" s="43">
        <f>T146*'KiGa - PS'!L147</f>
        <v>103665.55599712821</v>
      </c>
      <c r="V146" s="42">
        <f t="shared" si="142"/>
        <v>5.6175458736817438E-2</v>
      </c>
      <c r="W146" s="43">
        <f t="shared" si="143"/>
        <v>3344.0501934557487</v>
      </c>
      <c r="X146" s="365">
        <v>83975</v>
      </c>
      <c r="Y146" s="43">
        <f>X146*'KiGa - PS'!L147</f>
        <v>16456.956106148798</v>
      </c>
      <c r="Z146" s="91">
        <f t="shared" si="144"/>
        <v>8.9178806767812816E-3</v>
      </c>
      <c r="AA146" s="365">
        <v>315000</v>
      </c>
      <c r="AB146" s="43">
        <f>AA146*'KiGa - PS'!L147</f>
        <v>61731.95800460699</v>
      </c>
      <c r="AC146" s="43">
        <f t="shared" si="145"/>
        <v>1991.3534840195803</v>
      </c>
      <c r="AD146" s="42">
        <f t="shared" si="146"/>
        <v>3.3452008492838393E-2</v>
      </c>
      <c r="AE146" s="365">
        <v>315000</v>
      </c>
      <c r="AF146" s="43">
        <f>AE146*'KiGa - PS'!L147</f>
        <v>61731.95800460699</v>
      </c>
      <c r="AG146" s="42">
        <f t="shared" si="147"/>
        <v>3.3452008492838393E-2</v>
      </c>
      <c r="AH146" s="42"/>
      <c r="AI146" s="97">
        <f t="shared" si="148"/>
        <v>0.77282979444446998</v>
      </c>
      <c r="AJ146" s="365">
        <v>20792.099999999999</v>
      </c>
      <c r="AK146" s="43">
        <f>AJ146*'KiGa - PS'!$L147</f>
        <v>4074.7207746907584</v>
      </c>
      <c r="AL146" s="365">
        <v>0</v>
      </c>
      <c r="AM146" s="43">
        <f>AL146*'KiGa - PS'!$L147</f>
        <v>0</v>
      </c>
      <c r="AN146" s="97">
        <f>(AK146+AM146)/Funktional!E146</f>
        <v>2.2269402024125964E-3</v>
      </c>
    </row>
    <row r="147" spans="1:40" x14ac:dyDescent="0.25">
      <c r="A147" t="str">
        <f>Funktional!A147</f>
        <v>Braunau</v>
      </c>
      <c r="B147" t="str">
        <f>Funktional!B147</f>
        <v>KiGa</v>
      </c>
      <c r="C147" s="43">
        <f>Funktional!D147</f>
        <v>16</v>
      </c>
      <c r="D147" s="43">
        <f>Funktional!J147-'KiGa - PS'!H148</f>
        <v>287123.44999999995</v>
      </c>
      <c r="E147" s="43">
        <f>'KiGa - PS'!C148+'KiGa - PS'!J148*Artengliederung!D147</f>
        <v>146786.26484292903</v>
      </c>
      <c r="F147" s="365">
        <v>579453.75</v>
      </c>
      <c r="G147" s="43">
        <f>F147*'KiGa - PS'!L148</f>
        <v>98827.371743681608</v>
      </c>
      <c r="H147" s="42">
        <f t="shared" si="136"/>
        <v>0.67327397321154947</v>
      </c>
      <c r="I147" s="85">
        <f t="shared" si="137"/>
        <v>6176.7107339801005</v>
      </c>
      <c r="J147" s="365">
        <v>90176</v>
      </c>
      <c r="K147" s="43">
        <f>J147*'KiGa - PS'!L148</f>
        <v>15379.755630813041</v>
      </c>
      <c r="L147" s="42">
        <f t="shared" si="138"/>
        <v>0.10477653101446782</v>
      </c>
      <c r="M147" s="43">
        <f t="shared" si="139"/>
        <v>961.23472692581504</v>
      </c>
      <c r="N147" s="365">
        <v>18400.849999999999</v>
      </c>
      <c r="O147" s="43">
        <f>N147*'KiGa - PS'!L148</f>
        <v>3138.3137020853233</v>
      </c>
      <c r="P147" s="42">
        <f t="shared" si="140"/>
        <v>2.1380159141207972E-2</v>
      </c>
      <c r="Q147" s="43">
        <f>O147/Funktional!C147</f>
        <v>3138.3137020853233</v>
      </c>
      <c r="R147" s="85">
        <f t="shared" si="141"/>
        <v>196.1446063803327</v>
      </c>
      <c r="S147" s="365">
        <v>15090</v>
      </c>
      <c r="T147" s="365">
        <v>48084.1</v>
      </c>
      <c r="U147" s="43">
        <f>T147*'KiGa - PS'!L148</f>
        <v>8200.8706055666407</v>
      </c>
      <c r="V147" s="42">
        <f t="shared" si="142"/>
        <v>5.5869468538777195E-2</v>
      </c>
      <c r="W147" s="43">
        <f t="shared" si="143"/>
        <v>512.55441284791505</v>
      </c>
      <c r="X147" s="365">
        <v>43588.05</v>
      </c>
      <c r="Y147" s="43">
        <f>X147*'KiGa - PS'!L148</f>
        <v>7434.0573702943184</v>
      </c>
      <c r="Z147" s="91">
        <f t="shared" si="144"/>
        <v>5.0645456359620908E-2</v>
      </c>
      <c r="AA147" s="365">
        <v>110177.95</v>
      </c>
      <c r="AB147" s="43">
        <f>AA147*'KiGa - PS'!L148</f>
        <v>18791.141178405982</v>
      </c>
      <c r="AC147" s="43">
        <f t="shared" si="145"/>
        <v>1174.4463236503739</v>
      </c>
      <c r="AD147" s="42">
        <f t="shared" si="146"/>
        <v>0.12801702665105444</v>
      </c>
      <c r="AE147" s="365">
        <v>66423</v>
      </c>
      <c r="AF147" s="43">
        <f>AE147*'KiGa - PS'!L148</f>
        <v>11328.618571077612</v>
      </c>
      <c r="AG147" s="42">
        <f t="shared" si="147"/>
        <v>7.7177647262841514E-2</v>
      </c>
      <c r="AH147" s="42"/>
      <c r="AI147" s="97">
        <f t="shared" si="148"/>
        <v>3.8063000584151074E-2</v>
      </c>
      <c r="AJ147" s="365">
        <v>251281.25</v>
      </c>
      <c r="AK147" s="43">
        <f>AJ147*'KiGa - PS'!$L148</f>
        <v>42856.682704990679</v>
      </c>
      <c r="AL147" s="365">
        <v>69690</v>
      </c>
      <c r="AM147" s="43">
        <f>AL147*'KiGa - PS'!$L148</f>
        <v>11885.81407371541</v>
      </c>
      <c r="AN147" s="97">
        <f>(AK147+AM147)/Funktional!E147</f>
        <v>0.382896760116955</v>
      </c>
    </row>
    <row r="148" spans="1:40" x14ac:dyDescent="0.25">
      <c r="A148" t="str">
        <f>Funktional!A148</f>
        <v>Buch bei Frauenfeld</v>
      </c>
      <c r="B148" t="str">
        <f>Funktional!B148</f>
        <v>KiGa</v>
      </c>
      <c r="C148" s="43">
        <f>Funktional!D148</f>
        <v>0</v>
      </c>
      <c r="D148" s="43">
        <f>Funktional!J148-'KiGa - PS'!H149</f>
        <v>-337945.4</v>
      </c>
      <c r="E148" s="43">
        <f>'KiGa - PS'!C149+'KiGa - PS'!J149*Artengliederung!D148</f>
        <v>0</v>
      </c>
      <c r="F148" s="365">
        <v>244449.85</v>
      </c>
      <c r="G148" s="43">
        <f>F148*'KiGa - PS'!L149</f>
        <v>0</v>
      </c>
      <c r="H148" s="42"/>
      <c r="I148" s="85"/>
      <c r="J148" s="365">
        <v>127957.8</v>
      </c>
      <c r="K148" s="43">
        <f>J148*'KiGa - PS'!L149</f>
        <v>0</v>
      </c>
      <c r="L148" s="42"/>
      <c r="M148" s="43"/>
      <c r="N148" s="365">
        <v>14062.35</v>
      </c>
      <c r="O148" s="43">
        <f>N148*'KiGa - PS'!L149</f>
        <v>0</v>
      </c>
      <c r="P148" s="42"/>
      <c r="Q148" s="43"/>
      <c r="R148" s="85"/>
      <c r="S148" s="365">
        <v>21216.25</v>
      </c>
      <c r="T148" s="365">
        <v>13406.25</v>
      </c>
      <c r="U148" s="43">
        <f>T148*'KiGa - PS'!L149</f>
        <v>0</v>
      </c>
      <c r="V148" s="42"/>
      <c r="W148" s="43"/>
      <c r="X148" s="365">
        <v>13406.25</v>
      </c>
      <c r="Y148" s="43">
        <f>X148*'KiGa - PS'!L149</f>
        <v>0</v>
      </c>
      <c r="Z148" s="91"/>
      <c r="AA148" s="365">
        <v>34544.25</v>
      </c>
      <c r="AB148" s="43">
        <f>AA148*'KiGa - PS'!L149</f>
        <v>0</v>
      </c>
      <c r="AC148" s="43"/>
      <c r="AD148" s="42"/>
      <c r="AE148" s="365">
        <v>13052</v>
      </c>
      <c r="AF148" s="43">
        <f>AE148*'KiGa - PS'!L149</f>
        <v>0</v>
      </c>
      <c r="AG148" s="42"/>
      <c r="AH148" s="42"/>
      <c r="AI148" s="97"/>
      <c r="AJ148" s="365">
        <v>88232</v>
      </c>
      <c r="AK148" s="43">
        <f>AJ148*'KiGa - PS'!$L149</f>
        <v>0</v>
      </c>
      <c r="AL148" s="365">
        <v>82483</v>
      </c>
      <c r="AM148" s="43">
        <f>AL148*'KiGa - PS'!$L149</f>
        <v>0</v>
      </c>
      <c r="AN148" s="97"/>
    </row>
    <row r="149" spans="1:40" x14ac:dyDescent="0.25">
      <c r="A149" t="str">
        <f>Funktional!A149</f>
        <v>Buhwil-Neukirch an der Thur</v>
      </c>
      <c r="B149" t="str">
        <f>Funktional!B149</f>
        <v>KiGa</v>
      </c>
      <c r="C149" s="43">
        <f>Funktional!D149</f>
        <v>18</v>
      </c>
      <c r="D149" s="43">
        <f>Funktional!J149-'KiGa - PS'!H150</f>
        <v>537795.54999999993</v>
      </c>
      <c r="E149" s="43">
        <f>'KiGa - PS'!C150+'KiGa - PS'!J150*Artengliederung!D149</f>
        <v>183614.37672648128</v>
      </c>
      <c r="F149" s="365">
        <v>714021.65</v>
      </c>
      <c r="G149" s="43">
        <f>F149*'KiGa - PS'!L150</f>
        <v>108211.38989306211</v>
      </c>
      <c r="H149" s="42">
        <f t="shared" si="136"/>
        <v>0.58934050711212971</v>
      </c>
      <c r="I149" s="85">
        <f t="shared" si="137"/>
        <v>6011.7438829478951</v>
      </c>
      <c r="J149" s="365">
        <v>198296.3</v>
      </c>
      <c r="K149" s="43">
        <f>J149*'KiGa - PS'!L150</f>
        <v>30052.195523275252</v>
      </c>
      <c r="L149" s="42">
        <f t="shared" si="138"/>
        <v>0.16367016602432014</v>
      </c>
      <c r="M149" s="43">
        <f t="shared" si="139"/>
        <v>1669.5664179597361</v>
      </c>
      <c r="N149" s="365">
        <v>25465.1</v>
      </c>
      <c r="O149" s="43">
        <f>N149*'KiGa - PS'!L150</f>
        <v>3859.2861501689977</v>
      </c>
      <c r="P149" s="42">
        <f t="shared" si="140"/>
        <v>2.101843123056716E-2</v>
      </c>
      <c r="Q149" s="43">
        <f>O149/Funktional!C149</f>
        <v>3859.2861501689977</v>
      </c>
      <c r="R149" s="85">
        <f t="shared" si="141"/>
        <v>214.40478612049986</v>
      </c>
      <c r="S149" s="365">
        <v>15951.45</v>
      </c>
      <c r="T149" s="365">
        <v>57625.5</v>
      </c>
      <c r="U149" s="43">
        <f>T149*'KiGa - PS'!L150</f>
        <v>8733.2582258292168</v>
      </c>
      <c r="V149" s="42">
        <f t="shared" si="142"/>
        <v>4.7563041530449435E-2</v>
      </c>
      <c r="W149" s="43">
        <f t="shared" si="143"/>
        <v>485.18101254606762</v>
      </c>
      <c r="X149" s="365">
        <v>48140.25</v>
      </c>
      <c r="Y149" s="43">
        <f>X149*'KiGa - PS'!L150</f>
        <v>7295.7498729898216</v>
      </c>
      <c r="Z149" s="91">
        <f t="shared" si="144"/>
        <v>3.9734088381640394E-2</v>
      </c>
      <c r="AA149" s="365">
        <v>173410.85</v>
      </c>
      <c r="AB149" s="43">
        <f>AA149*'KiGa - PS'!L150</f>
        <v>26280.756474313221</v>
      </c>
      <c r="AC149" s="43">
        <f t="shared" si="145"/>
        <v>1460.0420263507344</v>
      </c>
      <c r="AD149" s="42">
        <f t="shared" si="146"/>
        <v>0.1431301673804225</v>
      </c>
      <c r="AE149" s="365">
        <v>51156.5</v>
      </c>
      <c r="AF149" s="43">
        <f>AE149*'KiGa - PS'!L150</f>
        <v>7752.8685118503499</v>
      </c>
      <c r="AG149" s="42">
        <f t="shared" si="147"/>
        <v>4.2223646372741869E-2</v>
      </c>
      <c r="AH149" s="42"/>
      <c r="AI149" s="97">
        <f t="shared" si="148"/>
        <v>5.6296117952678221E-2</v>
      </c>
      <c r="AJ149" s="365">
        <v>311825</v>
      </c>
      <c r="AK149" s="43">
        <f>AJ149*'KiGa - PS'!$L150</f>
        <v>47257.694011664898</v>
      </c>
      <c r="AL149" s="365">
        <v>357022</v>
      </c>
      <c r="AM149" s="43">
        <f>AL149*'KiGa - PS'!$L150</f>
        <v>54107.388539830434</v>
      </c>
      <c r="AN149" s="97">
        <f>(AK149+AM149)/Funktional!E149</f>
        <v>0.58171097197394683</v>
      </c>
    </row>
    <row r="150" spans="1:40" x14ac:dyDescent="0.25">
      <c r="A150" t="str">
        <f>Funktional!A150</f>
        <v>Bürglen</v>
      </c>
      <c r="B150" t="str">
        <f>Funktional!B150</f>
        <v>KiGa</v>
      </c>
      <c r="C150" s="43">
        <f>Funktional!D150</f>
        <v>66</v>
      </c>
      <c r="D150" s="43">
        <f>Funktional!J150-'KiGa - PS'!H151</f>
        <v>1445197.65</v>
      </c>
      <c r="E150" s="43">
        <f>'KiGa - PS'!C151+'KiGa - PS'!J151*Artengliederung!D150</f>
        <v>396562.91622149094</v>
      </c>
      <c r="F150" s="365">
        <v>2486336.15</v>
      </c>
      <c r="G150" s="43">
        <f>F150*'KiGa - PS'!L151</f>
        <v>271469.94296392909</v>
      </c>
      <c r="H150" s="42">
        <f t="shared" ref="H150:H165" si="149">G150/$E150</f>
        <v>0.68455705730261951</v>
      </c>
      <c r="I150" s="85">
        <f t="shared" ref="I150:I165" si="150">G150/C150</f>
        <v>4113.1809539989254</v>
      </c>
      <c r="J150" s="365">
        <v>439890.8</v>
      </c>
      <c r="K150" s="43">
        <f>J150*'KiGa - PS'!L151</f>
        <v>48029.358534789084</v>
      </c>
      <c r="L150" s="42">
        <f t="shared" ref="L150:L165" si="151">K150/$E150</f>
        <v>0.1211140945613871</v>
      </c>
      <c r="M150" s="43">
        <f t="shared" ref="M150:M165" si="152">K150/C150</f>
        <v>727.71755355741038</v>
      </c>
      <c r="N150" s="365">
        <v>93531.55</v>
      </c>
      <c r="O150" s="43">
        <f>N150*'KiGa - PS'!L151</f>
        <v>10212.217098572082</v>
      </c>
      <c r="P150" s="42">
        <f t="shared" ref="P150:P165" si="153">O150/$E150</f>
        <v>2.5751820659066081E-2</v>
      </c>
      <c r="Q150" s="43">
        <f>O150/Funktional!C150</f>
        <v>3404.0723661906941</v>
      </c>
      <c r="R150" s="85">
        <f t="shared" ref="R150:R165" si="154">O150/C150</f>
        <v>154.73056209957701</v>
      </c>
      <c r="S150" s="365">
        <v>15172.95</v>
      </c>
      <c r="T150" s="365">
        <v>213019.45</v>
      </c>
      <c r="U150" s="43">
        <f>T150*'KiGa - PS'!L151</f>
        <v>23258.471281812617</v>
      </c>
      <c r="V150" s="42">
        <f t="shared" ref="V150:V165" si="155">U150/$E150</f>
        <v>5.8650141832278999E-2</v>
      </c>
      <c r="W150" s="43">
        <f t="shared" ref="W150:W165" si="156">U150/C150</f>
        <v>352.40108002746388</v>
      </c>
      <c r="X150" s="365">
        <v>183945</v>
      </c>
      <c r="Y150" s="43">
        <f>X150*'KiGa - PS'!L151</f>
        <v>20083.985288352877</v>
      </c>
      <c r="Z150" s="91">
        <f t="shared" ref="Z150:Z165" si="157">Y150/$E150</f>
        <v>5.0645142212781782E-2</v>
      </c>
      <c r="AA150" s="365">
        <v>327019.40000000002</v>
      </c>
      <c r="AB150" s="43">
        <f>AA150*'KiGa - PS'!L151</f>
        <v>35705.525122215804</v>
      </c>
      <c r="AC150" s="43">
        <f t="shared" ref="AC150:AC165" si="158">AB150/C150</f>
        <v>540.99280488205761</v>
      </c>
      <c r="AD150" s="42">
        <f t="shared" ref="AD150:AD165" si="159">AB150/$E150</f>
        <v>9.0037478699277362E-2</v>
      </c>
      <c r="AE150" s="365">
        <v>292587</v>
      </c>
      <c r="AF150" s="43">
        <f>AE150*'KiGa - PS'!L151</f>
        <v>31946.032800909528</v>
      </c>
      <c r="AG150" s="42">
        <f t="shared" ref="AG150:AG165" si="160">AF150/$E150</f>
        <v>8.0557287366393129E-2</v>
      </c>
      <c r="AH150" s="42"/>
      <c r="AI150" s="97">
        <f t="shared" si="148"/>
        <v>4.5641227604437007E-2</v>
      </c>
      <c r="AJ150" s="365">
        <v>476333.75</v>
      </c>
      <c r="AK150" s="43">
        <f>AJ150*'KiGa - PS'!$L151</f>
        <v>52008.372216401411</v>
      </c>
      <c r="AL150" s="365">
        <v>686561</v>
      </c>
      <c r="AM150" s="43">
        <f>AL150*'KiGa - PS'!$L151</f>
        <v>74961.977893157411</v>
      </c>
      <c r="AN150" s="97">
        <f>(AK150+AM150)/Funktional!E150</f>
        <v>0.33287663372812359</v>
      </c>
    </row>
    <row r="151" spans="1:40" x14ac:dyDescent="0.25">
      <c r="A151" t="str">
        <f>Funktional!A151</f>
        <v>Bussnang-Rothenhausen</v>
      </c>
      <c r="B151" t="str">
        <f>Funktional!B151</f>
        <v>KiGa</v>
      </c>
      <c r="C151" s="43">
        <f>Funktional!D151</f>
        <v>28</v>
      </c>
      <c r="D151" s="43">
        <f>Funktional!J151-'KiGa - PS'!H152</f>
        <v>443094.70000000007</v>
      </c>
      <c r="E151" s="43">
        <f>'KiGa - PS'!C152+'KiGa - PS'!J152*Artengliederung!D151</f>
        <v>256874.75448528232</v>
      </c>
      <c r="F151" s="365">
        <v>901661.5</v>
      </c>
      <c r="G151" s="43">
        <f>F151*'KiGa - PS'!L152</f>
        <v>178565.91867281729</v>
      </c>
      <c r="H151" s="42">
        <f t="shared" si="149"/>
        <v>0.69514779305822461</v>
      </c>
      <c r="I151" s="85">
        <f t="shared" si="150"/>
        <v>6377.3542383149033</v>
      </c>
      <c r="J151" s="365">
        <v>150283.9</v>
      </c>
      <c r="K151" s="43">
        <f>J151*'KiGa - PS'!L152</f>
        <v>29762.36943158137</v>
      </c>
      <c r="L151" s="42">
        <f t="shared" si="151"/>
        <v>0.11586334940238983</v>
      </c>
      <c r="M151" s="43">
        <f t="shared" si="152"/>
        <v>1062.9417654136203</v>
      </c>
      <c r="N151" s="365">
        <v>47012.35</v>
      </c>
      <c r="O151" s="43">
        <f>N151*'KiGa - PS'!L152</f>
        <v>9310.3714273239148</v>
      </c>
      <c r="P151" s="42">
        <f t="shared" si="153"/>
        <v>3.6244789590085445E-2</v>
      </c>
      <c r="Q151" s="43">
        <f>O151/Funktional!C151</f>
        <v>4655.1857136619574</v>
      </c>
      <c r="R151" s="85">
        <f t="shared" si="154"/>
        <v>332.51326526156839</v>
      </c>
      <c r="S151" s="365">
        <v>4924.45</v>
      </c>
      <c r="T151" s="365">
        <v>55328.2</v>
      </c>
      <c r="U151" s="43">
        <f>T151*'KiGa - PS'!L152</f>
        <v>10957.250433242818</v>
      </c>
      <c r="V151" s="42">
        <f t="shared" si="155"/>
        <v>4.2656003526693846E-2</v>
      </c>
      <c r="W151" s="43">
        <f t="shared" si="156"/>
        <v>391.33037261581495</v>
      </c>
      <c r="X151" s="365">
        <v>54943.1</v>
      </c>
      <c r="Y151" s="43">
        <f>X151*'KiGa - PS'!L152</f>
        <v>10880.984855439061</v>
      </c>
      <c r="Z151" s="91">
        <f t="shared" si="157"/>
        <v>4.2359105616439581E-2</v>
      </c>
      <c r="AA151" s="365">
        <v>135831.65</v>
      </c>
      <c r="AB151" s="43">
        <f>AA151*'KiGa - PS'!L152</f>
        <v>26900.231813263159</v>
      </c>
      <c r="AC151" s="43">
        <f t="shared" si="158"/>
        <v>960.72256475939855</v>
      </c>
      <c r="AD151" s="42">
        <f t="shared" si="159"/>
        <v>0.10472119717317106</v>
      </c>
      <c r="AE151" s="365">
        <v>133626</v>
      </c>
      <c r="AF151" s="43">
        <f>AE151*'KiGa - PS'!L152</f>
        <v>26463.422746312095</v>
      </c>
      <c r="AG151" s="42">
        <f t="shared" si="160"/>
        <v>0.10302072229456212</v>
      </c>
      <c r="AH151" s="42"/>
      <c r="AI151" s="97">
        <f t="shared" si="148"/>
        <v>4.161165683952063E-2</v>
      </c>
      <c r="AJ151" s="365">
        <v>135323</v>
      </c>
      <c r="AK151" s="43">
        <f>AJ151*'KiGa - PS'!$L152</f>
        <v>26799.498273533529</v>
      </c>
      <c r="AL151" s="365">
        <v>0</v>
      </c>
      <c r="AM151" s="43">
        <f>AL151*'KiGa - PS'!$L152</f>
        <v>0</v>
      </c>
      <c r="AN151" s="97">
        <f>(AK151+AM151)/Funktional!E151</f>
        <v>0.10785200501693576</v>
      </c>
    </row>
    <row r="152" spans="1:40" x14ac:dyDescent="0.25">
      <c r="A152" t="str">
        <f>Funktional!A152</f>
        <v>Busswil</v>
      </c>
      <c r="B152" t="str">
        <f>Funktional!B152</f>
        <v>KiGa</v>
      </c>
      <c r="C152" s="43">
        <f>Funktional!D152</f>
        <v>15</v>
      </c>
      <c r="D152" s="43">
        <f>Funktional!J152-'KiGa - PS'!H153</f>
        <v>477397.05000000005</v>
      </c>
      <c r="E152" s="43">
        <f>'KiGa - PS'!C153+'KiGa - PS'!J153*Artengliederung!D152</f>
        <v>153145.770122822</v>
      </c>
      <c r="F152" s="365">
        <v>688015</v>
      </c>
      <c r="G152" s="43">
        <f>F152*'KiGa - PS'!L153</f>
        <v>95138.434681473984</v>
      </c>
      <c r="H152" s="42">
        <f t="shared" si="149"/>
        <v>0.62122796212506248</v>
      </c>
      <c r="I152" s="85">
        <f t="shared" si="150"/>
        <v>6342.5623120982655</v>
      </c>
      <c r="J152" s="365">
        <v>129410.1</v>
      </c>
      <c r="K152" s="43">
        <f>J152*'KiGa - PS'!L153</f>
        <v>17894.776052808465</v>
      </c>
      <c r="L152" s="42">
        <f t="shared" si="151"/>
        <v>0.11684799415913977</v>
      </c>
      <c r="M152" s="43">
        <f t="shared" si="152"/>
        <v>1192.985070187231</v>
      </c>
      <c r="N152" s="365">
        <v>25097.05</v>
      </c>
      <c r="O152" s="43">
        <f>N152*'KiGa - PS'!L153</f>
        <v>3470.4098778699399</v>
      </c>
      <c r="P152" s="42">
        <f t="shared" si="153"/>
        <v>2.2660827491916308E-2</v>
      </c>
      <c r="Q152" s="43">
        <f>O152/Funktional!C152</f>
        <v>3470.4098778699399</v>
      </c>
      <c r="R152" s="85">
        <f t="shared" si="154"/>
        <v>231.36065852466265</v>
      </c>
      <c r="S152" s="365">
        <v>21173.99</v>
      </c>
      <c r="T152" s="365">
        <v>92734.05</v>
      </c>
      <c r="U152" s="43">
        <f>T152*'KiGa - PS'!L153</f>
        <v>12823.226759116505</v>
      </c>
      <c r="V152" s="42">
        <f t="shared" si="155"/>
        <v>8.373216412593279E-2</v>
      </c>
      <c r="W152" s="43">
        <f t="shared" si="156"/>
        <v>854.88178394110037</v>
      </c>
      <c r="X152" s="365">
        <v>91773.65</v>
      </c>
      <c r="Y152" s="43">
        <f>X152*'KiGa - PS'!L153</f>
        <v>12690.423037296359</v>
      </c>
      <c r="Z152" s="91">
        <f t="shared" si="157"/>
        <v>8.2864992138657931E-2</v>
      </c>
      <c r="AA152" s="365">
        <v>135391.95000000001</v>
      </c>
      <c r="AB152" s="43">
        <f>AA152*'KiGa - PS'!L153</f>
        <v>18721.943840573815</v>
      </c>
      <c r="AC152" s="43">
        <f t="shared" si="158"/>
        <v>1248.1295893715876</v>
      </c>
      <c r="AD152" s="42">
        <f t="shared" si="159"/>
        <v>0.12224917361778211</v>
      </c>
      <c r="AE152" s="365">
        <v>129819</v>
      </c>
      <c r="AF152" s="43">
        <f>AE152*'KiGa - PS'!L153</f>
        <v>17951.318578685452</v>
      </c>
      <c r="AG152" s="42">
        <f t="shared" si="160"/>
        <v>0.11721720139112299</v>
      </c>
      <c r="AH152" s="42"/>
      <c r="AI152" s="97">
        <f t="shared" si="148"/>
        <v>5.5942705972082854E-2</v>
      </c>
      <c r="AJ152" s="365">
        <v>290131</v>
      </c>
      <c r="AK152" s="43">
        <f>AJ152*'KiGa - PS'!$L153</f>
        <v>40119.196809038651</v>
      </c>
      <c r="AL152" s="365">
        <v>58679</v>
      </c>
      <c r="AM152" s="43">
        <f>AL152*'KiGa - PS'!$L153</f>
        <v>8114.108280595935</v>
      </c>
      <c r="AN152" s="97">
        <f>(AK152+AM152)/Funktional!E152</f>
        <v>0.33122584900541557</v>
      </c>
    </row>
    <row r="153" spans="1:40" x14ac:dyDescent="0.25">
      <c r="A153" t="str">
        <f>Funktional!A153</f>
        <v>Dettighofen-Lanzenneunforn</v>
      </c>
      <c r="B153" t="str">
        <f>Funktional!B153</f>
        <v>KiGa</v>
      </c>
      <c r="C153" s="43">
        <f>Funktional!D153</f>
        <v>25</v>
      </c>
      <c r="D153" s="43">
        <f>Funktional!J153-'KiGa - PS'!H154</f>
        <v>511615.19999999995</v>
      </c>
      <c r="E153" s="43">
        <f>'KiGa - PS'!C154+'KiGa - PS'!J154*Artengliederung!D153</f>
        <v>189763.1105090623</v>
      </c>
      <c r="F153" s="365">
        <v>565518.75</v>
      </c>
      <c r="G153" s="43">
        <f>F153*'KiGa - PS'!L154</f>
        <v>93732.954409528465</v>
      </c>
      <c r="H153" s="42">
        <f t="shared" si="149"/>
        <v>0.49394718582594149</v>
      </c>
      <c r="I153" s="85">
        <f t="shared" si="150"/>
        <v>3749.3181763811385</v>
      </c>
      <c r="J153" s="365">
        <v>181808.15</v>
      </c>
      <c r="K153" s="43">
        <f>J153*'KiGa - PS'!L154</f>
        <v>30134.129125215939</v>
      </c>
      <c r="L153" s="42">
        <f t="shared" si="151"/>
        <v>0.15879866768824311</v>
      </c>
      <c r="M153" s="43">
        <f t="shared" si="152"/>
        <v>1205.3651650086376</v>
      </c>
      <c r="N153" s="365">
        <v>32811.800000000003</v>
      </c>
      <c r="O153" s="43">
        <f>N153*'KiGa - PS'!L154</f>
        <v>5438.4526657950173</v>
      </c>
      <c r="P153" s="42">
        <f t="shared" si="153"/>
        <v>2.8659166954028713E-2</v>
      </c>
      <c r="Q153" s="43">
        <f>O153/Funktional!C153</f>
        <v>5438.4526657950173</v>
      </c>
      <c r="R153" s="85">
        <f t="shared" si="154"/>
        <v>217.5381066318007</v>
      </c>
      <c r="S153" s="365">
        <v>8602.35</v>
      </c>
      <c r="T153" s="365">
        <v>85900.6</v>
      </c>
      <c r="U153" s="43">
        <f>T153*'KiGa - PS'!L154</f>
        <v>14237.754315928767</v>
      </c>
      <c r="V153" s="42">
        <f t="shared" si="155"/>
        <v>7.5029094315192682E-2</v>
      </c>
      <c r="W153" s="43">
        <f t="shared" si="156"/>
        <v>569.51017263715073</v>
      </c>
      <c r="X153" s="365">
        <v>0</v>
      </c>
      <c r="Y153" s="43">
        <f>X153*'KiGa - PS'!L154</f>
        <v>0</v>
      </c>
      <c r="Z153" s="91">
        <f t="shared" si="157"/>
        <v>0</v>
      </c>
      <c r="AA153" s="365">
        <v>233492.5</v>
      </c>
      <c r="AB153" s="43">
        <f>AA153*'KiGa - PS'!L154</f>
        <v>38700.647604463731</v>
      </c>
      <c r="AC153" s="43">
        <f t="shared" si="158"/>
        <v>1548.0259041785494</v>
      </c>
      <c r="AD153" s="42">
        <f t="shared" si="159"/>
        <v>0.20394189102742152</v>
      </c>
      <c r="AE153" s="365">
        <v>150660</v>
      </c>
      <c r="AF153" s="43">
        <f>AE153*'KiGa - PS'!L154</f>
        <v>24971.421215193233</v>
      </c>
      <c r="AG153" s="42">
        <f t="shared" si="160"/>
        <v>0.13159260062824857</v>
      </c>
      <c r="AH153" s="42"/>
      <c r="AI153" s="97">
        <f t="shared" si="148"/>
        <v>6.8283161143201238E-2</v>
      </c>
      <c r="AJ153" s="365">
        <v>254380.55</v>
      </c>
      <c r="AK153" s="43">
        <f>AJ153*'KiGa - PS'!$L154</f>
        <v>42162.776204716065</v>
      </c>
      <c r="AL153" s="365">
        <v>281312</v>
      </c>
      <c r="AM153" s="43">
        <f>AL153*'KiGa - PS'!$L154</f>
        <v>46626.579350115746</v>
      </c>
      <c r="AN153" s="97">
        <f>(AK153+AM153)/Funktional!E153</f>
        <v>0.49832650849704102</v>
      </c>
    </row>
    <row r="154" spans="1:40" x14ac:dyDescent="0.25">
      <c r="A154" t="str">
        <f>Funktional!A154</f>
        <v>Diessenhofen</v>
      </c>
      <c r="B154" t="str">
        <f>Funktional!B154</f>
        <v>KiGa</v>
      </c>
      <c r="C154" s="43">
        <f>Funktional!D154</f>
        <v>66</v>
      </c>
      <c r="D154" s="43">
        <f>Funktional!J154-'KiGa - PS'!H155</f>
        <v>1231705.5499999998</v>
      </c>
      <c r="E154" s="43">
        <f>'KiGa - PS'!C155+'KiGa - PS'!J155*Artengliederung!D154</f>
        <v>510984.91695024993</v>
      </c>
      <c r="F154" s="365">
        <v>2412506.15</v>
      </c>
      <c r="G154" s="43">
        <f>F154*'KiGa - PS'!L155</f>
        <v>386357.42092329601</v>
      </c>
      <c r="H154" s="42">
        <f t="shared" si="149"/>
        <v>0.75610337625858381</v>
      </c>
      <c r="I154" s="85">
        <f t="shared" si="150"/>
        <v>5853.9003170196365</v>
      </c>
      <c r="J154" s="365">
        <v>386972.9</v>
      </c>
      <c r="K154" s="43">
        <f>J154*'KiGa - PS'!L155</f>
        <v>61972.837503941097</v>
      </c>
      <c r="L154" s="42">
        <f t="shared" si="151"/>
        <v>0.12128114832394327</v>
      </c>
      <c r="M154" s="43">
        <f t="shared" si="152"/>
        <v>938.98238642334991</v>
      </c>
      <c r="N154" s="365">
        <v>38479.75</v>
      </c>
      <c r="O154" s="43">
        <f>N154*'KiGa - PS'!L155</f>
        <v>6162.4452098384081</v>
      </c>
      <c r="P154" s="42">
        <f t="shared" si="153"/>
        <v>1.2059935636883762E-2</v>
      </c>
      <c r="Q154" s="43">
        <f>O154/Funktional!C154</f>
        <v>2054.1484032794692</v>
      </c>
      <c r="R154" s="85">
        <f t="shared" si="154"/>
        <v>93.370381967248605</v>
      </c>
      <c r="S154" s="365">
        <v>19829.7</v>
      </c>
      <c r="T154" s="365">
        <v>87097.25</v>
      </c>
      <c r="U154" s="43">
        <f>T154*'KiGa - PS'!L155</f>
        <v>13948.428226602258</v>
      </c>
      <c r="V154" s="42">
        <f t="shared" si="155"/>
        <v>2.729714276079169E-2</v>
      </c>
      <c r="W154" s="43">
        <f t="shared" si="156"/>
        <v>211.33982161518574</v>
      </c>
      <c r="X154" s="365">
        <v>80151.399999999994</v>
      </c>
      <c r="Y154" s="43">
        <f>X154*'KiGa - PS'!L155</f>
        <v>12836.066008532855</v>
      </c>
      <c r="Z154" s="91">
        <f t="shared" si="157"/>
        <v>2.5120244419626556E-2</v>
      </c>
      <c r="AA154" s="365">
        <v>129847.2</v>
      </c>
      <c r="AB154" s="43">
        <f>AA154*'KiGa - PS'!L155</f>
        <v>20794.736339267529</v>
      </c>
      <c r="AC154" s="43">
        <f t="shared" si="158"/>
        <v>315.0717627161747</v>
      </c>
      <c r="AD154" s="42">
        <f t="shared" si="159"/>
        <v>4.0695401467773909E-2</v>
      </c>
      <c r="AE154" s="365">
        <v>93392</v>
      </c>
      <c r="AF154" s="43">
        <f>AE154*'KiGa - PS'!L155</f>
        <v>14956.518247577715</v>
      </c>
      <c r="AG154" s="42">
        <f t="shared" si="160"/>
        <v>2.9269979898514105E-2</v>
      </c>
      <c r="AH154" s="42"/>
      <c r="AI154" s="97">
        <f t="shared" si="148"/>
        <v>5.462293118890732E-2</v>
      </c>
      <c r="AJ154" s="365">
        <v>90247.95</v>
      </c>
      <c r="AK154" s="43">
        <f>AJ154*'KiGa - PS'!$L155</f>
        <v>14453.005728343769</v>
      </c>
      <c r="AL154" s="365">
        <v>0</v>
      </c>
      <c r="AM154" s="43">
        <f>AL154*'KiGa - PS'!$L155</f>
        <v>0</v>
      </c>
      <c r="AN154" s="97">
        <f>(AK154+AM154)/Funktional!E154</f>
        <v>2.9353216217140547E-2</v>
      </c>
    </row>
    <row r="155" spans="1:40" x14ac:dyDescent="0.25">
      <c r="A155" t="str">
        <f>Funktional!A155</f>
        <v>Dingetswil</v>
      </c>
      <c r="B155" t="str">
        <f>Funktional!B155</f>
        <v>KiGa</v>
      </c>
      <c r="C155" s="43">
        <f>Funktional!D155</f>
        <v>0</v>
      </c>
      <c r="D155" s="43">
        <f>Funktional!J155-'KiGa - PS'!H156</f>
        <v>-39220</v>
      </c>
      <c r="E155" s="43">
        <f>'KiGa - PS'!C156+'KiGa - PS'!J156*Artengliederung!D155</f>
        <v>0</v>
      </c>
      <c r="F155" s="365">
        <v>10100.049999999999</v>
      </c>
      <c r="G155" s="43">
        <f>F155*'KiGa - PS'!L156</f>
        <v>0</v>
      </c>
      <c r="H155" s="42"/>
      <c r="I155" s="85"/>
      <c r="J155" s="365">
        <v>25747.7</v>
      </c>
      <c r="K155" s="43">
        <f>J155*'KiGa - PS'!L156</f>
        <v>0</v>
      </c>
      <c r="L155" s="42"/>
      <c r="M155" s="43"/>
      <c r="N155" s="365">
        <v>151.4</v>
      </c>
      <c r="O155" s="43">
        <f>N155*'KiGa - PS'!L156</f>
        <v>0</v>
      </c>
      <c r="P155" s="42"/>
      <c r="Q155" s="43"/>
      <c r="R155" s="85"/>
      <c r="S155" s="365">
        <v>9102.2000000000007</v>
      </c>
      <c r="T155" s="365">
        <v>3995.1</v>
      </c>
      <c r="U155" s="43">
        <f>T155*'KiGa - PS'!L156</f>
        <v>0</v>
      </c>
      <c r="V155" s="42"/>
      <c r="W155" s="43"/>
      <c r="X155" s="365">
        <v>3963.1</v>
      </c>
      <c r="Y155" s="43">
        <f>X155*'KiGa - PS'!L156</f>
        <v>0</v>
      </c>
      <c r="Z155" s="91"/>
      <c r="AA155" s="365">
        <v>5157.2</v>
      </c>
      <c r="AB155" s="43">
        <f>AA155*'KiGa - PS'!L156</f>
        <v>0</v>
      </c>
      <c r="AC155" s="43"/>
      <c r="AD155" s="42"/>
      <c r="AE155" s="365">
        <v>4130</v>
      </c>
      <c r="AF155" s="43">
        <f>AE155*'KiGa - PS'!L156</f>
        <v>0</v>
      </c>
      <c r="AG155" s="42"/>
      <c r="AH155" s="42"/>
      <c r="AI155" s="97"/>
      <c r="AJ155" s="365">
        <v>43844</v>
      </c>
      <c r="AK155" s="43">
        <f>AJ155*'KiGa - PS'!$L156</f>
        <v>0</v>
      </c>
      <c r="AL155" s="365">
        <v>24823</v>
      </c>
      <c r="AM155" s="43">
        <f>AL155*'KiGa - PS'!$L156</f>
        <v>0</v>
      </c>
      <c r="AN155" s="97"/>
    </row>
    <row r="156" spans="1:40" x14ac:dyDescent="0.25">
      <c r="A156" t="str">
        <f>Funktional!A156</f>
        <v>Donzhausen</v>
      </c>
      <c r="B156" t="str">
        <f>Funktional!B156</f>
        <v>KiGa</v>
      </c>
      <c r="C156" s="43">
        <f>Funktional!D156</f>
        <v>11</v>
      </c>
      <c r="D156" s="43">
        <f>Funktional!J156-'KiGa - PS'!H157</f>
        <v>306389.15000000002</v>
      </c>
      <c r="E156" s="43">
        <f>'KiGa - PS'!C157+'KiGa - PS'!J157*Artengliederung!D156</f>
        <v>103167.10686757338</v>
      </c>
      <c r="F156" s="365">
        <v>365477.8</v>
      </c>
      <c r="G156" s="43">
        <f>F156*'KiGa - PS'!L157</f>
        <v>57306.904901774782</v>
      </c>
      <c r="H156" s="42">
        <f t="shared" si="149"/>
        <v>0.55547651418910737</v>
      </c>
      <c r="I156" s="85">
        <f t="shared" si="150"/>
        <v>5209.7186274340711</v>
      </c>
      <c r="J156" s="365">
        <v>62954.85</v>
      </c>
      <c r="K156" s="43">
        <f>J156*'KiGa - PS'!L157</f>
        <v>9871.3180446404585</v>
      </c>
      <c r="L156" s="42">
        <f t="shared" si="151"/>
        <v>9.5682803796285659E-2</v>
      </c>
      <c r="M156" s="43">
        <f t="shared" si="152"/>
        <v>897.39254951276894</v>
      </c>
      <c r="N156" s="365">
        <v>5286.55</v>
      </c>
      <c r="O156" s="43">
        <f>N156*'KiGa - PS'!L157</f>
        <v>828.93083549391372</v>
      </c>
      <c r="P156" s="42">
        <f t="shared" si="153"/>
        <v>8.0348364964614154E-3</v>
      </c>
      <c r="Q156" s="43">
        <f>O156/Funktional!C156</f>
        <v>1657.8616709878274</v>
      </c>
      <c r="R156" s="85">
        <f t="shared" si="154"/>
        <v>75.357348681264881</v>
      </c>
      <c r="S156" s="365">
        <v>3101.2</v>
      </c>
      <c r="T156" s="365">
        <v>58054.3</v>
      </c>
      <c r="U156" s="43">
        <f>T156*'KiGa - PS'!L157</f>
        <v>9102.9119942144353</v>
      </c>
      <c r="V156" s="42">
        <f t="shared" si="155"/>
        <v>8.8234634764926087E-2</v>
      </c>
      <c r="W156" s="43">
        <f t="shared" si="156"/>
        <v>827.53745401949413</v>
      </c>
      <c r="X156" s="365">
        <v>57003.35</v>
      </c>
      <c r="Y156" s="43">
        <f>X156*'KiGa - PS'!L157</f>
        <v>8938.1230748696198</v>
      </c>
      <c r="Z156" s="91">
        <f t="shared" si="157"/>
        <v>8.6637333800032884E-2</v>
      </c>
      <c r="AA156" s="365">
        <v>135730.79999999999</v>
      </c>
      <c r="AB156" s="43">
        <f>AA156*'KiGa - PS'!L157</f>
        <v>21282.584189359281</v>
      </c>
      <c r="AC156" s="43">
        <f t="shared" si="158"/>
        <v>1934.7803808508436</v>
      </c>
      <c r="AD156" s="42">
        <f t="shared" si="159"/>
        <v>0.206292342933275</v>
      </c>
      <c r="AE156" s="365">
        <v>57300</v>
      </c>
      <c r="AF156" s="43">
        <f>AE156*'KiGa - PS'!L157</f>
        <v>8984.6377833939441</v>
      </c>
      <c r="AG156" s="42">
        <f t="shared" si="160"/>
        <v>8.7088201425738726E-2</v>
      </c>
      <c r="AH156" s="42"/>
      <c r="AI156" s="97">
        <f t="shared" si="148"/>
        <v>5.4313704316405836E-2</v>
      </c>
      <c r="AJ156" s="365">
        <v>149122</v>
      </c>
      <c r="AK156" s="43">
        <f>AJ156*'KiGa - PS'!$L157</f>
        <v>23382.323831331094</v>
      </c>
      <c r="AL156" s="365">
        <v>232445</v>
      </c>
      <c r="AM156" s="43">
        <f>AL156*'KiGa - PS'!$L157</f>
        <v>36447.367008045469</v>
      </c>
      <c r="AN156" s="97">
        <f>(AK156+AM156)/Funktional!E156</f>
        <v>0.60999100121513172</v>
      </c>
    </row>
    <row r="157" spans="1:40" x14ac:dyDescent="0.25">
      <c r="A157" t="str">
        <f>Funktional!A157</f>
        <v>Dozwil</v>
      </c>
      <c r="B157" t="str">
        <f>Funktional!B157</f>
        <v>KiGa</v>
      </c>
      <c r="C157" s="43">
        <f>Funktional!D157</f>
        <v>0</v>
      </c>
      <c r="D157" s="43">
        <f>Funktional!J157-'KiGa - PS'!H158</f>
        <v>-355885.95</v>
      </c>
      <c r="E157" s="43">
        <f>'KiGa - PS'!C158+'KiGa - PS'!J158*Artengliederung!D157</f>
        <v>0</v>
      </c>
      <c r="F157" s="365">
        <v>262548.2</v>
      </c>
      <c r="G157" s="43">
        <f>F157*'KiGa - PS'!L158</f>
        <v>0</v>
      </c>
      <c r="H157" s="42"/>
      <c r="I157" s="85"/>
      <c r="J157" s="365">
        <v>115098.8</v>
      </c>
      <c r="K157" s="43">
        <f>J157*'KiGa - PS'!L158</f>
        <v>0</v>
      </c>
      <c r="L157" s="42"/>
      <c r="M157" s="43"/>
      <c r="N157" s="365">
        <v>16188.05</v>
      </c>
      <c r="O157" s="43">
        <f>N157*'KiGa - PS'!L158</f>
        <v>0</v>
      </c>
      <c r="P157" s="42"/>
      <c r="Q157" s="43"/>
      <c r="R157" s="85"/>
      <c r="S157" s="365">
        <v>7606.6</v>
      </c>
      <c r="T157" s="365">
        <v>52083.75</v>
      </c>
      <c r="U157" s="43">
        <f>T157*'KiGa - PS'!L158</f>
        <v>0</v>
      </c>
      <c r="V157" s="42"/>
      <c r="W157" s="43"/>
      <c r="X157" s="365">
        <v>52083.75</v>
      </c>
      <c r="Y157" s="43">
        <f>X157*'KiGa - PS'!L158</f>
        <v>0</v>
      </c>
      <c r="Z157" s="91"/>
      <c r="AA157" s="365">
        <v>67507.100000000006</v>
      </c>
      <c r="AB157" s="43">
        <f>AA157*'KiGa - PS'!L158</f>
        <v>0</v>
      </c>
      <c r="AC157" s="43"/>
      <c r="AD157" s="42"/>
      <c r="AE157" s="365">
        <v>62315</v>
      </c>
      <c r="AF157" s="43">
        <f>AE157*'KiGa - PS'!L158</f>
        <v>0</v>
      </c>
      <c r="AG157" s="42"/>
      <c r="AH157" s="42"/>
      <c r="AI157" s="97"/>
      <c r="AJ157" s="365">
        <v>27592</v>
      </c>
      <c r="AK157" s="43">
        <f>AJ157*'KiGa - PS'!$L158</f>
        <v>0</v>
      </c>
      <c r="AL157" s="365">
        <v>187586</v>
      </c>
      <c r="AM157" s="43">
        <f>AL157*'KiGa - PS'!$L158</f>
        <v>0</v>
      </c>
      <c r="AN157" s="97"/>
    </row>
    <row r="158" spans="1:40" x14ac:dyDescent="0.25">
      <c r="A158" t="str">
        <f>Funktional!A158</f>
        <v>Dussnang-Oberwangen</v>
      </c>
      <c r="B158" t="str">
        <f>Funktional!B158</f>
        <v>KiGa</v>
      </c>
      <c r="C158" s="43">
        <f>Funktional!D158</f>
        <v>33</v>
      </c>
      <c r="D158" s="43">
        <f>Funktional!J158-'KiGa - PS'!H159</f>
        <v>719881.49999999953</v>
      </c>
      <c r="E158" s="43">
        <f>'KiGa - PS'!C159+'KiGa - PS'!J159*Artengliederung!D158</f>
        <v>269333.9886468834</v>
      </c>
      <c r="F158" s="365">
        <v>1614149.3</v>
      </c>
      <c r="G158" s="43">
        <f>F158*'KiGa - PS'!L159</f>
        <v>190960.94139281235</v>
      </c>
      <c r="H158" s="42">
        <f t="shared" si="149"/>
        <v>0.70901167116778618</v>
      </c>
      <c r="I158" s="85">
        <f t="shared" si="150"/>
        <v>5786.6951937215863</v>
      </c>
      <c r="J158" s="365">
        <v>196863.45</v>
      </c>
      <c r="K158" s="43">
        <f>J158*'KiGa - PS'!L159</f>
        <v>23289.809522475305</v>
      </c>
      <c r="L158" s="42">
        <f t="shared" si="151"/>
        <v>8.6471854664469966E-2</v>
      </c>
      <c r="M158" s="43">
        <f t="shared" si="152"/>
        <v>705.75180371137287</v>
      </c>
      <c r="N158" s="365">
        <v>49039.5</v>
      </c>
      <c r="O158" s="43">
        <f>N158*'KiGa - PS'!L159</f>
        <v>5801.5879233927253</v>
      </c>
      <c r="P158" s="42">
        <f t="shared" si="153"/>
        <v>2.1540496810445384E-2</v>
      </c>
      <c r="Q158" s="43">
        <f>O158/Funktional!C158</f>
        <v>2900.7939616963627</v>
      </c>
      <c r="R158" s="85">
        <f t="shared" si="154"/>
        <v>175.80569464826439</v>
      </c>
      <c r="S158" s="365">
        <v>17161.7</v>
      </c>
      <c r="T158" s="365">
        <v>125497.15</v>
      </c>
      <c r="U158" s="43">
        <f>T158*'KiGa - PS'!L159</f>
        <v>14846.863240045379</v>
      </c>
      <c r="V158" s="42">
        <f t="shared" si="155"/>
        <v>5.5124358105098664E-2</v>
      </c>
      <c r="W158" s="43">
        <f t="shared" si="156"/>
        <v>449.90494666804176</v>
      </c>
      <c r="X158" s="365">
        <v>120710.55</v>
      </c>
      <c r="Y158" s="43">
        <f>X158*'KiGa - PS'!L159</f>
        <v>14280.587467370055</v>
      </c>
      <c r="Z158" s="91">
        <f t="shared" si="157"/>
        <v>5.3021854163727372E-2</v>
      </c>
      <c r="AA158" s="365">
        <v>197910.6</v>
      </c>
      <c r="AB158" s="43">
        <f>AA158*'KiGa - PS'!L159</f>
        <v>23413.691959979369</v>
      </c>
      <c r="AC158" s="43">
        <f t="shared" si="158"/>
        <v>709.50581696907182</v>
      </c>
      <c r="AD158" s="42">
        <f t="shared" si="159"/>
        <v>8.6931813090535839E-2</v>
      </c>
      <c r="AE158" s="365">
        <v>163371.1</v>
      </c>
      <c r="AF158" s="43">
        <f>AE158*'KiGa - PS'!L159</f>
        <v>19327.517629490212</v>
      </c>
      <c r="AG158" s="42">
        <f t="shared" si="160"/>
        <v>7.1760410658121596E-2</v>
      </c>
      <c r="AH158" s="42"/>
      <c r="AI158" s="97">
        <f t="shared" si="148"/>
        <v>6.2460302972109347E-2</v>
      </c>
      <c r="AJ158" s="365">
        <v>551038</v>
      </c>
      <c r="AK158" s="43">
        <f>AJ158*'KiGa - PS'!$L159</f>
        <v>65190.212096992844</v>
      </c>
      <c r="AL158" s="365">
        <v>569712</v>
      </c>
      <c r="AM158" s="43">
        <f>AL158*'KiGa - PS'!$L159</f>
        <v>67399.428195881206</v>
      </c>
      <c r="AN158" s="97">
        <f>(AK158+AM158)/Funktional!E158</f>
        <v>0.51993468794547604</v>
      </c>
    </row>
    <row r="159" spans="1:40" x14ac:dyDescent="0.25">
      <c r="A159" t="str">
        <f>Funktional!A159</f>
        <v>Egg</v>
      </c>
      <c r="B159" t="str">
        <f>Funktional!B159</f>
        <v>KiGa</v>
      </c>
      <c r="C159" s="43">
        <f>Funktional!D159</f>
        <v>21</v>
      </c>
      <c r="D159" s="43">
        <f>Funktional!J159-'KiGa - PS'!H160</f>
        <v>291061.35000000009</v>
      </c>
      <c r="E159" s="43">
        <f>'KiGa - PS'!C160+'KiGa - PS'!J160*Artengliederung!D159</f>
        <v>121781.88918442783</v>
      </c>
      <c r="F159" s="365">
        <v>634223</v>
      </c>
      <c r="G159" s="43">
        <f>F159*'KiGa - PS'!L160</f>
        <v>80795.593788441358</v>
      </c>
      <c r="H159" s="42">
        <f t="shared" si="149"/>
        <v>0.66344506830636885</v>
      </c>
      <c r="I159" s="85">
        <f t="shared" si="150"/>
        <v>3847.409228021017</v>
      </c>
      <c r="J159" s="365">
        <v>162875.9</v>
      </c>
      <c r="K159" s="43">
        <f>J159*'KiGa - PS'!L160</f>
        <v>20749.255473747871</v>
      </c>
      <c r="L159" s="42">
        <f t="shared" si="151"/>
        <v>0.17038046964705048</v>
      </c>
      <c r="M159" s="43">
        <f t="shared" si="152"/>
        <v>988.0597844641843</v>
      </c>
      <c r="N159" s="365">
        <v>25778.95</v>
      </c>
      <c r="O159" s="43">
        <f>N159*'KiGa - PS'!L160</f>
        <v>3284.0587182939448</v>
      </c>
      <c r="P159" s="42">
        <f t="shared" si="153"/>
        <v>2.6966725021981965E-2</v>
      </c>
      <c r="Q159" s="43">
        <f>O159/Funktional!C159</f>
        <v>3284.0587182939448</v>
      </c>
      <c r="R159" s="85">
        <f t="shared" si="154"/>
        <v>156.38374849018786</v>
      </c>
      <c r="S159" s="365">
        <v>4836.8</v>
      </c>
      <c r="T159" s="365">
        <v>34372.800000000003</v>
      </c>
      <c r="U159" s="43">
        <f>T159*'KiGa - PS'!L160</f>
        <v>4378.8553650235599</v>
      </c>
      <c r="V159" s="42">
        <f t="shared" si="155"/>
        <v>3.5956539961308806E-2</v>
      </c>
      <c r="W159" s="43">
        <f t="shared" si="156"/>
        <v>208.51692214397903</v>
      </c>
      <c r="X159" s="365">
        <v>30120.25</v>
      </c>
      <c r="Y159" s="43">
        <f>X159*'KiGa - PS'!L160</f>
        <v>3837.110107653461</v>
      </c>
      <c r="Z159" s="91">
        <f t="shared" si="157"/>
        <v>3.1508052086813169E-2</v>
      </c>
      <c r="AA159" s="365">
        <v>23050.3</v>
      </c>
      <c r="AB159" s="43">
        <f>AA159*'KiGa - PS'!L160</f>
        <v>2936.4477092469206</v>
      </c>
      <c r="AC159" s="43">
        <f t="shared" si="158"/>
        <v>139.8308432974724</v>
      </c>
      <c r="AD159" s="42">
        <f t="shared" si="159"/>
        <v>2.4112351425259401E-2</v>
      </c>
      <c r="AE159" s="365">
        <v>19720</v>
      </c>
      <c r="AF159" s="43">
        <f>AE159*'KiGa - PS'!L160</f>
        <v>2512.1906797893857</v>
      </c>
      <c r="AG159" s="42">
        <f t="shared" si="160"/>
        <v>2.0628606573715545E-2</v>
      </c>
      <c r="AH159" s="42"/>
      <c r="AI159" s="97">
        <f t="shared" ref="AI159:AI173" si="161">1-H159-L159-V159-AD159</f>
        <v>0.10610557066001249</v>
      </c>
      <c r="AJ159" s="365">
        <v>297882.84999999998</v>
      </c>
      <c r="AK159" s="43">
        <f>AJ159*'KiGa - PS'!$L160</f>
        <v>37948.200782915803</v>
      </c>
      <c r="AL159" s="365">
        <v>143601.1</v>
      </c>
      <c r="AM159" s="43">
        <f>AL159*'KiGa - PS'!$L160</f>
        <v>18293.7801738085</v>
      </c>
      <c r="AN159" s="97">
        <f>(AK159+AM159)/Funktional!E159</f>
        <v>0.51129662066972337</v>
      </c>
    </row>
    <row r="160" spans="1:40" x14ac:dyDescent="0.25">
      <c r="A160" t="str">
        <f>Funktional!A160</f>
        <v>Eggethof</v>
      </c>
      <c r="B160" t="str">
        <f>Funktional!B160</f>
        <v>KiGa</v>
      </c>
      <c r="C160" s="43">
        <f>Funktional!D160</f>
        <v>0</v>
      </c>
      <c r="D160" s="43">
        <f>Funktional!J160-'KiGa - PS'!H161</f>
        <v>-333439.3</v>
      </c>
      <c r="E160" s="43">
        <f>'KiGa - PS'!C161+'KiGa - PS'!J161*Artengliederung!D160</f>
        <v>0</v>
      </c>
      <c r="F160" s="365">
        <v>319500.15000000002</v>
      </c>
      <c r="G160" s="43">
        <f>F160*'KiGa - PS'!L161</f>
        <v>0</v>
      </c>
      <c r="H160" s="42"/>
      <c r="I160" s="85"/>
      <c r="J160" s="365">
        <v>105120.6</v>
      </c>
      <c r="K160" s="43">
        <f>J160*'KiGa - PS'!L161</f>
        <v>0</v>
      </c>
      <c r="L160" s="42"/>
      <c r="M160" s="43"/>
      <c r="N160" s="365">
        <v>10926.7</v>
      </c>
      <c r="O160" s="43">
        <f>N160*'KiGa - PS'!L161</f>
        <v>0</v>
      </c>
      <c r="P160" s="42"/>
      <c r="Q160" s="43"/>
      <c r="R160" s="85"/>
      <c r="S160" s="365">
        <v>1486.55</v>
      </c>
      <c r="T160" s="365">
        <v>7785.25</v>
      </c>
      <c r="U160" s="43">
        <f>T160*'KiGa - PS'!L161</f>
        <v>0</v>
      </c>
      <c r="V160" s="42"/>
      <c r="W160" s="43"/>
      <c r="X160" s="365">
        <v>2396.9</v>
      </c>
      <c r="Y160" s="43">
        <f>X160*'KiGa - PS'!L161</f>
        <v>0</v>
      </c>
      <c r="Z160" s="91"/>
      <c r="AA160" s="365">
        <v>5237.3999999999996</v>
      </c>
      <c r="AB160" s="43">
        <f>AA160*'KiGa - PS'!L161</f>
        <v>0</v>
      </c>
      <c r="AC160" s="43"/>
      <c r="AD160" s="42"/>
      <c r="AE160" s="365">
        <v>4176</v>
      </c>
      <c r="AF160" s="43">
        <f>AE160*'KiGa - PS'!L161</f>
        <v>0</v>
      </c>
      <c r="AG160" s="42"/>
      <c r="AH160" s="42"/>
      <c r="AI160" s="97"/>
      <c r="AJ160" s="365">
        <v>130534</v>
      </c>
      <c r="AK160" s="43">
        <f>AJ160*'KiGa - PS'!$L161</f>
        <v>0</v>
      </c>
      <c r="AL160" s="365">
        <v>118896</v>
      </c>
      <c r="AM160" s="43">
        <f>AL160*'KiGa - PS'!$L161</f>
        <v>0</v>
      </c>
      <c r="AN160" s="97"/>
    </row>
    <row r="161" spans="1:40" x14ac:dyDescent="0.25">
      <c r="A161" t="str">
        <f>Funktional!A161</f>
        <v>Egnach</v>
      </c>
      <c r="B161" t="str">
        <f>Funktional!B161</f>
        <v>KiGa</v>
      </c>
      <c r="C161" s="43">
        <f>Funktional!D161</f>
        <v>32</v>
      </c>
      <c r="D161" s="43">
        <f>Funktional!J161-'KiGa - PS'!H162</f>
        <v>593637.90000000014</v>
      </c>
      <c r="E161" s="43">
        <f>'KiGa - PS'!C162+'KiGa - PS'!J162*Artengliederung!D161</f>
        <v>252689.113070655</v>
      </c>
      <c r="F161" s="365">
        <v>1048658.3500000001</v>
      </c>
      <c r="G161" s="43">
        <f>F161*'KiGa - PS'!L162</f>
        <v>158546.65411640075</v>
      </c>
      <c r="H161" s="42">
        <f t="shared" si="149"/>
        <v>0.62743761371337414</v>
      </c>
      <c r="I161" s="85">
        <f t="shared" si="150"/>
        <v>4954.5829411375234</v>
      </c>
      <c r="J161" s="365">
        <v>299966</v>
      </c>
      <c r="K161" s="43">
        <f>J161*'KiGa - PS'!L162</f>
        <v>45351.859019365329</v>
      </c>
      <c r="L161" s="42">
        <f t="shared" si="151"/>
        <v>0.17947690135223351</v>
      </c>
      <c r="M161" s="43">
        <f t="shared" si="152"/>
        <v>1417.2455943551665</v>
      </c>
      <c r="N161" s="365">
        <v>45132.1</v>
      </c>
      <c r="O161" s="43">
        <f>N161*'KiGa - PS'!L162</f>
        <v>6823.5221206666683</v>
      </c>
      <c r="P161" s="42">
        <f t="shared" si="153"/>
        <v>2.7003625275928398E-2</v>
      </c>
      <c r="Q161" s="43">
        <f>O161/Funktional!C161</f>
        <v>3411.7610603333342</v>
      </c>
      <c r="R161" s="85">
        <f t="shared" si="154"/>
        <v>213.23506627083339</v>
      </c>
      <c r="S161" s="365">
        <v>26796.05</v>
      </c>
      <c r="T161" s="365">
        <v>56752.65</v>
      </c>
      <c r="U161" s="43">
        <f>T161*'KiGa - PS'!L162</f>
        <v>8580.433054997513</v>
      </c>
      <c r="V161" s="42">
        <f t="shared" si="155"/>
        <v>3.3956480952934118E-2</v>
      </c>
      <c r="W161" s="43">
        <f t="shared" si="156"/>
        <v>268.13853296867228</v>
      </c>
      <c r="X161" s="365">
        <v>54250</v>
      </c>
      <c r="Y161" s="43">
        <f>X161*'KiGa - PS'!L162</f>
        <v>8202.0574058412258</v>
      </c>
      <c r="Z161" s="91">
        <f t="shared" si="157"/>
        <v>3.2459085024164967E-2</v>
      </c>
      <c r="AA161" s="365">
        <v>117846.8</v>
      </c>
      <c r="AB161" s="43">
        <f>AA161*'KiGa - PS'!L162</f>
        <v>17817.257487459719</v>
      </c>
      <c r="AC161" s="43">
        <f t="shared" si="158"/>
        <v>556.78929648311623</v>
      </c>
      <c r="AD161" s="42">
        <f t="shared" si="159"/>
        <v>7.0510586194023298E-2</v>
      </c>
      <c r="AE161" s="365">
        <v>98800</v>
      </c>
      <c r="AF161" s="43">
        <f>AE161*'KiGa - PS'!L162</f>
        <v>14937.571828518214</v>
      </c>
      <c r="AG161" s="42">
        <f t="shared" si="160"/>
        <v>5.9114425813594447E-2</v>
      </c>
      <c r="AH161" s="42"/>
      <c r="AI161" s="97">
        <f t="shared" si="161"/>
        <v>8.8618417787434942E-2</v>
      </c>
      <c r="AJ161" s="365">
        <v>99397</v>
      </c>
      <c r="AK161" s="43">
        <f>AJ161*'KiGa - PS'!$L162</f>
        <v>15027.832257482034</v>
      </c>
      <c r="AL161" s="365">
        <v>0</v>
      </c>
      <c r="AM161" s="43">
        <f>AL161*'KiGa - PS'!$L162</f>
        <v>0</v>
      </c>
      <c r="AN161" s="97">
        <f>(AK161+AM161)/Funktional!E161</f>
        <v>6.4469163918996403E-2</v>
      </c>
    </row>
    <row r="162" spans="1:40" x14ac:dyDescent="0.25">
      <c r="A162" t="str">
        <f>Funktional!A162</f>
        <v>Engelswilen-Dotnacht</v>
      </c>
      <c r="B162" t="str">
        <f>Funktional!B162</f>
        <v>KiGa</v>
      </c>
      <c r="C162" s="43">
        <f>Funktional!D162</f>
        <v>0</v>
      </c>
      <c r="D162" s="43">
        <f>Funktional!J162-'KiGa - PS'!H163</f>
        <v>-340484.4</v>
      </c>
      <c r="E162" s="43">
        <f>'KiGa - PS'!C163+'KiGa - PS'!J163*Artengliederung!D162</f>
        <v>0</v>
      </c>
      <c r="F162" s="365">
        <v>331654.25</v>
      </c>
      <c r="G162" s="43">
        <f>F162*'KiGa - PS'!L163</f>
        <v>0</v>
      </c>
      <c r="H162" s="42"/>
      <c r="I162" s="85"/>
      <c r="J162" s="365">
        <v>152827</v>
      </c>
      <c r="K162" s="43">
        <f>J162*'KiGa - PS'!L163</f>
        <v>0</v>
      </c>
      <c r="L162" s="42"/>
      <c r="M162" s="43"/>
      <c r="N162" s="365">
        <v>19287.75</v>
      </c>
      <c r="O162" s="43">
        <f>N162*'KiGa - PS'!L163</f>
        <v>0</v>
      </c>
      <c r="P162" s="42"/>
      <c r="Q162" s="43"/>
      <c r="R162" s="85"/>
      <c r="S162" s="365">
        <v>19592.25</v>
      </c>
      <c r="T162" s="365">
        <v>27874.3</v>
      </c>
      <c r="U162" s="43">
        <f>T162*'KiGa - PS'!L163</f>
        <v>0</v>
      </c>
      <c r="V162" s="42"/>
      <c r="W162" s="43"/>
      <c r="X162" s="365">
        <v>24234.15</v>
      </c>
      <c r="Y162" s="43">
        <f>X162*'KiGa - PS'!L163</f>
        <v>0</v>
      </c>
      <c r="Z162" s="91"/>
      <c r="AA162" s="365">
        <v>73918.649999999994</v>
      </c>
      <c r="AB162" s="43">
        <f>AA162*'KiGa - PS'!L163</f>
        <v>0</v>
      </c>
      <c r="AC162" s="43"/>
      <c r="AD162" s="42"/>
      <c r="AE162" s="365">
        <v>21353</v>
      </c>
      <c r="AF162" s="43">
        <f>AE162*'KiGa - PS'!L163</f>
        <v>0</v>
      </c>
      <c r="AG162" s="42"/>
      <c r="AH162" s="42"/>
      <c r="AI162" s="97"/>
      <c r="AJ162" s="365">
        <v>156774</v>
      </c>
      <c r="AK162" s="43">
        <f>AJ162*'KiGa - PS'!$L163</f>
        <v>0</v>
      </c>
      <c r="AL162" s="365">
        <v>183068</v>
      </c>
      <c r="AM162" s="43">
        <f>AL162*'KiGa - PS'!$L163</f>
        <v>0</v>
      </c>
      <c r="AN162" s="97"/>
    </row>
    <row r="163" spans="1:40" x14ac:dyDescent="0.25">
      <c r="A163" t="str">
        <f>Funktional!A163</f>
        <v>Engwang-Wagerswil</v>
      </c>
      <c r="B163" t="str">
        <f>Funktional!B163</f>
        <v>KiGa</v>
      </c>
      <c r="C163" s="43">
        <f>Funktional!D163</f>
        <v>0</v>
      </c>
      <c r="D163" s="43">
        <f>Funktional!J163-'KiGa - PS'!H164</f>
        <v>-342915.39999999997</v>
      </c>
      <c r="E163" s="43">
        <f>'KiGa - PS'!C164+'KiGa - PS'!J164*Artengliederung!D163</f>
        <v>0</v>
      </c>
      <c r="F163" s="365">
        <v>314906.59999999998</v>
      </c>
      <c r="G163" s="43">
        <f>F163*'KiGa - PS'!L164</f>
        <v>0</v>
      </c>
      <c r="H163" s="42"/>
      <c r="I163" s="85"/>
      <c r="J163" s="365">
        <v>54186.85</v>
      </c>
      <c r="K163" s="43">
        <f>J163*'KiGa - PS'!L164</f>
        <v>0</v>
      </c>
      <c r="L163" s="42"/>
      <c r="M163" s="43"/>
      <c r="N163" s="365">
        <v>5952.9</v>
      </c>
      <c r="O163" s="43">
        <f>N163*'KiGa - PS'!L164</f>
        <v>0</v>
      </c>
      <c r="P163" s="42"/>
      <c r="Q163" s="43"/>
      <c r="R163" s="85"/>
      <c r="S163" s="365">
        <v>11046</v>
      </c>
      <c r="T163" s="365">
        <v>27970.85</v>
      </c>
      <c r="U163" s="43">
        <f>T163*'KiGa - PS'!L164</f>
        <v>0</v>
      </c>
      <c r="V163" s="42"/>
      <c r="W163" s="43"/>
      <c r="X163" s="365">
        <v>27329.15</v>
      </c>
      <c r="Y163" s="43">
        <f>X163*'KiGa - PS'!L164</f>
        <v>0</v>
      </c>
      <c r="Z163" s="91"/>
      <c r="AA163" s="365">
        <v>49576.45</v>
      </c>
      <c r="AB163" s="43">
        <f>AA163*'KiGa - PS'!L164</f>
        <v>0</v>
      </c>
      <c r="AC163" s="43"/>
      <c r="AD163" s="42"/>
      <c r="AE163" s="365">
        <v>47000</v>
      </c>
      <c r="AF163" s="43">
        <f>AE163*'KiGa - PS'!L164</f>
        <v>0</v>
      </c>
      <c r="AG163" s="42"/>
      <c r="AH163" s="42"/>
      <c r="AI163" s="97"/>
      <c r="AJ163" s="365">
        <v>140926</v>
      </c>
      <c r="AK163" s="43">
        <f>AJ163*'KiGa - PS'!$L164</f>
        <v>0</v>
      </c>
      <c r="AL163" s="365">
        <v>172309</v>
      </c>
      <c r="AM163" s="43">
        <f>AL163*'KiGa - PS'!$L164</f>
        <v>0</v>
      </c>
      <c r="AN163" s="97"/>
    </row>
    <row r="164" spans="1:40" x14ac:dyDescent="0.25">
      <c r="A164" t="str">
        <f>Funktional!A164</f>
        <v>Ermatingen</v>
      </c>
      <c r="B164" t="str">
        <f>Funktional!B164</f>
        <v>KiGa</v>
      </c>
      <c r="C164" s="43">
        <f>Funktional!D164</f>
        <v>55</v>
      </c>
      <c r="D164" s="43">
        <f>Funktional!J164-'KiGa - PS'!H165</f>
        <v>1459922.85</v>
      </c>
      <c r="E164" s="43">
        <f>'KiGa - PS'!C165+'KiGa - PS'!J165*Artengliederung!D164</f>
        <v>493364.82861590019</v>
      </c>
      <c r="F164" s="365">
        <v>1788190.3</v>
      </c>
      <c r="G164" s="43">
        <f>F164*'KiGa - PS'!L165</f>
        <v>283219.14989398589</v>
      </c>
      <c r="H164" s="42">
        <f t="shared" si="149"/>
        <v>0.57405622263049638</v>
      </c>
      <c r="I164" s="85">
        <f t="shared" si="150"/>
        <v>5149.4390889815613</v>
      </c>
      <c r="J164" s="365">
        <v>469699.45</v>
      </c>
      <c r="K164" s="43">
        <f>J164*'KiGa - PS'!L165</f>
        <v>74392.461996171623</v>
      </c>
      <c r="L164" s="42">
        <f t="shared" si="151"/>
        <v>0.1507859046314152</v>
      </c>
      <c r="M164" s="43">
        <f t="shared" si="152"/>
        <v>1352.5902181122112</v>
      </c>
      <c r="N164" s="365">
        <v>68757.05</v>
      </c>
      <c r="O164" s="43">
        <f>N164*'KiGa - PS'!L165</f>
        <v>10889.955755949624</v>
      </c>
      <c r="P164" s="42">
        <f t="shared" si="153"/>
        <v>2.2072825471772316E-2</v>
      </c>
      <c r="Q164" s="43">
        <f>O164/Funktional!C164</f>
        <v>3629.9852519832079</v>
      </c>
      <c r="R164" s="85">
        <f t="shared" si="154"/>
        <v>197.99919556272044</v>
      </c>
      <c r="S164" s="365">
        <v>60681.8</v>
      </c>
      <c r="T164" s="365">
        <v>156642.25</v>
      </c>
      <c r="U164" s="43">
        <f>T164*'KiGa - PS'!L165</f>
        <v>24809.48749273565</v>
      </c>
      <c r="V164" s="42">
        <f t="shared" si="155"/>
        <v>5.0286291307665563E-2</v>
      </c>
      <c r="W164" s="43">
        <f t="shared" si="156"/>
        <v>451.08159077701185</v>
      </c>
      <c r="X164" s="365">
        <v>156642.25</v>
      </c>
      <c r="Y164" s="43">
        <f>X164*'KiGa - PS'!L165</f>
        <v>24809.48749273565</v>
      </c>
      <c r="Z164" s="91">
        <f t="shared" si="157"/>
        <v>5.0286291307665563E-2</v>
      </c>
      <c r="AA164" s="365">
        <v>451242</v>
      </c>
      <c r="AB164" s="43">
        <f>AA164*'KiGa - PS'!L165</f>
        <v>71469.113570553411</v>
      </c>
      <c r="AC164" s="43">
        <f t="shared" si="158"/>
        <v>1299.4384285555166</v>
      </c>
      <c r="AD164" s="42">
        <f t="shared" si="159"/>
        <v>0.14486057664680904</v>
      </c>
      <c r="AE164" s="365">
        <v>437897.25</v>
      </c>
      <c r="AF164" s="43">
        <f>AE164*'KiGa - PS'!L165</f>
        <v>69355.530496901934</v>
      </c>
      <c r="AG164" s="42">
        <f t="shared" si="160"/>
        <v>0.14057656013192898</v>
      </c>
      <c r="AH164" s="42"/>
      <c r="AI164" s="97">
        <f t="shared" si="161"/>
        <v>8.0011004783613837E-2</v>
      </c>
      <c r="AJ164" s="365">
        <v>59404</v>
      </c>
      <c r="AK164" s="43">
        <f>AJ164*'KiGa - PS'!$L165</f>
        <v>9408.5905623704257</v>
      </c>
      <c r="AL164" s="365">
        <v>0</v>
      </c>
      <c r="AM164" s="43">
        <f>AL164*'KiGa - PS'!$L165</f>
        <v>0</v>
      </c>
      <c r="AN164" s="97">
        <f>(AK164+AM164)/Funktional!E164</f>
        <v>1.9636690808363333E-2</v>
      </c>
    </row>
    <row r="165" spans="1:40" x14ac:dyDescent="0.25">
      <c r="A165" t="str">
        <f>Funktional!A165</f>
        <v>Eschenz</v>
      </c>
      <c r="B165" t="str">
        <f>Funktional!B165</f>
        <v>KiGa</v>
      </c>
      <c r="C165" s="43">
        <f>Funktional!D165</f>
        <v>48</v>
      </c>
      <c r="D165" s="43">
        <f>Funktional!J165-'KiGa - PS'!H166</f>
        <v>547044.60000000009</v>
      </c>
      <c r="E165" s="43">
        <f>'KiGa - PS'!C166+'KiGa - PS'!J166*Artengliederung!D165</f>
        <v>267707.89035760832</v>
      </c>
      <c r="F165" s="365">
        <v>1165497.95</v>
      </c>
      <c r="G165" s="43">
        <f>F165*'KiGa - PS'!L166</f>
        <v>184110.63231526694</v>
      </c>
      <c r="H165" s="42">
        <f t="shared" si="149"/>
        <v>0.68772956997766899</v>
      </c>
      <c r="I165" s="85">
        <f t="shared" si="150"/>
        <v>3835.6381732347277</v>
      </c>
      <c r="J165" s="365">
        <v>175867.5</v>
      </c>
      <c r="K165" s="43">
        <f>J165*'KiGa - PS'!L166</f>
        <v>27781.32439332494</v>
      </c>
      <c r="L165" s="42">
        <f t="shared" si="151"/>
        <v>0.10377476867123422</v>
      </c>
      <c r="M165" s="43">
        <f t="shared" si="152"/>
        <v>578.77759152760291</v>
      </c>
      <c r="N165" s="365">
        <v>36267.85</v>
      </c>
      <c r="O165" s="43">
        <f>N165*'KiGa - PS'!L166</f>
        <v>5729.1364572672601</v>
      </c>
      <c r="P165" s="42">
        <f t="shared" si="153"/>
        <v>2.1400700777306905E-2</v>
      </c>
      <c r="Q165" s="43">
        <f>O165/Funktional!C165</f>
        <v>2864.56822863363</v>
      </c>
      <c r="R165" s="85">
        <f t="shared" si="154"/>
        <v>119.35700952640126</v>
      </c>
      <c r="S165" s="365">
        <v>5092.2</v>
      </c>
      <c r="T165" s="365">
        <v>88392.7</v>
      </c>
      <c r="U165" s="43">
        <f>T165*'KiGa - PS'!L166</f>
        <v>13963.161315773825</v>
      </c>
      <c r="V165" s="42">
        <f t="shared" si="155"/>
        <v>5.2158198613875814E-2</v>
      </c>
      <c r="W165" s="43">
        <f t="shared" si="156"/>
        <v>290.89919407862135</v>
      </c>
      <c r="X165" s="365">
        <v>84413.4</v>
      </c>
      <c r="Y165" s="43">
        <f>X165*'KiGa - PS'!L166</f>
        <v>13334.561806720942</v>
      </c>
      <c r="Z165" s="91">
        <f t="shared" si="157"/>
        <v>4.9810118741395439E-2</v>
      </c>
      <c r="AA165" s="365">
        <v>112722.85</v>
      </c>
      <c r="AB165" s="43">
        <f>AA165*'KiGa - PS'!L166</f>
        <v>17806.530839354105</v>
      </c>
      <c r="AC165" s="43">
        <f t="shared" si="158"/>
        <v>370.96939248654388</v>
      </c>
      <c r="AD165" s="42">
        <f t="shared" si="159"/>
        <v>6.6514777788461404E-2</v>
      </c>
      <c r="AE165" s="365">
        <v>74119</v>
      </c>
      <c r="AF165" s="43">
        <f>AE165*'KiGa - PS'!L166</f>
        <v>11708.382632998428</v>
      </c>
      <c r="AG165" s="42">
        <f t="shared" si="160"/>
        <v>4.373566508390242E-2</v>
      </c>
      <c r="AH165" s="42"/>
      <c r="AI165" s="97">
        <f t="shared" si="161"/>
        <v>8.9822684948759585E-2</v>
      </c>
      <c r="AJ165" s="365">
        <v>410756.65</v>
      </c>
      <c r="AK165" s="43">
        <f>AJ165*'KiGa - PS'!$L166</f>
        <v>64886.142922173996</v>
      </c>
      <c r="AL165" s="365">
        <v>0</v>
      </c>
      <c r="AM165" s="43">
        <f>AL165*'KiGa - PS'!$L166</f>
        <v>0</v>
      </c>
      <c r="AN165" s="97">
        <f>(AK165+AM165)/Funktional!E165</f>
        <v>0.26279325805294751</v>
      </c>
    </row>
    <row r="166" spans="1:40" x14ac:dyDescent="0.25">
      <c r="A166" t="str">
        <f>Funktional!A166</f>
        <v>Ettenhausen</v>
      </c>
      <c r="B166" t="str">
        <f>Funktional!B166</f>
        <v>KiGa</v>
      </c>
      <c r="C166" s="43">
        <f>Funktional!D166</f>
        <v>28</v>
      </c>
      <c r="D166" s="43">
        <f>Funktional!J166-'KiGa - PS'!H167</f>
        <v>430440.49999999988</v>
      </c>
      <c r="E166" s="43">
        <f>'KiGa - PS'!C167+'KiGa - PS'!J167*Artengliederung!D166</f>
        <v>189628.35857695877</v>
      </c>
      <c r="F166" s="365">
        <v>756875.9</v>
      </c>
      <c r="G166" s="43">
        <f>F166*'KiGa - PS'!L167</f>
        <v>127479.57947229268</v>
      </c>
      <c r="H166" s="42">
        <f t="shared" ref="H166:H181" si="162">G166/$E166</f>
        <v>0.67226010090972954</v>
      </c>
      <c r="I166" s="85">
        <f t="shared" ref="I166:I181" si="163">G166/C166</f>
        <v>4552.8421240104526</v>
      </c>
      <c r="J166" s="365">
        <v>160041.1</v>
      </c>
      <c r="K166" s="43">
        <f>J166*'KiGa - PS'!L167</f>
        <v>26955.50502570255</v>
      </c>
      <c r="L166" s="42">
        <f t="shared" ref="L166:L181" si="164">K166/$E166</f>
        <v>0.14214912383351633</v>
      </c>
      <c r="M166" s="43">
        <f t="shared" ref="M166:M181" si="165">K166/C166</f>
        <v>962.69660806080537</v>
      </c>
      <c r="N166" s="365">
        <v>41288.6</v>
      </c>
      <c r="O166" s="43">
        <f>N166*'KiGa - PS'!L167</f>
        <v>6954.182799319814</v>
      </c>
      <c r="P166" s="42">
        <f t="shared" ref="P166:P181" si="166">O166/$E166</f>
        <v>3.6672694166139337E-2</v>
      </c>
      <c r="Q166" s="43">
        <f>O166/Funktional!C166</f>
        <v>4636.1218662132096</v>
      </c>
      <c r="R166" s="85">
        <f t="shared" ref="R166:R181" si="167">O166/C166</f>
        <v>248.36367140427907</v>
      </c>
      <c r="S166" s="365">
        <v>9384.35</v>
      </c>
      <c r="T166" s="365">
        <v>56842.2</v>
      </c>
      <c r="U166" s="43">
        <f>T166*'KiGa - PS'!L167</f>
        <v>9573.8545146964716</v>
      </c>
      <c r="V166" s="42">
        <f t="shared" ref="V166:V181" si="168">U166/$E166</f>
        <v>5.048746182555295E-2</v>
      </c>
      <c r="W166" s="43">
        <f t="shared" ref="W166:W181" si="169">U166/C166</f>
        <v>341.92337552487396</v>
      </c>
      <c r="X166" s="365">
        <v>37030.449999999997</v>
      </c>
      <c r="Y166" s="43">
        <f>X166*'KiGa - PS'!L167</f>
        <v>6236.988380353715</v>
      </c>
      <c r="Z166" s="91">
        <f t="shared" ref="Z166:Z181" si="170">Y166/$E166</f>
        <v>3.2890588871613821E-2</v>
      </c>
      <c r="AA166" s="365">
        <v>98824.7</v>
      </c>
      <c r="AB166" s="43">
        <f>AA166*'KiGa - PS'!L167</f>
        <v>16644.909948216718</v>
      </c>
      <c r="AC166" s="43">
        <f t="shared" ref="AC166:AC181" si="171">AB166/C166</f>
        <v>594.46106957916857</v>
      </c>
      <c r="AD166" s="42">
        <f t="shared" ref="AD166:AD181" si="172">AB166/$E166</f>
        <v>8.7776480654719949E-2</v>
      </c>
      <c r="AE166" s="365">
        <v>69688</v>
      </c>
      <c r="AF166" s="43">
        <f>AE166*'KiGa - PS'!L167</f>
        <v>11737.455155151765</v>
      </c>
      <c r="AG166" s="42">
        <f t="shared" ref="AG166:AG181" si="173">AF166/$E166</f>
        <v>6.1897151055010778E-2</v>
      </c>
      <c r="AH166" s="42"/>
      <c r="AI166" s="97">
        <f t="shared" si="161"/>
        <v>4.732683277648124E-2</v>
      </c>
      <c r="AJ166" s="365">
        <v>55047</v>
      </c>
      <c r="AK166" s="43">
        <f>AJ166*'KiGa - PS'!$L167</f>
        <v>9271.4914178285962</v>
      </c>
      <c r="AL166" s="365">
        <v>208307</v>
      </c>
      <c r="AM166" s="43">
        <f>AL166*'KiGa - PS'!$L167</f>
        <v>35084.86498398862</v>
      </c>
      <c r="AN166" s="97">
        <f>(AK166+AM166)/Funktional!E166</f>
        <v>0.24974524427933475</v>
      </c>
    </row>
    <row r="167" spans="1:40" x14ac:dyDescent="0.25">
      <c r="A167" t="str">
        <f>Funktional!A167</f>
        <v>Felben-Wellhausen</v>
      </c>
      <c r="B167" t="str">
        <f>Funktional!B167</f>
        <v>KiGa</v>
      </c>
      <c r="C167" s="43">
        <f>Funktional!D167</f>
        <v>60</v>
      </c>
      <c r="D167" s="43">
        <f>Funktional!J167-'KiGa - PS'!H168</f>
        <v>876015.5</v>
      </c>
      <c r="E167" s="43">
        <f>'KiGa - PS'!C168+'KiGa - PS'!J168*Artengliederung!D167</f>
        <v>365425.33441001468</v>
      </c>
      <c r="F167" s="365">
        <v>1527061.5</v>
      </c>
      <c r="G167" s="43">
        <f>F167*'KiGa - PS'!L168</f>
        <v>231155.60175311813</v>
      </c>
      <c r="H167" s="42">
        <f t="shared" si="162"/>
        <v>0.63256588962646154</v>
      </c>
      <c r="I167" s="85">
        <f t="shared" si="163"/>
        <v>3852.5933625519688</v>
      </c>
      <c r="J167" s="365">
        <v>337960.65</v>
      </c>
      <c r="K167" s="43">
        <f>J167*'KiGa - PS'!L168</f>
        <v>51158.055795149667</v>
      </c>
      <c r="L167" s="42">
        <f t="shared" si="164"/>
        <v>0.13999591976222778</v>
      </c>
      <c r="M167" s="43">
        <f t="shared" si="165"/>
        <v>852.63426325249441</v>
      </c>
      <c r="N167" s="365">
        <v>66345.5</v>
      </c>
      <c r="O167" s="43">
        <f>N167*'KiGa - PS'!L168</f>
        <v>10042.905263547997</v>
      </c>
      <c r="P167" s="42">
        <f t="shared" si="166"/>
        <v>2.7482783260669202E-2</v>
      </c>
      <c r="Q167" s="43">
        <f>O167/Funktional!C167</f>
        <v>3347.6350878493322</v>
      </c>
      <c r="R167" s="85">
        <f t="shared" si="167"/>
        <v>167.3817543924666</v>
      </c>
      <c r="S167" s="365">
        <v>48600.4</v>
      </c>
      <c r="T167" s="365">
        <v>110977.15</v>
      </c>
      <c r="U167" s="43">
        <f>T167*'KiGa - PS'!L168</f>
        <v>16798.923873790318</v>
      </c>
      <c r="V167" s="42">
        <f t="shared" si="168"/>
        <v>4.5970879115189052E-2</v>
      </c>
      <c r="W167" s="43">
        <f t="shared" si="169"/>
        <v>279.98206456317195</v>
      </c>
      <c r="X167" s="365">
        <v>106982.39999999999</v>
      </c>
      <c r="Y167" s="43">
        <f>X167*'KiGa - PS'!L168</f>
        <v>16194.227311076065</v>
      </c>
      <c r="Z167" s="91">
        <f t="shared" si="170"/>
        <v>4.4316104512080193E-2</v>
      </c>
      <c r="AA167" s="365">
        <v>187106.05</v>
      </c>
      <c r="AB167" s="43">
        <f>AA167*'KiGa - PS'!L168</f>
        <v>28322.769960082816</v>
      </c>
      <c r="AC167" s="43">
        <f t="shared" si="171"/>
        <v>472.0461660013803</v>
      </c>
      <c r="AD167" s="42">
        <f t="shared" si="172"/>
        <v>7.7506311941426834E-2</v>
      </c>
      <c r="AE167" s="365">
        <v>165300</v>
      </c>
      <c r="AF167" s="43">
        <f>AE167*'KiGa - PS'!L168</f>
        <v>25021.9267330035</v>
      </c>
      <c r="AG167" s="42">
        <f t="shared" si="173"/>
        <v>6.8473431852780042E-2</v>
      </c>
      <c r="AH167" s="42"/>
      <c r="AI167" s="97">
        <f t="shared" si="161"/>
        <v>0.1039609995546948</v>
      </c>
      <c r="AJ167" s="365">
        <v>138653</v>
      </c>
      <c r="AK167" s="43">
        <f>AJ167*'KiGa - PS'!$L168</f>
        <v>20988.295265040135</v>
      </c>
      <c r="AL167" s="365">
        <v>0</v>
      </c>
      <c r="AM167" s="43">
        <f>AL167*'KiGa - PS'!$L168</f>
        <v>0</v>
      </c>
      <c r="AN167" s="97">
        <f>(AK167+AM167)/Funktional!E167</f>
        <v>6.2086055276663173E-2</v>
      </c>
    </row>
    <row r="168" spans="1:40" x14ac:dyDescent="0.25">
      <c r="A168" t="str">
        <f>Funktional!A168</f>
        <v>Fimmelsberg-Holzhäusern</v>
      </c>
      <c r="B168" t="str">
        <f>Funktional!B168</f>
        <v>KiGa</v>
      </c>
      <c r="C168" s="43">
        <f>Funktional!D168</f>
        <v>15</v>
      </c>
      <c r="D168" s="43">
        <f>Funktional!J168-'KiGa - PS'!H169</f>
        <v>224812.64</v>
      </c>
      <c r="E168" s="43">
        <f>'KiGa - PS'!C169+'KiGa - PS'!J169*Artengliederung!D168</f>
        <v>154496.77752213506</v>
      </c>
      <c r="F168" s="365">
        <v>450813.95</v>
      </c>
      <c r="G168" s="43">
        <f>F168*'KiGa - PS'!L169</f>
        <v>91996.72461570632</v>
      </c>
      <c r="H168" s="42">
        <f t="shared" si="162"/>
        <v>0.59546047555927673</v>
      </c>
      <c r="I168" s="85">
        <f t="shared" si="163"/>
        <v>6133.1149743804217</v>
      </c>
      <c r="J168" s="365">
        <v>156130.69</v>
      </c>
      <c r="K168" s="43">
        <f>J168*'KiGa - PS'!L169</f>
        <v>31861.285774298271</v>
      </c>
      <c r="L168" s="42">
        <f t="shared" si="164"/>
        <v>0.20622621575219224</v>
      </c>
      <c r="M168" s="43">
        <f t="shared" si="165"/>
        <v>2124.0857182865516</v>
      </c>
      <c r="N168" s="365">
        <v>17203.2</v>
      </c>
      <c r="O168" s="43">
        <f>N168*'KiGa - PS'!L169</f>
        <v>3510.6235131120475</v>
      </c>
      <c r="P168" s="42">
        <f t="shared" si="166"/>
        <v>2.272295622870887E-2</v>
      </c>
      <c r="Q168" s="43">
        <f>O168/Funktional!C168</f>
        <v>7021.247026224095</v>
      </c>
      <c r="R168" s="85">
        <f t="shared" si="167"/>
        <v>234.04156754080316</v>
      </c>
      <c r="S168" s="365">
        <v>18380.45</v>
      </c>
      <c r="T168" s="365">
        <v>45955.9</v>
      </c>
      <c r="U168" s="43">
        <f>T168*'KiGa - PS'!L169</f>
        <v>9378.1309934329638</v>
      </c>
      <c r="V168" s="42">
        <f t="shared" si="168"/>
        <v>6.070114305192767E-2</v>
      </c>
      <c r="W168" s="43">
        <f t="shared" si="169"/>
        <v>625.20873289553094</v>
      </c>
      <c r="X168" s="365">
        <v>38555.449999999997</v>
      </c>
      <c r="Y168" s="43">
        <f>X168*'KiGa - PS'!L169</f>
        <v>7867.9355776027651</v>
      </c>
      <c r="Z168" s="91">
        <f t="shared" si="170"/>
        <v>5.0926211561114994E-2</v>
      </c>
      <c r="AA168" s="365">
        <v>51082.25</v>
      </c>
      <c r="AB168" s="43">
        <f>AA168*'KiGa - PS'!L169</f>
        <v>10424.255252084955</v>
      </c>
      <c r="AC168" s="43">
        <f t="shared" si="171"/>
        <v>694.95035013899701</v>
      </c>
      <c r="AD168" s="42">
        <f t="shared" si="172"/>
        <v>6.747231508172688E-2</v>
      </c>
      <c r="AE168" s="365">
        <v>46500</v>
      </c>
      <c r="AF168" s="43">
        <f>AE168*'KiGa - PS'!L169</f>
        <v>9489.1644205560715</v>
      </c>
      <c r="AG168" s="42">
        <f t="shared" si="173"/>
        <v>6.1419821000451222E-2</v>
      </c>
      <c r="AH168" s="42"/>
      <c r="AI168" s="97">
        <f t="shared" si="161"/>
        <v>7.0139850554876482E-2</v>
      </c>
      <c r="AJ168" s="365">
        <v>244895</v>
      </c>
      <c r="AK168" s="43">
        <f>AJ168*'KiGa - PS'!$L169</f>
        <v>49975.2456080017</v>
      </c>
      <c r="AL168" s="365">
        <v>73286</v>
      </c>
      <c r="AM168" s="43">
        <f>AL168*'KiGa - PS'!$L169</f>
        <v>14955.331262900478</v>
      </c>
      <c r="AN168" s="97">
        <f>(AK168+AM168)/Funktional!E168</f>
        <v>0.44739149278849594</v>
      </c>
    </row>
    <row r="169" spans="1:40" x14ac:dyDescent="0.25">
      <c r="A169" t="str">
        <f>Funktional!A169</f>
        <v>Fischingen</v>
      </c>
      <c r="B169" t="str">
        <f>Funktional!B169</f>
        <v>KiGa</v>
      </c>
      <c r="C169" s="43">
        <f>Funktional!D169</f>
        <v>20</v>
      </c>
      <c r="D169" s="43">
        <f>Funktional!J169-'KiGa - PS'!H170</f>
        <v>266668.84999999998</v>
      </c>
      <c r="E169" s="43">
        <f>'KiGa - PS'!C170+'KiGa - PS'!J170*Artengliederung!D169</f>
        <v>172624.68249018959</v>
      </c>
      <c r="F169" s="365">
        <v>407281.55</v>
      </c>
      <c r="G169" s="43">
        <f>F169*'KiGa - PS'!L170</f>
        <v>99820.961996994694</v>
      </c>
      <c r="H169" s="42">
        <f t="shared" si="162"/>
        <v>0.57825428297409098</v>
      </c>
      <c r="I169" s="85">
        <f t="shared" si="163"/>
        <v>4991.0480998497351</v>
      </c>
      <c r="J169" s="365">
        <v>152225.20000000001</v>
      </c>
      <c r="K169" s="43">
        <f>J169*'KiGa - PS'!L170</f>
        <v>37308.996452662584</v>
      </c>
      <c r="L169" s="42">
        <f t="shared" si="164"/>
        <v>0.21612782085657356</v>
      </c>
      <c r="M169" s="43">
        <f t="shared" si="165"/>
        <v>1865.4498226331293</v>
      </c>
      <c r="N169" s="365">
        <v>16145.05</v>
      </c>
      <c r="O169" s="43">
        <f>N169*'KiGa - PS'!L170</f>
        <v>3957.0032634416639</v>
      </c>
      <c r="P169" s="42">
        <f t="shared" si="166"/>
        <v>2.2922580979498942E-2</v>
      </c>
      <c r="Q169" s="43">
        <f>O169/Funktional!C169</f>
        <v>3957.0032634416639</v>
      </c>
      <c r="R169" s="85">
        <f t="shared" si="167"/>
        <v>197.8501631720832</v>
      </c>
      <c r="S169" s="365">
        <v>3872.65</v>
      </c>
      <c r="T169" s="365">
        <v>19591.650000000001</v>
      </c>
      <c r="U169" s="43">
        <f>T169*'KiGa - PS'!L170</f>
        <v>4801.733223880191</v>
      </c>
      <c r="V169" s="42">
        <f t="shared" si="168"/>
        <v>2.7816029287428684E-2</v>
      </c>
      <c r="W169" s="43">
        <f t="shared" si="169"/>
        <v>240.08666119400954</v>
      </c>
      <c r="X169" s="365">
        <v>14406.65</v>
      </c>
      <c r="Y169" s="43">
        <f>X169*'KiGa - PS'!L170</f>
        <v>3530.9374121022756</v>
      </c>
      <c r="Z169" s="91">
        <f t="shared" si="170"/>
        <v>2.0454417996122552E-2</v>
      </c>
      <c r="AA169" s="365">
        <v>57455.7</v>
      </c>
      <c r="AB169" s="43">
        <f>AA169*'KiGa - PS'!L170</f>
        <v>14081.863630234977</v>
      </c>
      <c r="AC169" s="43">
        <f t="shared" si="171"/>
        <v>704.09318151174887</v>
      </c>
      <c r="AD169" s="42">
        <f t="shared" si="172"/>
        <v>8.1575029868832694E-2</v>
      </c>
      <c r="AE169" s="365">
        <v>16739</v>
      </c>
      <c r="AF169" s="43">
        <f>AE169*'KiGa - PS'!L170</f>
        <v>4102.5749456799458</v>
      </c>
      <c r="AG169" s="42">
        <f t="shared" si="173"/>
        <v>2.3765865266185782E-2</v>
      </c>
      <c r="AH169" s="42"/>
      <c r="AI169" s="97">
        <f t="shared" si="161"/>
        <v>9.6226837013074079E-2</v>
      </c>
      <c r="AJ169" s="365">
        <v>184806</v>
      </c>
      <c r="AK169" s="43">
        <f>AJ169*'KiGa - PS'!$L170</f>
        <v>45294.250875878373</v>
      </c>
      <c r="AL169" s="365">
        <v>207504</v>
      </c>
      <c r="AM169" s="43">
        <f>AL169*'KiGa - PS'!$L170</f>
        <v>50857.321914592962</v>
      </c>
      <c r="AN169" s="97">
        <f>(AK169+AM169)/Funktional!E169</f>
        <v>0.61164091528646258</v>
      </c>
    </row>
    <row r="170" spans="1:40" x14ac:dyDescent="0.25">
      <c r="A170" t="str">
        <f>Funktional!A170</f>
        <v>Frauenfeld</v>
      </c>
      <c r="B170" t="str">
        <f>Funktional!B170</f>
        <v>KiGa</v>
      </c>
      <c r="C170" s="43">
        <f>Funktional!D170</f>
        <v>476</v>
      </c>
      <c r="D170" s="43">
        <f>Funktional!J170-'KiGa - PS'!H171</f>
        <v>9542874.1000000015</v>
      </c>
      <c r="E170" s="43">
        <f>'KiGa - PS'!C171+'KiGa - PS'!J171*Artengliederung!D170</f>
        <v>3746279.1126743322</v>
      </c>
      <c r="F170" s="365">
        <v>14702484.449999999</v>
      </c>
      <c r="G170" s="43">
        <f>F170*'KiGa - PS'!L171</f>
        <v>2432604.6927539543</v>
      </c>
      <c r="H170" s="42">
        <f t="shared" si="162"/>
        <v>0.649338882552562</v>
      </c>
      <c r="I170" s="85">
        <f t="shared" si="163"/>
        <v>5110.5140604074668</v>
      </c>
      <c r="J170" s="365">
        <v>2136978.7000000002</v>
      </c>
      <c r="K170" s="43">
        <f>J170*'KiGa - PS'!L171</f>
        <v>353574.55616525037</v>
      </c>
      <c r="L170" s="42">
        <f t="shared" si="164"/>
        <v>9.438019579722301E-2</v>
      </c>
      <c r="M170" s="43">
        <f t="shared" si="165"/>
        <v>742.80368942279495</v>
      </c>
      <c r="N170" s="365">
        <v>462392.25</v>
      </c>
      <c r="O170" s="43">
        <f>N170*'KiGa - PS'!L171</f>
        <v>76505.271001531961</v>
      </c>
      <c r="P170" s="42">
        <f t="shared" si="166"/>
        <v>2.0421668727965556E-2</v>
      </c>
      <c r="Q170" s="43">
        <f>O170/Funktional!C170</f>
        <v>3477.5123182514526</v>
      </c>
      <c r="R170" s="85">
        <f t="shared" si="167"/>
        <v>160.72535924691587</v>
      </c>
      <c r="S170" s="365">
        <v>171569.5</v>
      </c>
      <c r="T170" s="365">
        <v>1391175</v>
      </c>
      <c r="U170" s="43">
        <f>T170*'KiGa - PS'!L171</f>
        <v>230177.34485289542</v>
      </c>
      <c r="V170" s="42">
        <f t="shared" si="168"/>
        <v>6.1441589889595867E-2</v>
      </c>
      <c r="W170" s="43">
        <f t="shared" si="169"/>
        <v>483.56585053129288</v>
      </c>
      <c r="X170" s="365">
        <v>1360338.55</v>
      </c>
      <c r="Y170" s="43">
        <f>X170*'KiGa - PS'!L171</f>
        <v>225075.28926270074</v>
      </c>
      <c r="Z170" s="91">
        <f t="shared" si="170"/>
        <v>6.0079690405669663E-2</v>
      </c>
      <c r="AA170" s="365">
        <v>1623009.4</v>
      </c>
      <c r="AB170" s="43">
        <f>AA170*'KiGa - PS'!L171</f>
        <v>268535.58636641031</v>
      </c>
      <c r="AC170" s="43">
        <f t="shared" si="171"/>
        <v>564.1503915260721</v>
      </c>
      <c r="AD170" s="42">
        <f t="shared" si="172"/>
        <v>7.1680613827706102E-2</v>
      </c>
      <c r="AE170" s="365">
        <v>1346100</v>
      </c>
      <c r="AF170" s="43">
        <f>AE170*'KiGa - PS'!L171</f>
        <v>222719.44500618722</v>
      </c>
      <c r="AG170" s="42">
        <f t="shared" si="173"/>
        <v>5.9450841303491646E-2</v>
      </c>
      <c r="AH170" s="42"/>
      <c r="AI170" s="97">
        <f t="shared" si="161"/>
        <v>0.12315871793291303</v>
      </c>
      <c r="AJ170" s="365">
        <v>717278</v>
      </c>
      <c r="AK170" s="43">
        <f>AJ170*'KiGa - PS'!$L171</f>
        <v>118677.48166937669</v>
      </c>
      <c r="AL170" s="365">
        <v>0</v>
      </c>
      <c r="AM170" s="43">
        <f>AL170*'KiGa - PS'!$L171</f>
        <v>0</v>
      </c>
      <c r="AN170" s="97">
        <f>(AK170+AM170)/Funktional!E170</f>
        <v>3.5294488632482642E-2</v>
      </c>
    </row>
    <row r="171" spans="1:40" x14ac:dyDescent="0.25">
      <c r="A171" t="str">
        <f>Funktional!A171</f>
        <v>Friltschen</v>
      </c>
      <c r="B171" t="str">
        <f>Funktional!B171</f>
        <v>KiGa</v>
      </c>
      <c r="C171" s="43">
        <f>Funktional!D171</f>
        <v>0</v>
      </c>
      <c r="D171" s="43">
        <f>Funktional!J171-'KiGa - PS'!H172</f>
        <v>-279203.89999999997</v>
      </c>
      <c r="E171" s="43">
        <f>'KiGa - PS'!C172+'KiGa - PS'!J172*Artengliederung!D171</f>
        <v>0</v>
      </c>
      <c r="F171" s="365">
        <v>270962.8</v>
      </c>
      <c r="G171" s="43">
        <f>F171*'KiGa - PS'!L172</f>
        <v>0</v>
      </c>
      <c r="H171" s="42"/>
      <c r="I171" s="85"/>
      <c r="J171" s="365">
        <v>64015.35</v>
      </c>
      <c r="K171" s="43">
        <f>J171*'KiGa - PS'!L172</f>
        <v>0</v>
      </c>
      <c r="L171" s="42"/>
      <c r="M171" s="43"/>
      <c r="N171" s="365">
        <v>15036.7</v>
      </c>
      <c r="O171" s="43">
        <f>N171*'KiGa - PS'!L172</f>
        <v>0</v>
      </c>
      <c r="P171" s="42"/>
      <c r="Q171" s="43"/>
      <c r="R171" s="85"/>
      <c r="S171" s="365">
        <v>6027.3</v>
      </c>
      <c r="T171" s="365">
        <v>58334.85</v>
      </c>
      <c r="U171" s="43">
        <f>T171*'KiGa - PS'!L172</f>
        <v>0</v>
      </c>
      <c r="V171" s="42"/>
      <c r="W171" s="43"/>
      <c r="X171" s="365">
        <v>57608.5</v>
      </c>
      <c r="Y171" s="43">
        <f>X171*'KiGa - PS'!L172</f>
        <v>0</v>
      </c>
      <c r="Z171" s="91"/>
      <c r="AA171" s="365">
        <v>77879.7</v>
      </c>
      <c r="AB171" s="43">
        <f>AA171*'KiGa - PS'!L172</f>
        <v>0</v>
      </c>
      <c r="AC171" s="43"/>
      <c r="AD171" s="42"/>
      <c r="AE171" s="365">
        <v>70400</v>
      </c>
      <c r="AF171" s="43">
        <f>AE171*'KiGa - PS'!L172</f>
        <v>0</v>
      </c>
      <c r="AG171" s="42"/>
      <c r="AH171" s="42"/>
      <c r="AI171" s="97"/>
      <c r="AJ171" s="365">
        <v>128438</v>
      </c>
      <c r="AK171" s="43">
        <f>AJ171*'KiGa - PS'!$L172</f>
        <v>0</v>
      </c>
      <c r="AL171" s="365">
        <v>161180</v>
      </c>
      <c r="AM171" s="43">
        <f>AL171*'KiGa - PS'!$L172</f>
        <v>0</v>
      </c>
      <c r="AN171" s="97"/>
    </row>
    <row r="172" spans="1:40" x14ac:dyDescent="0.25">
      <c r="A172" t="str">
        <f>Funktional!A172</f>
        <v>Gachnang</v>
      </c>
      <c r="B172" t="str">
        <f>Funktional!B172</f>
        <v>KiGa</v>
      </c>
      <c r="C172" s="43">
        <f>Funktional!D172</f>
        <v>87</v>
      </c>
      <c r="D172" s="43">
        <f>Funktional!J172-'KiGa - PS'!H173</f>
        <v>1374683.85</v>
      </c>
      <c r="E172" s="43">
        <f>'KiGa - PS'!C173+'KiGa - PS'!J173*Artengliederung!D172</f>
        <v>584339.17615615088</v>
      </c>
      <c r="F172" s="365">
        <v>2388040.9500000002</v>
      </c>
      <c r="G172" s="43">
        <f>F172*'KiGa - PS'!L173</f>
        <v>401393.67412833101</v>
      </c>
      <c r="H172" s="42">
        <f t="shared" si="162"/>
        <v>0.68691898559453768</v>
      </c>
      <c r="I172" s="85">
        <f t="shared" si="163"/>
        <v>4613.7203922796671</v>
      </c>
      <c r="J172" s="365">
        <v>452897.15</v>
      </c>
      <c r="K172" s="43">
        <f>J172*'KiGa - PS'!L173</f>
        <v>76125.18162251357</v>
      </c>
      <c r="L172" s="42">
        <f t="shared" si="164"/>
        <v>0.13027567674526569</v>
      </c>
      <c r="M172" s="43">
        <f t="shared" si="165"/>
        <v>875.0020876150985</v>
      </c>
      <c r="N172" s="365">
        <v>78896.399999999994</v>
      </c>
      <c r="O172" s="43">
        <f>N172*'KiGa - PS'!L173</f>
        <v>13261.295151365997</v>
      </c>
      <c r="P172" s="42">
        <f t="shared" si="166"/>
        <v>2.2694516630906547E-2</v>
      </c>
      <c r="Q172" s="43">
        <f>O172/Funktional!C172</f>
        <v>3315.3237878414993</v>
      </c>
      <c r="R172" s="85">
        <f t="shared" si="167"/>
        <v>152.4286799007586</v>
      </c>
      <c r="S172" s="365">
        <v>24650.1</v>
      </c>
      <c r="T172" s="365">
        <v>150378.4</v>
      </c>
      <c r="U172" s="43">
        <f>T172*'KiGa - PS'!L173</f>
        <v>25276.341465392296</v>
      </c>
      <c r="V172" s="42">
        <f t="shared" si="168"/>
        <v>4.3256284186973269E-2</v>
      </c>
      <c r="W172" s="43">
        <f t="shared" si="169"/>
        <v>290.53266052175053</v>
      </c>
      <c r="X172" s="365">
        <v>146555.20000000001</v>
      </c>
      <c r="Y172" s="43">
        <f>X172*'KiGa - PS'!L173</f>
        <v>24633.719195900881</v>
      </c>
      <c r="Z172" s="91">
        <f t="shared" si="170"/>
        <v>4.2156542297821398E-2</v>
      </c>
      <c r="AA172" s="365">
        <v>229392.35</v>
      </c>
      <c r="AB172" s="43">
        <f>AA172*'KiGa - PS'!L173</f>
        <v>38557.394999207216</v>
      </c>
      <c r="AC172" s="43">
        <f t="shared" si="171"/>
        <v>443.18844826674962</v>
      </c>
      <c r="AD172" s="42">
        <f t="shared" si="172"/>
        <v>6.5984614026466812E-2</v>
      </c>
      <c r="AE172" s="365">
        <v>204645</v>
      </c>
      <c r="AF172" s="43">
        <f>AE172*'KiGa - PS'!L173</f>
        <v>34397.738632577595</v>
      </c>
      <c r="AG172" s="42">
        <f t="shared" si="173"/>
        <v>5.8866049096433698E-2</v>
      </c>
      <c r="AH172" s="42"/>
      <c r="AI172" s="97">
        <f t="shared" si="161"/>
        <v>7.3564439446756544E-2</v>
      </c>
      <c r="AJ172" s="365">
        <v>269633.90000000002</v>
      </c>
      <c r="AK172" s="43">
        <f>AJ172*'KiGa - PS'!$L173</f>
        <v>45321.392746866841</v>
      </c>
      <c r="AL172" s="365">
        <v>0</v>
      </c>
      <c r="AM172" s="43">
        <f>AL172*'KiGa - PS'!$L173</f>
        <v>0</v>
      </c>
      <c r="AN172" s="97">
        <f>(AK172+AM172)/Funktional!E172</f>
        <v>8.206650721103767E-2</v>
      </c>
    </row>
    <row r="173" spans="1:40" x14ac:dyDescent="0.25">
      <c r="A173" t="str">
        <f>Funktional!A173</f>
        <v>Götighofen</v>
      </c>
      <c r="B173" t="str">
        <f>Funktional!B173</f>
        <v>KiGa</v>
      </c>
      <c r="C173" s="43">
        <f>Funktional!D173</f>
        <v>18</v>
      </c>
      <c r="D173" s="43">
        <f>Funktional!J173-'KiGa - PS'!H174</f>
        <v>342045.80000000005</v>
      </c>
      <c r="E173" s="43">
        <f>'KiGa - PS'!C174+'KiGa - PS'!J174*Artengliederung!D173</f>
        <v>177908.14471698523</v>
      </c>
      <c r="F173" s="365">
        <v>557449.44999999995</v>
      </c>
      <c r="G173" s="43">
        <f>F173*'KiGa - PS'!L174</f>
        <v>112923.06803294709</v>
      </c>
      <c r="H173" s="42">
        <f t="shared" si="162"/>
        <v>0.63472680361309008</v>
      </c>
      <c r="I173" s="85">
        <f t="shared" si="163"/>
        <v>6273.5037796081715</v>
      </c>
      <c r="J173" s="365">
        <v>71959.100000000006</v>
      </c>
      <c r="K173" s="43">
        <f>J173*'KiGa - PS'!L174</f>
        <v>14576.823683097444</v>
      </c>
      <c r="L173" s="42">
        <f t="shared" si="164"/>
        <v>8.1934549462511289E-2</v>
      </c>
      <c r="M173" s="43">
        <f t="shared" si="165"/>
        <v>809.82353794985795</v>
      </c>
      <c r="N173" s="365">
        <v>19278.599999999999</v>
      </c>
      <c r="O173" s="43">
        <f>N173*'KiGa - PS'!L174</f>
        <v>3905.2844331983356</v>
      </c>
      <c r="P173" s="42">
        <f t="shared" si="166"/>
        <v>2.1951127866634935E-2</v>
      </c>
      <c r="Q173" s="43">
        <f>O173/Funktional!C173</f>
        <v>3905.2844331983356</v>
      </c>
      <c r="R173" s="85">
        <f t="shared" si="167"/>
        <v>216.96024628879641</v>
      </c>
      <c r="S173" s="365">
        <v>7715.95</v>
      </c>
      <c r="T173" s="365">
        <v>45739.75</v>
      </c>
      <c r="U173" s="43">
        <f>T173*'KiGa - PS'!L174</f>
        <v>9265.5448867336618</v>
      </c>
      <c r="V173" s="42">
        <f t="shared" si="168"/>
        <v>5.2080498627385563E-2</v>
      </c>
      <c r="W173" s="43">
        <f t="shared" si="169"/>
        <v>514.75249370742563</v>
      </c>
      <c r="X173" s="365">
        <v>45525.5</v>
      </c>
      <c r="Y173" s="43">
        <f>X173*'KiGa - PS'!L174</f>
        <v>9222.1440594011401</v>
      </c>
      <c r="Z173" s="91">
        <f t="shared" si="170"/>
        <v>5.1836547866156713E-2</v>
      </c>
      <c r="AA173" s="365">
        <v>169023.1</v>
      </c>
      <c r="AB173" s="43">
        <f>AA173*'KiGa - PS'!L174</f>
        <v>34239.170960594944</v>
      </c>
      <c r="AC173" s="43">
        <f t="shared" si="171"/>
        <v>1902.176164477497</v>
      </c>
      <c r="AD173" s="42">
        <f t="shared" si="172"/>
        <v>0.1924542072824284</v>
      </c>
      <c r="AE173" s="365">
        <v>99883.7</v>
      </c>
      <c r="AF173" s="43">
        <f>AE173*'KiGa - PS'!L174</f>
        <v>20233.536602256005</v>
      </c>
      <c r="AG173" s="42">
        <f t="shared" si="173"/>
        <v>0.11373024340422044</v>
      </c>
      <c r="AH173" s="42"/>
      <c r="AI173" s="97">
        <f t="shared" si="161"/>
        <v>3.8803941014584675E-2</v>
      </c>
      <c r="AJ173" s="365">
        <v>229153.95</v>
      </c>
      <c r="AK173" s="43">
        <f>AJ173*'KiGa - PS'!$L174</f>
        <v>46419.934732859743</v>
      </c>
      <c r="AL173" s="365">
        <v>170945</v>
      </c>
      <c r="AM173" s="43">
        <f>AL173*'KiGa - PS'!$L174</f>
        <v>34628.492081016746</v>
      </c>
      <c r="AN173" s="97">
        <f>(AK173+AM173)/Funktional!E173</f>
        <v>0.4703103886265696</v>
      </c>
    </row>
    <row r="174" spans="1:40" x14ac:dyDescent="0.25">
      <c r="A174" t="str">
        <f>Funktional!A174</f>
        <v>Gottlieben</v>
      </c>
      <c r="B174" t="str">
        <f>Funktional!B174</f>
        <v>KiGa</v>
      </c>
      <c r="C174" s="43">
        <f>Funktional!D174</f>
        <v>0</v>
      </c>
      <c r="D174" s="43">
        <f>Funktional!J174-'KiGa - PS'!H175</f>
        <v>-203708.6</v>
      </c>
      <c r="E174" s="43">
        <f>'KiGa - PS'!C175+'KiGa - PS'!J175*Artengliederung!D174</f>
        <v>0</v>
      </c>
      <c r="F174" s="365">
        <v>142460.6</v>
      </c>
      <c r="G174" s="43">
        <f>F174*'KiGa - PS'!L175</f>
        <v>0</v>
      </c>
      <c r="H174" s="42"/>
      <c r="I174" s="85"/>
      <c r="J174" s="365">
        <v>45484.55</v>
      </c>
      <c r="K174" s="43">
        <f>J174*'KiGa - PS'!L175</f>
        <v>0</v>
      </c>
      <c r="L174" s="42"/>
      <c r="M174" s="43"/>
      <c r="N174" s="365">
        <v>8154.05</v>
      </c>
      <c r="O174" s="43">
        <f>N174*'KiGa - PS'!L175</f>
        <v>0</v>
      </c>
      <c r="P174" s="42"/>
      <c r="Q174" s="43"/>
      <c r="R174" s="85"/>
      <c r="S174" s="365">
        <v>3767.25</v>
      </c>
      <c r="T174" s="365">
        <v>79.5</v>
      </c>
      <c r="U174" s="43">
        <f>T174*'KiGa - PS'!L175</f>
        <v>0</v>
      </c>
      <c r="V174" s="42"/>
      <c r="W174" s="43"/>
      <c r="X174" s="365">
        <v>0</v>
      </c>
      <c r="Y174" s="43">
        <f>X174*'KiGa - PS'!L175</f>
        <v>0</v>
      </c>
      <c r="Z174" s="91"/>
      <c r="AA174" s="365">
        <v>8593.7999999999993</v>
      </c>
      <c r="AB174" s="43">
        <f>AA174*'KiGa - PS'!L175</f>
        <v>0</v>
      </c>
      <c r="AC174" s="43"/>
      <c r="AD174" s="42"/>
      <c r="AE174" s="365">
        <v>8481.65</v>
      </c>
      <c r="AF174" s="43">
        <f>AE174*'KiGa - PS'!L175</f>
        <v>0</v>
      </c>
      <c r="AG174" s="42"/>
      <c r="AH174" s="42"/>
      <c r="AI174" s="97"/>
      <c r="AJ174" s="365">
        <v>0</v>
      </c>
      <c r="AK174" s="43">
        <f>AJ174*'KiGa - PS'!$L175</f>
        <v>0</v>
      </c>
      <c r="AL174" s="365">
        <v>0</v>
      </c>
      <c r="AM174" s="43">
        <f>AL174*'KiGa - PS'!$L175</f>
        <v>0</v>
      </c>
      <c r="AN174" s="97"/>
    </row>
    <row r="175" spans="1:40" x14ac:dyDescent="0.25">
      <c r="A175" t="str">
        <f>Funktional!A175</f>
        <v>Gottshaus</v>
      </c>
      <c r="B175" t="str">
        <f>Funktional!B175</f>
        <v>KiGa</v>
      </c>
      <c r="C175" s="43">
        <f>Funktional!D175</f>
        <v>17</v>
      </c>
      <c r="D175" s="43">
        <f>Funktional!J175-'KiGa - PS'!H176</f>
        <v>415015</v>
      </c>
      <c r="E175" s="43">
        <f>'KiGa - PS'!C176+'KiGa - PS'!J176*Artengliederung!D175</f>
        <v>127832.01810386051</v>
      </c>
      <c r="F175" s="365">
        <v>712192.8</v>
      </c>
      <c r="G175" s="43">
        <f>F175*'KiGa - PS'!L176</f>
        <v>94485.894688912711</v>
      </c>
      <c r="H175" s="42">
        <f t="shared" si="162"/>
        <v>0.73914107037053223</v>
      </c>
      <c r="I175" s="85">
        <f t="shared" si="163"/>
        <v>5557.9938052301595</v>
      </c>
      <c r="J175" s="365">
        <v>200908.35</v>
      </c>
      <c r="K175" s="43">
        <f>J175*'KiGa - PS'!L176</f>
        <v>26654.306530792248</v>
      </c>
      <c r="L175" s="42">
        <f t="shared" si="164"/>
        <v>0.20851041019423044</v>
      </c>
      <c r="M175" s="43">
        <f t="shared" si="165"/>
        <v>1567.9003841642498</v>
      </c>
      <c r="N175" s="365">
        <v>23237.35</v>
      </c>
      <c r="O175" s="43">
        <f>N175*'KiGa - PS'!L176</f>
        <v>3082.8755990644745</v>
      </c>
      <c r="P175" s="42">
        <f t="shared" si="166"/>
        <v>2.4116615264258057E-2</v>
      </c>
      <c r="Q175" s="43">
        <f>O175/Funktional!C175</f>
        <v>6165.751198128949</v>
      </c>
      <c r="R175" s="85">
        <f t="shared" si="167"/>
        <v>181.34562347438086</v>
      </c>
      <c r="S175" s="365">
        <v>11112.2</v>
      </c>
      <c r="T175" s="365">
        <v>12277</v>
      </c>
      <c r="U175" s="43">
        <f>T175*'KiGa - PS'!L176</f>
        <v>1628.7771079625929</v>
      </c>
      <c r="V175" s="42">
        <f t="shared" si="168"/>
        <v>1.2741542628539666E-2</v>
      </c>
      <c r="W175" s="43">
        <f t="shared" si="169"/>
        <v>95.810418115446637</v>
      </c>
      <c r="X175" s="365">
        <v>2948.5</v>
      </c>
      <c r="Y175" s="43">
        <f>X175*'KiGa - PS'!L176</f>
        <v>391.17449725728642</v>
      </c>
      <c r="Z175" s="91">
        <f t="shared" si="170"/>
        <v>3.0600666645148817E-3</v>
      </c>
      <c r="AA175" s="365">
        <v>19239.900000000001</v>
      </c>
      <c r="AB175" s="43">
        <f>AA175*'KiGa - PS'!L176</f>
        <v>2552.5379717756368</v>
      </c>
      <c r="AC175" s="43">
        <f t="shared" si="171"/>
        <v>150.1492924573904</v>
      </c>
      <c r="AD175" s="42">
        <f t="shared" si="172"/>
        <v>1.9967907959504792E-2</v>
      </c>
      <c r="AE175" s="365">
        <v>16980</v>
      </c>
      <c r="AF175" s="43">
        <f>AE175*'KiGa - PS'!L176</f>
        <v>2252.7193364180848</v>
      </c>
      <c r="AG175" s="42">
        <f t="shared" si="173"/>
        <v>1.7622496850419771E-2</v>
      </c>
      <c r="AH175" s="42"/>
      <c r="AI175" s="97">
        <f t="shared" ref="AI175:AI190" si="174">1-H175-L175-V175-AD175</f>
        <v>1.9639068847192871E-2</v>
      </c>
      <c r="AJ175" s="365">
        <v>300713</v>
      </c>
      <c r="AK175" s="43">
        <f>AJ175*'KiGa - PS'!$L176</f>
        <v>39895.287974811043</v>
      </c>
      <c r="AL175" s="365">
        <v>77690</v>
      </c>
      <c r="AM175" s="43">
        <f>AL175*'KiGa - PS'!$L176</f>
        <v>10307.053312504182</v>
      </c>
      <c r="AN175" s="97">
        <f>(AK175+AM175)/Funktional!E175</f>
        <v>0.39803506457052662</v>
      </c>
    </row>
    <row r="176" spans="1:40" x14ac:dyDescent="0.25">
      <c r="A176" t="str">
        <f>Funktional!A176</f>
        <v>Gündelhart-Hörhausen</v>
      </c>
      <c r="B176" t="str">
        <f>Funktional!B176</f>
        <v>KiGa</v>
      </c>
      <c r="C176" s="43">
        <f>Funktional!D176</f>
        <v>20</v>
      </c>
      <c r="D176" s="43">
        <f>Funktional!J176-'KiGa - PS'!H177</f>
        <v>312037.90000000002</v>
      </c>
      <c r="E176" s="43">
        <f>'KiGa - PS'!C177+'KiGa - PS'!J177*Artengliederung!D176</f>
        <v>111518.9706778721</v>
      </c>
      <c r="F176" s="365">
        <v>573862.85</v>
      </c>
      <c r="G176" s="43">
        <f>F176*'KiGa - PS'!L177</f>
        <v>70698.618334375773</v>
      </c>
      <c r="H176" s="42">
        <f t="shared" si="162"/>
        <v>0.63396046344968626</v>
      </c>
      <c r="I176" s="85">
        <f t="shared" si="163"/>
        <v>3534.9309167187885</v>
      </c>
      <c r="J176" s="365">
        <v>185707.6</v>
      </c>
      <c r="K176" s="43">
        <f>J176*'KiGa - PS'!L177</f>
        <v>22878.760550875391</v>
      </c>
      <c r="L176" s="42">
        <f t="shared" si="164"/>
        <v>0.20515577225835224</v>
      </c>
      <c r="M176" s="43">
        <f t="shared" si="165"/>
        <v>1143.9380275437695</v>
      </c>
      <c r="N176" s="365">
        <v>25524.25</v>
      </c>
      <c r="O176" s="43">
        <f>N176*'KiGa - PS'!L177</f>
        <v>3144.5304553539067</v>
      </c>
      <c r="P176" s="42">
        <f t="shared" si="166"/>
        <v>2.819726936358688E-2</v>
      </c>
      <c r="Q176" s="43">
        <f>O176/Funktional!C176</f>
        <v>6289.0609107078135</v>
      </c>
      <c r="R176" s="85">
        <f t="shared" si="167"/>
        <v>157.22652276769534</v>
      </c>
      <c r="S176" s="365">
        <v>30824.2</v>
      </c>
      <c r="T176" s="365">
        <v>34502.15</v>
      </c>
      <c r="U176" s="43">
        <f>T176*'KiGa - PS'!L177</f>
        <v>4250.5876352954074</v>
      </c>
      <c r="V176" s="42">
        <f t="shared" si="168"/>
        <v>3.8115377226475969E-2</v>
      </c>
      <c r="W176" s="43">
        <f t="shared" si="169"/>
        <v>212.52938176477036</v>
      </c>
      <c r="X176" s="365">
        <v>34502.15</v>
      </c>
      <c r="Y176" s="43">
        <f>X176*'KiGa - PS'!L177</f>
        <v>4250.5876352954074</v>
      </c>
      <c r="Z176" s="91">
        <f t="shared" si="170"/>
        <v>3.8115377226475969E-2</v>
      </c>
      <c r="AA176" s="365">
        <v>63991.45</v>
      </c>
      <c r="AB176" s="43">
        <f>AA176*'KiGa - PS'!L177</f>
        <v>7883.60337354699</v>
      </c>
      <c r="AC176" s="43">
        <f t="shared" si="171"/>
        <v>394.18016867734951</v>
      </c>
      <c r="AD176" s="42">
        <f t="shared" si="172"/>
        <v>7.0692935252416891E-2</v>
      </c>
      <c r="AE176" s="365">
        <v>41670</v>
      </c>
      <c r="AF176" s="43">
        <f>AE176*'KiGa - PS'!L177</f>
        <v>5133.6507076445851</v>
      </c>
      <c r="AG176" s="42">
        <f t="shared" si="173"/>
        <v>4.6033878150412468E-2</v>
      </c>
      <c r="AH176" s="42"/>
      <c r="AI176" s="97">
        <f t="shared" si="174"/>
        <v>5.2075451813068635E-2</v>
      </c>
      <c r="AJ176" s="365">
        <v>266352</v>
      </c>
      <c r="AK176" s="43">
        <f>AJ176*'KiGa - PS'!$L177</f>
        <v>32813.970081174717</v>
      </c>
      <c r="AL176" s="365">
        <v>206551</v>
      </c>
      <c r="AM176" s="43">
        <f>AL176*'KiGa - PS'!$L177</f>
        <v>25446.62076589145</v>
      </c>
      <c r="AN176" s="97">
        <f>(AK176+AM176)/Funktional!E176</f>
        <v>0.54867826692094368</v>
      </c>
    </row>
    <row r="177" spans="1:40" x14ac:dyDescent="0.25">
      <c r="A177" t="str">
        <f>Funktional!A177</f>
        <v>Guntershausen</v>
      </c>
      <c r="B177" t="str">
        <f>Funktional!B177</f>
        <v>KiGa</v>
      </c>
      <c r="C177" s="43">
        <f>Funktional!D177</f>
        <v>20</v>
      </c>
      <c r="D177" s="43">
        <f>Funktional!J177-'KiGa - PS'!H178</f>
        <v>876271.25999999989</v>
      </c>
      <c r="E177" s="43">
        <f>'KiGa - PS'!C178+'KiGa - PS'!J178*Artengliederung!D177</f>
        <v>196736.00770154153</v>
      </c>
      <c r="F177" s="365">
        <v>876711.05</v>
      </c>
      <c r="G177" s="43">
        <f>F177*'KiGa - PS'!L178</f>
        <v>99766.904392389944</v>
      </c>
      <c r="H177" s="42">
        <f t="shared" si="162"/>
        <v>0.50711054655404708</v>
      </c>
      <c r="I177" s="85">
        <f t="shared" si="163"/>
        <v>4988.3452196194976</v>
      </c>
      <c r="J177" s="365">
        <v>198421.41</v>
      </c>
      <c r="K177" s="43">
        <f>J177*'KiGa - PS'!L178</f>
        <v>22579.719784384153</v>
      </c>
      <c r="L177" s="42">
        <f t="shared" si="164"/>
        <v>0.11477166812614562</v>
      </c>
      <c r="M177" s="43">
        <f t="shared" si="165"/>
        <v>1128.9859892192076</v>
      </c>
      <c r="N177" s="365">
        <v>50674.15</v>
      </c>
      <c r="O177" s="43">
        <f>N177*'KiGa - PS'!L178</f>
        <v>5766.5556721517623</v>
      </c>
      <c r="P177" s="42">
        <f t="shared" si="166"/>
        <v>2.931113495451183E-2</v>
      </c>
      <c r="Q177" s="43">
        <f>O177/Funktional!C177</f>
        <v>5766.5556721517623</v>
      </c>
      <c r="R177" s="85">
        <f t="shared" si="167"/>
        <v>288.32778360758812</v>
      </c>
      <c r="S177" s="365">
        <v>22730.3</v>
      </c>
      <c r="T177" s="365">
        <v>193741.85</v>
      </c>
      <c r="U177" s="43">
        <f>T177*'KiGa - PS'!L178</f>
        <v>22047.200871660913</v>
      </c>
      <c r="V177" s="42">
        <f t="shared" si="168"/>
        <v>0.11206489919785112</v>
      </c>
      <c r="W177" s="43">
        <f t="shared" si="169"/>
        <v>1102.3600435830456</v>
      </c>
      <c r="X177" s="365">
        <v>179912.65</v>
      </c>
      <c r="Y177" s="43">
        <f>X177*'KiGa - PS'!L178</f>
        <v>20473.482285333936</v>
      </c>
      <c r="Z177" s="91">
        <f t="shared" si="170"/>
        <v>0.10406576063286413</v>
      </c>
      <c r="AA177" s="365">
        <v>418415.55</v>
      </c>
      <c r="AB177" s="43">
        <f>AA177*'KiGa - PS'!L178</f>
        <v>47614.347022475937</v>
      </c>
      <c r="AC177" s="43">
        <f t="shared" si="171"/>
        <v>2380.717351123797</v>
      </c>
      <c r="AD177" s="42">
        <f t="shared" si="172"/>
        <v>0.24202151694929841</v>
      </c>
      <c r="AE177" s="365">
        <v>242984.8</v>
      </c>
      <c r="AF177" s="43">
        <f>AE177*'KiGa - PS'!L178</f>
        <v>27650.890576095728</v>
      </c>
      <c r="AG177" s="42">
        <f t="shared" si="173"/>
        <v>0.14054819399427645</v>
      </c>
      <c r="AH177" s="42"/>
      <c r="AI177" s="97">
        <f t="shared" si="174"/>
        <v>2.4031369172657802E-2</v>
      </c>
      <c r="AJ177" s="365">
        <v>145347</v>
      </c>
      <c r="AK177" s="43">
        <f>AJ177*'KiGa - PS'!$L178</f>
        <v>16540.022225932593</v>
      </c>
      <c r="AL177" s="365">
        <v>631378</v>
      </c>
      <c r="AM177" s="43">
        <f>AL177*'KiGa - PS'!$L178</f>
        <v>71848.790501110227</v>
      </c>
      <c r="AN177" s="97">
        <f>(AK177+AM177)/Funktional!E177</f>
        <v>0.45726744276235853</v>
      </c>
    </row>
    <row r="178" spans="1:40" x14ac:dyDescent="0.25">
      <c r="A178" t="str">
        <f>Funktional!A178</f>
        <v>Güttingen</v>
      </c>
      <c r="B178" t="str">
        <f>Funktional!B178</f>
        <v>KiGa</v>
      </c>
      <c r="C178" s="43">
        <f>Funktional!D178</f>
        <v>30</v>
      </c>
      <c r="D178" s="43">
        <f>Funktional!J178-'KiGa - PS'!H179</f>
        <v>465438.30000000005</v>
      </c>
      <c r="E178" s="43">
        <f>'KiGa - PS'!C179+'KiGa - PS'!J179*Artengliederung!D178</f>
        <v>195998.43948169876</v>
      </c>
      <c r="F178" s="365">
        <v>976565.85</v>
      </c>
      <c r="G178" s="43">
        <f>F178*'KiGa - PS'!L179</f>
        <v>133932.60024518543</v>
      </c>
      <c r="H178" s="42">
        <f t="shared" si="162"/>
        <v>0.6833350336837315</v>
      </c>
      <c r="I178" s="85">
        <f t="shared" si="163"/>
        <v>4464.4200081728477</v>
      </c>
      <c r="J178" s="365">
        <v>228903.75</v>
      </c>
      <c r="K178" s="43">
        <f>J178*'KiGa - PS'!L179</f>
        <v>31393.350938263779</v>
      </c>
      <c r="L178" s="42">
        <f t="shared" si="164"/>
        <v>0.16017143310569631</v>
      </c>
      <c r="M178" s="43">
        <f t="shared" si="165"/>
        <v>1046.4450312754593</v>
      </c>
      <c r="N178" s="365">
        <v>51760.05</v>
      </c>
      <c r="O178" s="43">
        <f>N178*'KiGa - PS'!L179</f>
        <v>7098.7103279526009</v>
      </c>
      <c r="P178" s="42">
        <f t="shared" si="166"/>
        <v>3.6218198199559841E-2</v>
      </c>
      <c r="Q178" s="43">
        <f>O178/Funktional!C178</f>
        <v>4732.4735519684009</v>
      </c>
      <c r="R178" s="85">
        <f t="shared" si="167"/>
        <v>236.62367759842002</v>
      </c>
      <c r="S178" s="365">
        <v>14821.4</v>
      </c>
      <c r="T178" s="365">
        <v>29733.9</v>
      </c>
      <c r="U178" s="43">
        <f>T178*'KiGa - PS'!L179</f>
        <v>4077.900678618159</v>
      </c>
      <c r="V178" s="42">
        <f t="shared" si="168"/>
        <v>2.08057813592895E-2</v>
      </c>
      <c r="W178" s="43">
        <f t="shared" si="169"/>
        <v>135.93002262060529</v>
      </c>
      <c r="X178" s="365">
        <v>10820.65</v>
      </c>
      <c r="Y178" s="43">
        <f>X178*'KiGa - PS'!L179</f>
        <v>1484.0144070602773</v>
      </c>
      <c r="Z178" s="91">
        <f t="shared" si="170"/>
        <v>7.5715623603158652E-3</v>
      </c>
      <c r="AA178" s="365">
        <v>70648.649999999994</v>
      </c>
      <c r="AB178" s="43">
        <f>AA178*'KiGa - PS'!L179</f>
        <v>9689.2159379851546</v>
      </c>
      <c r="AC178" s="43">
        <f t="shared" si="171"/>
        <v>322.97386459950513</v>
      </c>
      <c r="AD178" s="42">
        <f t="shared" si="172"/>
        <v>4.9435168788116192E-2</v>
      </c>
      <c r="AE178" s="365">
        <v>0</v>
      </c>
      <c r="AF178" s="43">
        <f>AE178*'KiGa - PS'!L179</f>
        <v>0</v>
      </c>
      <c r="AG178" s="42">
        <f t="shared" si="173"/>
        <v>0</v>
      </c>
      <c r="AH178" s="42"/>
      <c r="AI178" s="97">
        <f t="shared" si="174"/>
        <v>8.6252583063166494E-2</v>
      </c>
      <c r="AJ178" s="365">
        <v>86720</v>
      </c>
      <c r="AK178" s="43">
        <f>AJ178*'KiGa - PS'!$L179</f>
        <v>11893.345536568251</v>
      </c>
      <c r="AL178" s="365">
        <v>0</v>
      </c>
      <c r="AM178" s="43">
        <f>AL178*'KiGa - PS'!$L179</f>
        <v>0</v>
      </c>
      <c r="AN178" s="97">
        <f>(AK178+AM178)/Funktional!E178</f>
        <v>6.436205675661695E-2</v>
      </c>
    </row>
    <row r="179" spans="1:40" x14ac:dyDescent="0.25">
      <c r="A179" t="str">
        <f>Funktional!A179</f>
        <v>Halden-Kenzenau</v>
      </c>
      <c r="B179" t="str">
        <f>Funktional!B179</f>
        <v>KiGa</v>
      </c>
      <c r="C179" s="43">
        <f>Funktional!D179</f>
        <v>23</v>
      </c>
      <c r="D179" s="43">
        <f>Funktional!J179-'KiGa - PS'!H180</f>
        <v>183454.35000000009</v>
      </c>
      <c r="E179" s="43">
        <f>'KiGa - PS'!C180+'KiGa - PS'!J180*Artengliederung!D179</f>
        <v>95656.684497774913</v>
      </c>
      <c r="F179" s="365">
        <v>547122.75</v>
      </c>
      <c r="G179" s="43">
        <f>F179*'KiGa - PS'!L180</f>
        <v>70811.079339383199</v>
      </c>
      <c r="H179" s="42">
        <f t="shared" si="162"/>
        <v>0.74026273972552692</v>
      </c>
      <c r="I179" s="85">
        <f t="shared" si="163"/>
        <v>3078.7425799731827</v>
      </c>
      <c r="J179" s="365">
        <v>103869.35</v>
      </c>
      <c r="K179" s="43">
        <f>J179*'KiGa - PS'!L180</f>
        <v>13443.23697704064</v>
      </c>
      <c r="L179" s="42">
        <f t="shared" si="164"/>
        <v>0.14053630488680952</v>
      </c>
      <c r="M179" s="43">
        <f t="shared" si="165"/>
        <v>584.48856421915832</v>
      </c>
      <c r="N179" s="365">
        <v>26013.75</v>
      </c>
      <c r="O179" s="43">
        <f>N179*'KiGa - PS'!L180</f>
        <v>3366.8161581014124</v>
      </c>
      <c r="P179" s="42">
        <f t="shared" si="166"/>
        <v>3.5196872814254071E-2</v>
      </c>
      <c r="Q179" s="43">
        <f>O179/Funktional!C179</f>
        <v>3366.8161581014124</v>
      </c>
      <c r="R179" s="85">
        <f t="shared" si="167"/>
        <v>146.38331122180054</v>
      </c>
      <c r="S179" s="365">
        <v>5631.05</v>
      </c>
      <c r="T179" s="365">
        <v>22205.75</v>
      </c>
      <c r="U179" s="43">
        <f>T179*'KiGa - PS'!L180</f>
        <v>2873.9677248670582</v>
      </c>
      <c r="V179" s="42">
        <f t="shared" si="168"/>
        <v>3.0044609427518996E-2</v>
      </c>
      <c r="W179" s="43">
        <f t="shared" si="169"/>
        <v>124.95511847248079</v>
      </c>
      <c r="X179" s="365">
        <v>18813.3</v>
      </c>
      <c r="Y179" s="43">
        <f>X179*'KiGa - PS'!L180</f>
        <v>2434.90163575837</v>
      </c>
      <c r="Z179" s="91">
        <f t="shared" si="170"/>
        <v>2.5454589488882073E-2</v>
      </c>
      <c r="AA179" s="365">
        <v>41685</v>
      </c>
      <c r="AB179" s="43">
        <f>AA179*'KiGa - PS'!L180</f>
        <v>5395.0595954238579</v>
      </c>
      <c r="AC179" s="43">
        <f t="shared" si="171"/>
        <v>234.56780849668948</v>
      </c>
      <c r="AD179" s="42">
        <f t="shared" si="172"/>
        <v>5.6400236154425291E-2</v>
      </c>
      <c r="AE179" s="365">
        <v>37898</v>
      </c>
      <c r="AF179" s="43">
        <f>AE179*'KiGa - PS'!L180</f>
        <v>4904.9290763433692</v>
      </c>
      <c r="AG179" s="42">
        <f t="shared" si="173"/>
        <v>5.1276385984896471E-2</v>
      </c>
      <c r="AH179" s="42"/>
      <c r="AI179" s="97">
        <f t="shared" si="174"/>
        <v>3.2756109805719281E-2</v>
      </c>
      <c r="AJ179" s="365">
        <v>251703</v>
      </c>
      <c r="AK179" s="43">
        <f>AJ179*'KiGa - PS'!$L180</f>
        <v>32576.530774786403</v>
      </c>
      <c r="AL179" s="365">
        <v>66412</v>
      </c>
      <c r="AM179" s="43">
        <f>AL179*'KiGa - PS'!$L180</f>
        <v>8595.3387993592241</v>
      </c>
      <c r="AN179" s="97">
        <f>(AK179+AM179)/Funktional!E179</f>
        <v>0.4413021586995336</v>
      </c>
    </row>
    <row r="180" spans="1:40" x14ac:dyDescent="0.25">
      <c r="A180" t="str">
        <f>Funktional!A180</f>
        <v>Hauptwil</v>
      </c>
      <c r="B180" t="str">
        <f>Funktional!B180</f>
        <v>KiGa</v>
      </c>
      <c r="C180" s="43">
        <f>Funktional!D180</f>
        <v>22</v>
      </c>
      <c r="D180" s="43">
        <f>Funktional!J180-'KiGa - PS'!H181</f>
        <v>1000843.6500000001</v>
      </c>
      <c r="E180" s="43">
        <f>'KiGa - PS'!C181+'KiGa - PS'!J181*Artengliederung!D180</f>
        <v>231300.71276620333</v>
      </c>
      <c r="F180" s="365">
        <v>1054729.1000000001</v>
      </c>
      <c r="G180" s="43">
        <f>F180*'KiGa - PS'!L181</f>
        <v>124680.35406972522</v>
      </c>
      <c r="H180" s="42">
        <f t="shared" si="162"/>
        <v>0.53904007721649783</v>
      </c>
      <c r="I180" s="85">
        <f t="shared" si="163"/>
        <v>5667.288821351146</v>
      </c>
      <c r="J180" s="365">
        <v>170529.85</v>
      </c>
      <c r="K180" s="43">
        <f>J180*'KiGa - PS'!L181</f>
        <v>20158.467304502294</v>
      </c>
      <c r="L180" s="42">
        <f t="shared" si="164"/>
        <v>8.7152638067649585E-2</v>
      </c>
      <c r="M180" s="43">
        <f t="shared" si="165"/>
        <v>916.2939683864679</v>
      </c>
      <c r="N180" s="365">
        <v>44835.25</v>
      </c>
      <c r="O180" s="43">
        <f>N180*'KiGa - PS'!L181</f>
        <v>5300.0100640104147</v>
      </c>
      <c r="P180" s="42">
        <f t="shared" si="166"/>
        <v>2.2913937448033793E-2</v>
      </c>
      <c r="Q180" s="43">
        <f>O180/Funktional!C180</f>
        <v>5300.0100640104147</v>
      </c>
      <c r="R180" s="85">
        <f t="shared" si="167"/>
        <v>240.90954836410975</v>
      </c>
      <c r="S180" s="365">
        <v>9312.7000000000007</v>
      </c>
      <c r="T180" s="365">
        <v>213694.65</v>
      </c>
      <c r="U180" s="43">
        <f>T180*'KiGa - PS'!L181</f>
        <v>25261.012163982206</v>
      </c>
      <c r="V180" s="42">
        <f t="shared" si="168"/>
        <v>0.10921285914719947</v>
      </c>
      <c r="W180" s="43">
        <f t="shared" si="169"/>
        <v>1148.2278256355548</v>
      </c>
      <c r="X180" s="365">
        <v>201960.25</v>
      </c>
      <c r="Y180" s="43">
        <f>X180*'KiGa - PS'!L181</f>
        <v>23873.87953741887</v>
      </c>
      <c r="Z180" s="91">
        <f t="shared" si="170"/>
        <v>0.10321576294298052</v>
      </c>
      <c r="AA180" s="365">
        <v>451213.65</v>
      </c>
      <c r="AB180" s="43">
        <f>AA180*'KiGa - PS'!L181</f>
        <v>53338.31942542694</v>
      </c>
      <c r="AC180" s="43">
        <f t="shared" si="171"/>
        <v>2424.4690647921338</v>
      </c>
      <c r="AD180" s="42">
        <f t="shared" si="172"/>
        <v>0.230601621532143</v>
      </c>
      <c r="AE180" s="365">
        <v>172037.2</v>
      </c>
      <c r="AF180" s="43">
        <f>AE180*'KiGa - PS'!L181</f>
        <v>20336.652330123565</v>
      </c>
      <c r="AG180" s="42">
        <f t="shared" si="173"/>
        <v>8.7922998969223537E-2</v>
      </c>
      <c r="AH180" s="42"/>
      <c r="AI180" s="97">
        <f t="shared" si="174"/>
        <v>3.3992804036510088E-2</v>
      </c>
      <c r="AJ180" s="365">
        <v>456413</v>
      </c>
      <c r="AK180" s="43">
        <f>AJ180*'KiGa - PS'!$L181</f>
        <v>53952.9386664552</v>
      </c>
      <c r="AL180" s="365">
        <v>456611</v>
      </c>
      <c r="AM180" s="43">
        <f>AL180*'KiGa - PS'!$L181</f>
        <v>53976.344401734343</v>
      </c>
      <c r="AN180" s="97">
        <f>(AK180+AM180)/Funktional!E180</f>
        <v>0.48029879796943636</v>
      </c>
    </row>
    <row r="181" spans="1:40" x14ac:dyDescent="0.25">
      <c r="A181" t="str">
        <f>Funktional!A181</f>
        <v>Häuslenen-Aawangen</v>
      </c>
      <c r="B181" t="str">
        <f>Funktional!B181</f>
        <v>KiGa</v>
      </c>
      <c r="C181" s="43">
        <f>Funktional!D181</f>
        <v>11</v>
      </c>
      <c r="D181" s="43">
        <f>Funktional!J181-'KiGa - PS'!H182</f>
        <v>300091.50000000006</v>
      </c>
      <c r="E181" s="43">
        <f>'KiGa - PS'!C182+'KiGa - PS'!J182*Artengliederung!D181</f>
        <v>121308.28539017937</v>
      </c>
      <c r="F181" s="365">
        <v>499871.2</v>
      </c>
      <c r="G181" s="43">
        <f>F181*'KiGa - PS'!L182</f>
        <v>79815.060127232617</v>
      </c>
      <c r="H181" s="42">
        <f t="shared" si="162"/>
        <v>0.65795225668645152</v>
      </c>
      <c r="I181" s="85">
        <f t="shared" si="163"/>
        <v>7255.9145570211467</v>
      </c>
      <c r="J181" s="365">
        <v>114993.45</v>
      </c>
      <c r="K181" s="43">
        <f>J181*'KiGa - PS'!L182</f>
        <v>18361.148083722201</v>
      </c>
      <c r="L181" s="42">
        <f t="shared" si="164"/>
        <v>0.15135939004219612</v>
      </c>
      <c r="M181" s="43">
        <f t="shared" si="165"/>
        <v>1669.195280338382</v>
      </c>
      <c r="N181" s="365">
        <v>25281.599999999999</v>
      </c>
      <c r="O181" s="43">
        <f>N181*'KiGa - PS'!L182</f>
        <v>4036.7447136635278</v>
      </c>
      <c r="P181" s="42">
        <f t="shared" si="166"/>
        <v>3.3276743634448616E-2</v>
      </c>
      <c r="Q181" s="43">
        <f>O181/Funktional!C181</f>
        <v>4036.7447136635278</v>
      </c>
      <c r="R181" s="85">
        <f t="shared" si="167"/>
        <v>366.9767921512298</v>
      </c>
      <c r="S181" s="365">
        <v>15578.45</v>
      </c>
      <c r="T181" s="365">
        <v>45054.05</v>
      </c>
      <c r="U181" s="43">
        <f>T181*'KiGa - PS'!L182</f>
        <v>7193.8365517464199</v>
      </c>
      <c r="V181" s="42">
        <f t="shared" si="168"/>
        <v>5.9302103962709241E-2</v>
      </c>
      <c r="W181" s="43">
        <f t="shared" si="169"/>
        <v>653.98514106785638</v>
      </c>
      <c r="X181" s="365">
        <v>44588.9</v>
      </c>
      <c r="Y181" s="43">
        <f>X181*'KiGa - PS'!L182</f>
        <v>7119.5654690791598</v>
      </c>
      <c r="Z181" s="91">
        <f t="shared" si="170"/>
        <v>5.8689853262533467E-2</v>
      </c>
      <c r="AA181" s="365">
        <v>84213.15</v>
      </c>
      <c r="AB181" s="43">
        <f>AA181*'KiGa - PS'!L182</f>
        <v>13446.419059056932</v>
      </c>
      <c r="AC181" s="43">
        <f t="shared" si="171"/>
        <v>1222.4017326415394</v>
      </c>
      <c r="AD181" s="42">
        <f t="shared" si="172"/>
        <v>0.11084501784694667</v>
      </c>
      <c r="AE181" s="365">
        <v>73338</v>
      </c>
      <c r="AF181" s="43">
        <f>AE181*'KiGa - PS'!L182</f>
        <v>11709.970247557743</v>
      </c>
      <c r="AG181" s="42">
        <f t="shared" si="173"/>
        <v>9.6530671502721072E-2</v>
      </c>
      <c r="AH181" s="42"/>
      <c r="AI181" s="97">
        <f t="shared" si="174"/>
        <v>2.0541231461696452E-2</v>
      </c>
      <c r="AJ181" s="365">
        <v>230974</v>
      </c>
      <c r="AK181" s="43">
        <f>AJ181*'KiGa - PS'!$L182</f>
        <v>36879.907659868033</v>
      </c>
      <c r="AL181" s="365">
        <v>134282</v>
      </c>
      <c r="AM181" s="43">
        <f>AL181*'KiGa - PS'!$L182</f>
        <v>21440.975003170919</v>
      </c>
      <c r="AN181" s="97">
        <f>(AK181+AM181)/Funktional!E181</f>
        <v>0.48776123341405353</v>
      </c>
    </row>
    <row r="182" spans="1:40" x14ac:dyDescent="0.25">
      <c r="A182" t="str">
        <f>Funktional!A182</f>
        <v>Hefenhofen</v>
      </c>
      <c r="B182" t="str">
        <f>Funktional!B182</f>
        <v>KiGa</v>
      </c>
      <c r="C182" s="43">
        <f>Funktional!D182</f>
        <v>43</v>
      </c>
      <c r="D182" s="43">
        <f>Funktional!J182-'KiGa - PS'!H183</f>
        <v>566343.70000000007</v>
      </c>
      <c r="E182" s="43">
        <f>'KiGa - PS'!C183+'KiGa - PS'!J183*Artengliederung!D182</f>
        <v>214627.32153253484</v>
      </c>
      <c r="F182" s="365">
        <v>909685.95</v>
      </c>
      <c r="G182" s="43">
        <f>F182*'KiGa - PS'!L183</f>
        <v>125849.1412300462</v>
      </c>
      <c r="H182" s="42">
        <f t="shared" ref="H182:H196" si="175">G182/$E182</f>
        <v>0.5863612345875967</v>
      </c>
      <c r="I182" s="85">
        <f t="shared" ref="I182:I196" si="176">G182/C182</f>
        <v>2926.7242146522372</v>
      </c>
      <c r="J182" s="365">
        <v>249588.55</v>
      </c>
      <c r="K182" s="43">
        <f>J182*'KiGa - PS'!L183</f>
        <v>34528.954391735351</v>
      </c>
      <c r="L182" s="42">
        <f t="shared" ref="L182:L196" si="177">K182/$E182</f>
        <v>0.16087865303067295</v>
      </c>
      <c r="M182" s="43">
        <f t="shared" ref="M182:M196" si="178">K182/C182</f>
        <v>802.99893934268255</v>
      </c>
      <c r="N182" s="365">
        <v>64048.75</v>
      </c>
      <c r="O182" s="43">
        <f>N182*'KiGa - PS'!L183</f>
        <v>8860.7284572856406</v>
      </c>
      <c r="P182" s="42">
        <f t="shared" ref="P182:P196" si="179">O182/$E182</f>
        <v>4.1284252135357635E-2</v>
      </c>
      <c r="Q182" s="43">
        <f>O182/Funktional!C182</f>
        <v>8860.7284572856406</v>
      </c>
      <c r="R182" s="85">
        <f t="shared" ref="R182:R196" si="180">O182/C182</f>
        <v>206.0634524950149</v>
      </c>
      <c r="S182" s="365">
        <v>35210.9</v>
      </c>
      <c r="T182" s="365">
        <v>78849.75</v>
      </c>
      <c r="U182" s="43">
        <f>T182*'KiGa - PS'!L183</f>
        <v>10908.350649698212</v>
      </c>
      <c r="V182" s="42">
        <f t="shared" ref="V182:V196" si="181">U182/$E182</f>
        <v>5.0824613436014209E-2</v>
      </c>
      <c r="W182" s="43">
        <f t="shared" ref="W182:W196" si="182">U182/C182</f>
        <v>253.68257324879562</v>
      </c>
      <c r="X182" s="365">
        <v>71887.5</v>
      </c>
      <c r="Y182" s="43">
        <f>X182*'KiGa - PS'!L183</f>
        <v>9945.1685938152023</v>
      </c>
      <c r="Z182" s="91">
        <f t="shared" ref="Z182:Z196" si="183">Y182/$E182</f>
        <v>4.6336917978579154E-2</v>
      </c>
      <c r="AA182" s="365">
        <v>197552.85</v>
      </c>
      <c r="AB182" s="43">
        <f>AA182*'KiGa - PS'!L183</f>
        <v>27330.153356824005</v>
      </c>
      <c r="AC182" s="43">
        <f t="shared" ref="AC182:AC196" si="184">AB182/C182</f>
        <v>635.58496178660471</v>
      </c>
      <c r="AD182" s="42">
        <f t="shared" ref="AD182:AD196" si="185">AB182/$E182</f>
        <v>0.12733771805786195</v>
      </c>
      <c r="AE182" s="365">
        <v>117933</v>
      </c>
      <c r="AF182" s="43">
        <f>AE182*'KiGa - PS'!L183</f>
        <v>16315.264375230858</v>
      </c>
      <c r="AG182" s="42">
        <f t="shared" ref="AG182:AG196" si="186">AF182/$E182</f>
        <v>7.6016717064410017E-2</v>
      </c>
      <c r="AH182" s="42"/>
      <c r="AI182" s="97">
        <f t="shared" si="174"/>
        <v>7.4597780887854181E-2</v>
      </c>
      <c r="AJ182" s="365">
        <v>436244</v>
      </c>
      <c r="AK182" s="43">
        <f>AJ182*'KiGa - PS'!$L183</f>
        <v>60351.523255646935</v>
      </c>
      <c r="AL182" s="365">
        <v>307168</v>
      </c>
      <c r="AM182" s="43">
        <f>AL182*'KiGa - PS'!$L183</f>
        <v>42494.697223092029</v>
      </c>
      <c r="AN182" s="97">
        <f>(AK182+AM182)/Funktional!E182</f>
        <v>0.51413376480959194</v>
      </c>
    </row>
    <row r="183" spans="1:40" x14ac:dyDescent="0.25">
      <c r="A183" t="str">
        <f>Funktional!A183</f>
        <v>Hegi-Winden</v>
      </c>
      <c r="B183" t="str">
        <f>Funktional!B183</f>
        <v>KiGa</v>
      </c>
      <c r="C183" s="43">
        <f>Funktional!D183</f>
        <v>19</v>
      </c>
      <c r="D183" s="43">
        <f>Funktional!J183-'KiGa - PS'!H184</f>
        <v>192089.94999999995</v>
      </c>
      <c r="E183" s="43">
        <f>'KiGa - PS'!C184+'KiGa - PS'!J184*Artengliederung!D183</f>
        <v>127201.72133109078</v>
      </c>
      <c r="F183" s="365">
        <v>367208.1</v>
      </c>
      <c r="G183" s="43">
        <f>F183*'KiGa - PS'!L184</f>
        <v>79098.337768604368</v>
      </c>
      <c r="H183" s="42">
        <f t="shared" si="175"/>
        <v>0.62183386310253541</v>
      </c>
      <c r="I183" s="85">
        <f t="shared" si="176"/>
        <v>4163.0704088739139</v>
      </c>
      <c r="J183" s="365">
        <v>106317.25</v>
      </c>
      <c r="K183" s="43">
        <f>J183*'KiGa - PS'!L184</f>
        <v>22901.231620787104</v>
      </c>
      <c r="L183" s="42">
        <f t="shared" si="177"/>
        <v>0.18003869272474665</v>
      </c>
      <c r="M183" s="43">
        <f t="shared" si="178"/>
        <v>1205.3279800414266</v>
      </c>
      <c r="N183" s="365">
        <v>20420.25</v>
      </c>
      <c r="O183" s="43">
        <f>N183*'KiGa - PS'!L184</f>
        <v>4398.6171106229503</v>
      </c>
      <c r="P183" s="42">
        <f t="shared" si="179"/>
        <v>3.4579855245621079E-2</v>
      </c>
      <c r="Q183" s="43">
        <f>O183/Funktional!C183</f>
        <v>4398.6171106229503</v>
      </c>
      <c r="R183" s="85">
        <f t="shared" si="180"/>
        <v>231.50616371699738</v>
      </c>
      <c r="S183" s="365">
        <v>10472.049999999999</v>
      </c>
      <c r="T183" s="365">
        <v>24958.75</v>
      </c>
      <c r="U183" s="43">
        <f>T183*'KiGa - PS'!L184</f>
        <v>5376.231182760278</v>
      </c>
      <c r="V183" s="42">
        <f t="shared" si="181"/>
        <v>4.2265396462415748E-2</v>
      </c>
      <c r="W183" s="43">
        <f t="shared" si="182"/>
        <v>282.9595359347515</v>
      </c>
      <c r="X183" s="365">
        <v>24404.7</v>
      </c>
      <c r="Y183" s="43">
        <f>X183*'KiGa - PS'!L184</f>
        <v>5256.8862281127767</v>
      </c>
      <c r="Z183" s="91">
        <f t="shared" si="183"/>
        <v>4.1327162660242105E-2</v>
      </c>
      <c r="AA183" s="365">
        <v>36322.300000000003</v>
      </c>
      <c r="AB183" s="43">
        <f>AA183*'KiGa - PS'!L184</f>
        <v>7823.9928638082301</v>
      </c>
      <c r="AC183" s="43">
        <f t="shared" si="184"/>
        <v>411.78909809517</v>
      </c>
      <c r="AD183" s="42">
        <f t="shared" si="185"/>
        <v>6.1508545497142429E-2</v>
      </c>
      <c r="AE183" s="365">
        <v>30530</v>
      </c>
      <c r="AF183" s="43">
        <f>AE183*'KiGa - PS'!L184</f>
        <v>6576.3044226842803</v>
      </c>
      <c r="AG183" s="42">
        <f t="shared" si="186"/>
        <v>5.169980684119007E-2</v>
      </c>
      <c r="AH183" s="42"/>
      <c r="AI183" s="97">
        <f t="shared" si="174"/>
        <v>9.4353502213159746E-2</v>
      </c>
      <c r="AJ183" s="365">
        <v>166801</v>
      </c>
      <c r="AK183" s="43">
        <f>AJ183*'KiGa - PS'!$L184</f>
        <v>35929.713527944994</v>
      </c>
      <c r="AL183" s="365">
        <v>40928</v>
      </c>
      <c r="AM183" s="43">
        <f>AL183*'KiGa - PS'!$L184</f>
        <v>8816.0821294340731</v>
      </c>
      <c r="AN183" s="97">
        <f>(AK183+AM183)/Funktional!E183</f>
        <v>0.38299747067053647</v>
      </c>
    </row>
    <row r="184" spans="1:40" x14ac:dyDescent="0.25">
      <c r="A184" t="str">
        <f>Funktional!A184</f>
        <v>Herdern</v>
      </c>
      <c r="B184" t="str">
        <f>Funktional!B184</f>
        <v>KiGa</v>
      </c>
      <c r="C184" s="43">
        <f>Funktional!D184</f>
        <v>18</v>
      </c>
      <c r="D184" s="43">
        <f>Funktional!J184-'KiGa - PS'!H185</f>
        <v>194279.40000000002</v>
      </c>
      <c r="E184" s="43">
        <f>'KiGa - PS'!C185+'KiGa - PS'!J185*Artengliederung!D184</f>
        <v>97487.757878820194</v>
      </c>
      <c r="F184" s="365">
        <v>533540.35</v>
      </c>
      <c r="G184" s="43">
        <f>F184*'KiGa - PS'!L185</f>
        <v>77780.35517657036</v>
      </c>
      <c r="H184" s="42">
        <f t="shared" si="175"/>
        <v>0.79784741047438346</v>
      </c>
      <c r="I184" s="85">
        <f t="shared" si="176"/>
        <v>4321.1308431427979</v>
      </c>
      <c r="J184" s="365">
        <v>71936</v>
      </c>
      <c r="K184" s="43">
        <f>J184*'KiGa - PS'!L185</f>
        <v>10486.943733462269</v>
      </c>
      <c r="L184" s="42">
        <f t="shared" si="177"/>
        <v>0.10757190401791589</v>
      </c>
      <c r="M184" s="43">
        <f t="shared" si="178"/>
        <v>582.60798519234822</v>
      </c>
      <c r="N184" s="365">
        <v>16896.900000000001</v>
      </c>
      <c r="O184" s="43">
        <f>N184*'KiGa - PS'!L185</f>
        <v>2463.2567778294406</v>
      </c>
      <c r="P184" s="42">
        <f t="shared" si="179"/>
        <v>2.5267344653585454E-2</v>
      </c>
      <c r="Q184" s="43">
        <f>O184/Funktional!C184</f>
        <v>2463.2567778294406</v>
      </c>
      <c r="R184" s="85">
        <f t="shared" si="180"/>
        <v>136.84759876830225</v>
      </c>
      <c r="S184" s="365">
        <v>733.1</v>
      </c>
      <c r="T184" s="365">
        <v>20679.7</v>
      </c>
      <c r="U184" s="43">
        <f>T184*'KiGa - PS'!L185</f>
        <v>3014.7193383685458</v>
      </c>
      <c r="V184" s="42">
        <f t="shared" si="181"/>
        <v>3.0924081176591629E-2</v>
      </c>
      <c r="W184" s="43">
        <f t="shared" si="182"/>
        <v>167.48440768714144</v>
      </c>
      <c r="X184" s="365">
        <v>20537.5</v>
      </c>
      <c r="Y184" s="43">
        <f>X184*'KiGa - PS'!L185</f>
        <v>2993.9891977032548</v>
      </c>
      <c r="Z184" s="91">
        <f t="shared" si="183"/>
        <v>3.0711437649687881E-2</v>
      </c>
      <c r="AA184" s="365">
        <v>18880.2</v>
      </c>
      <c r="AB184" s="43">
        <f>AA184*'KiGa - PS'!L185</f>
        <v>2752.3853852940715</v>
      </c>
      <c r="AC184" s="43">
        <f t="shared" si="184"/>
        <v>152.91029918300399</v>
      </c>
      <c r="AD184" s="42">
        <f t="shared" si="185"/>
        <v>2.8233138654346301E-2</v>
      </c>
      <c r="AE184" s="365">
        <v>17630</v>
      </c>
      <c r="AF184" s="43">
        <f>AE184*'KiGa - PS'!L185</f>
        <v>2570.1292540722284</v>
      </c>
      <c r="AG184" s="42">
        <f t="shared" si="186"/>
        <v>2.6363610262397925E-2</v>
      </c>
      <c r="AH184" s="42"/>
      <c r="AI184" s="97">
        <f t="shared" si="174"/>
        <v>3.542346567676273E-2</v>
      </c>
      <c r="AJ184" s="365">
        <v>92212.85</v>
      </c>
      <c r="AK184" s="43">
        <f>AJ184*'KiGa - PS'!$L185</f>
        <v>13442.934962358155</v>
      </c>
      <c r="AL184" s="365">
        <v>0</v>
      </c>
      <c r="AM184" s="43">
        <f>AL184*'KiGa - PS'!$L185</f>
        <v>0</v>
      </c>
      <c r="AN184" s="97">
        <f>(AK184+AM184)/Funktional!E184</f>
        <v>0.14130970633284218</v>
      </c>
    </row>
    <row r="185" spans="1:40" x14ac:dyDescent="0.25">
      <c r="A185" t="str">
        <f>Funktional!A185</f>
        <v>Herrenhof-Langrickenbach</v>
      </c>
      <c r="B185" t="str">
        <f>Funktional!B185</f>
        <v>KiGa</v>
      </c>
      <c r="C185" s="43">
        <f>Funktional!D185</f>
        <v>21</v>
      </c>
      <c r="D185" s="43">
        <f>Funktional!J185-'KiGa - PS'!H186</f>
        <v>180393</v>
      </c>
      <c r="E185" s="43">
        <f>'KiGa - PS'!C186+'KiGa - PS'!J186*Artengliederung!D185</f>
        <v>126608.59189062813</v>
      </c>
      <c r="F185" s="365">
        <v>401252.65</v>
      </c>
      <c r="G185" s="43">
        <f>F185*'KiGa - PS'!L186</f>
        <v>88918.483844539704</v>
      </c>
      <c r="H185" s="42">
        <f t="shared" si="175"/>
        <v>0.70231002901724604</v>
      </c>
      <c r="I185" s="85">
        <f t="shared" si="176"/>
        <v>4234.2135164066522</v>
      </c>
      <c r="J185" s="365">
        <v>105075.3</v>
      </c>
      <c r="K185" s="43">
        <f>J185*'KiGa - PS'!L186</f>
        <v>23284.921272196363</v>
      </c>
      <c r="L185" s="42">
        <f t="shared" si="177"/>
        <v>0.18391264703671323</v>
      </c>
      <c r="M185" s="43">
        <f t="shared" si="178"/>
        <v>1108.8057748664935</v>
      </c>
      <c r="N185" s="365">
        <v>5362.7</v>
      </c>
      <c r="O185" s="43">
        <f>N185*'KiGa - PS'!L186</f>
        <v>1188.3863030265668</v>
      </c>
      <c r="P185" s="42">
        <f t="shared" si="179"/>
        <v>9.3863006078857905E-3</v>
      </c>
      <c r="Q185" s="43">
        <f>O185/Funktional!C185</f>
        <v>1188.3863030265668</v>
      </c>
      <c r="R185" s="85">
        <f t="shared" si="180"/>
        <v>56.589823953646039</v>
      </c>
      <c r="S185" s="365">
        <v>2177.4</v>
      </c>
      <c r="T185" s="365">
        <v>13982.4</v>
      </c>
      <c r="U185" s="43">
        <f>T185*'KiGa - PS'!L186</f>
        <v>3098.5310838642231</v>
      </c>
      <c r="V185" s="42">
        <f t="shared" si="181"/>
        <v>2.4473308150689446E-2</v>
      </c>
      <c r="W185" s="43">
        <f t="shared" si="182"/>
        <v>147.54909923162967</v>
      </c>
      <c r="X185" s="365">
        <v>3211.1</v>
      </c>
      <c r="Y185" s="43">
        <f>X185*'KiGa - PS'!L186</f>
        <v>711.58693524691091</v>
      </c>
      <c r="Z185" s="91">
        <f t="shared" si="183"/>
        <v>5.6203684490987874E-3</v>
      </c>
      <c r="AA185" s="365">
        <v>6693.85</v>
      </c>
      <c r="AB185" s="43">
        <f>AA185*'KiGa - PS'!L186</f>
        <v>1483.372117499466</v>
      </c>
      <c r="AC185" s="43">
        <f t="shared" si="184"/>
        <v>70.636767499974567</v>
      </c>
      <c r="AD185" s="42">
        <f t="shared" si="185"/>
        <v>1.1716204211329427E-2</v>
      </c>
      <c r="AE185" s="365">
        <v>5075.45</v>
      </c>
      <c r="AF185" s="43">
        <f>AE185*'KiGa - PS'!L186</f>
        <v>1124.7310611625094</v>
      </c>
      <c r="AG185" s="42">
        <f t="shared" si="186"/>
        <v>8.8835287113383076E-3</v>
      </c>
      <c r="AH185" s="42"/>
      <c r="AI185" s="97">
        <f t="shared" si="174"/>
        <v>7.7587811584021865E-2</v>
      </c>
      <c r="AJ185" s="365">
        <v>213547</v>
      </c>
      <c r="AK185" s="43">
        <f>AJ185*'KiGa - PS'!$L186</f>
        <v>47322.492373695022</v>
      </c>
      <c r="AL185" s="365">
        <v>0</v>
      </c>
      <c r="AM185" s="43">
        <f>AL185*'KiGa - PS'!$L186</f>
        <v>0</v>
      </c>
      <c r="AN185" s="97">
        <f>(AK185+AM185)/Funktional!E185</f>
        <v>0.39920024234627238</v>
      </c>
    </row>
    <row r="186" spans="1:40" x14ac:dyDescent="0.25">
      <c r="A186" t="str">
        <f>Funktional!A186</f>
        <v>Hohentannen</v>
      </c>
      <c r="B186" t="str">
        <f>Funktional!B186</f>
        <v>KiGa</v>
      </c>
      <c r="C186" s="43">
        <f>Funktional!D186</f>
        <v>11</v>
      </c>
      <c r="D186" s="43">
        <f>Funktional!J186-'KiGa - PS'!H187</f>
        <v>263782.89999999997</v>
      </c>
      <c r="E186" s="43">
        <f>'KiGa - PS'!C187+'KiGa - PS'!J187*Artengliederung!D186</f>
        <v>174474.91375426669</v>
      </c>
      <c r="F186" s="365">
        <v>365296.4</v>
      </c>
      <c r="G186" s="43">
        <f>F186*'KiGa - PS'!L187</f>
        <v>102295.31948137694</v>
      </c>
      <c r="H186" s="42">
        <f t="shared" si="175"/>
        <v>0.58630388335053907</v>
      </c>
      <c r="I186" s="85">
        <f t="shared" si="176"/>
        <v>9299.5744983069944</v>
      </c>
      <c r="J186" s="365">
        <v>115997.5</v>
      </c>
      <c r="K186" s="43">
        <f>J186*'KiGa - PS'!L187</f>
        <v>32483.21451167058</v>
      </c>
      <c r="L186" s="42">
        <f t="shared" si="177"/>
        <v>0.18617699136633745</v>
      </c>
      <c r="M186" s="43">
        <f t="shared" si="178"/>
        <v>2953.0195010609618</v>
      </c>
      <c r="N186" s="365">
        <v>29878</v>
      </c>
      <c r="O186" s="43">
        <f>N186*'KiGa - PS'!L187</f>
        <v>8366.8482784516345</v>
      </c>
      <c r="P186" s="42">
        <f t="shared" si="179"/>
        <v>4.7954448570386686E-2</v>
      </c>
      <c r="Q186" s="43">
        <f>O186/Funktional!C186</f>
        <v>8366.8482784516345</v>
      </c>
      <c r="R186" s="85">
        <f t="shared" si="180"/>
        <v>760.62257076833043</v>
      </c>
      <c r="S186" s="365">
        <v>16069.15</v>
      </c>
      <c r="T186" s="365">
        <v>29767.9</v>
      </c>
      <c r="U186" s="43">
        <f>T186*'KiGa - PS'!L187</f>
        <v>8336.0165629600524</v>
      </c>
      <c r="V186" s="42">
        <f t="shared" si="181"/>
        <v>4.777773711755854E-2</v>
      </c>
      <c r="W186" s="43">
        <f t="shared" si="182"/>
        <v>757.81968754182299</v>
      </c>
      <c r="X186" s="365">
        <v>25975.15</v>
      </c>
      <c r="Y186" s="43">
        <f>X186*'KiGa - PS'!L187</f>
        <v>7273.9185708555797</v>
      </c>
      <c r="Z186" s="91">
        <f t="shared" si="183"/>
        <v>4.1690340544316216E-2</v>
      </c>
      <c r="AA186" s="365">
        <v>44212.15</v>
      </c>
      <c r="AB186" s="43">
        <f>AA186*'KiGa - PS'!L187</f>
        <v>12380.894006096307</v>
      </c>
      <c r="AC186" s="43">
        <f t="shared" si="184"/>
        <v>1125.535818736028</v>
      </c>
      <c r="AD186" s="42">
        <f t="shared" si="185"/>
        <v>7.0960883371083139E-2</v>
      </c>
      <c r="AE186" s="365">
        <v>24672.05</v>
      </c>
      <c r="AF186" s="43">
        <f>AE186*'KiGa - PS'!L187</f>
        <v>6909.0065957685474</v>
      </c>
      <c r="AG186" s="42">
        <f t="shared" si="186"/>
        <v>3.9598853767019507E-2</v>
      </c>
      <c r="AH186" s="42"/>
      <c r="AI186" s="97">
        <f t="shared" si="174"/>
        <v>0.10878050479448181</v>
      </c>
      <c r="AJ186" s="365">
        <v>183377</v>
      </c>
      <c r="AK186" s="43">
        <f>AJ186*'KiGa - PS'!$L187</f>
        <v>51351.748335150463</v>
      </c>
      <c r="AL186" s="365">
        <v>112655</v>
      </c>
      <c r="AM186" s="43">
        <f>AL186*'KiGa - PS'!$L187</f>
        <v>31547.201713935636</v>
      </c>
      <c r="AN186" s="97">
        <f>(AK186+AM186)/Funktional!E186</f>
        <v>0.51680472531917532</v>
      </c>
    </row>
    <row r="187" spans="1:40" x14ac:dyDescent="0.25">
      <c r="A187" t="str">
        <f>Funktional!A187</f>
        <v>Homburg-Hörstetten</v>
      </c>
      <c r="B187" t="str">
        <f>Funktional!B187</f>
        <v>KiGa</v>
      </c>
      <c r="C187" s="43">
        <f>Funktional!D187</f>
        <v>26</v>
      </c>
      <c r="D187" s="43">
        <f>Funktional!J187-'KiGa - PS'!H188</f>
        <v>599002.5</v>
      </c>
      <c r="E187" s="43">
        <f>'KiGa - PS'!C188+'KiGa - PS'!J188*Artengliederung!D187</f>
        <v>162672.37476809946</v>
      </c>
      <c r="F187" s="365">
        <v>648691.19999999995</v>
      </c>
      <c r="G187" s="43">
        <f>F187*'KiGa - PS'!L188</f>
        <v>89535.174794976905</v>
      </c>
      <c r="H187" s="42">
        <f t="shared" si="175"/>
        <v>0.55040184249240465</v>
      </c>
      <c r="I187" s="85">
        <f t="shared" si="176"/>
        <v>3443.6605690375732</v>
      </c>
      <c r="J187" s="365">
        <v>166473.04999999999</v>
      </c>
      <c r="K187" s="43">
        <f>J187*'KiGa - PS'!L188</f>
        <v>22977.332867168432</v>
      </c>
      <c r="L187" s="42">
        <f t="shared" si="177"/>
        <v>0.14124913895136887</v>
      </c>
      <c r="M187" s="43">
        <f t="shared" si="178"/>
        <v>883.74357181417042</v>
      </c>
      <c r="N187" s="365">
        <v>25065.25</v>
      </c>
      <c r="O187" s="43">
        <f>N187*'KiGa - PS'!L188</f>
        <v>3459.6145901621526</v>
      </c>
      <c r="P187" s="42">
        <f t="shared" si="179"/>
        <v>2.1267376191526487E-2</v>
      </c>
      <c r="Q187" s="43">
        <f>O187/Funktional!C187</f>
        <v>3459.6145901621526</v>
      </c>
      <c r="R187" s="85">
        <f t="shared" si="180"/>
        <v>133.06209962162126</v>
      </c>
      <c r="S187" s="365">
        <v>42330.400000000001</v>
      </c>
      <c r="T187" s="365">
        <v>104243.95</v>
      </c>
      <c r="U187" s="43">
        <f>T187*'KiGa - PS'!L188</f>
        <v>14388.202405965787</v>
      </c>
      <c r="V187" s="42">
        <f t="shared" si="181"/>
        <v>8.844896022743351E-2</v>
      </c>
      <c r="W187" s="43">
        <f t="shared" si="182"/>
        <v>553.3924002294533</v>
      </c>
      <c r="X187" s="365">
        <v>94400</v>
      </c>
      <c r="Y187" s="43">
        <f>X187*'KiGa - PS'!L188</f>
        <v>13029.497703446294</v>
      </c>
      <c r="Z187" s="91">
        <f t="shared" si="183"/>
        <v>8.0096560476360712E-2</v>
      </c>
      <c r="AA187" s="365">
        <v>213233.85</v>
      </c>
      <c r="AB187" s="43">
        <f>AA187*'KiGa - PS'!L188</f>
        <v>29431.461428728937</v>
      </c>
      <c r="AC187" s="43">
        <f t="shared" si="184"/>
        <v>1131.9792857203438</v>
      </c>
      <c r="AD187" s="42">
        <f t="shared" si="185"/>
        <v>0.18092476654801093</v>
      </c>
      <c r="AE187" s="365">
        <v>136213</v>
      </c>
      <c r="AF187" s="43">
        <f>AE187*'KiGa - PS'!L188</f>
        <v>18800.709435164514</v>
      </c>
      <c r="AG187" s="42">
        <f t="shared" si="186"/>
        <v>0.1155740761882047</v>
      </c>
      <c r="AH187" s="42"/>
      <c r="AI187" s="97">
        <f t="shared" si="174"/>
        <v>3.8975291780782045E-2</v>
      </c>
      <c r="AJ187" s="365">
        <v>97566</v>
      </c>
      <c r="AK187" s="43">
        <f>AJ187*'KiGa - PS'!$L188</f>
        <v>13466.482764136028</v>
      </c>
      <c r="AL187" s="365">
        <v>474854</v>
      </c>
      <c r="AM187" s="43">
        <f>AL187*'KiGa - PS'!$L188</f>
        <v>65541.4099838166</v>
      </c>
      <c r="AN187" s="97">
        <f>(AK187+AM187)/Funktional!E187</f>
        <v>0.50043342717297923</v>
      </c>
    </row>
    <row r="188" spans="1:40" x14ac:dyDescent="0.25">
      <c r="A188" t="str">
        <f>Funktional!A188</f>
        <v>Hugelshofen-Lippoldswilen</v>
      </c>
      <c r="B188" t="str">
        <f>Funktional!B188</f>
        <v>KiGa</v>
      </c>
      <c r="C188" s="43">
        <f>Funktional!D188</f>
        <v>18</v>
      </c>
      <c r="D188" s="43">
        <f>Funktional!J188-'KiGa - PS'!H189</f>
        <v>416282.70000000007</v>
      </c>
      <c r="E188" s="43">
        <f>'KiGa - PS'!C189+'KiGa - PS'!J189*Artengliederung!D188</f>
        <v>230336.27958872024</v>
      </c>
      <c r="F188" s="365">
        <v>600561.6</v>
      </c>
      <c r="G188" s="43">
        <f>F188*'KiGa - PS'!L189</f>
        <v>149452.53808531837</v>
      </c>
      <c r="H188" s="42">
        <f t="shared" si="175"/>
        <v>0.64884497723144263</v>
      </c>
      <c r="I188" s="85">
        <f t="shared" si="176"/>
        <v>8302.9187825176869</v>
      </c>
      <c r="J188" s="365">
        <v>164714.54999999999</v>
      </c>
      <c r="K188" s="43">
        <f>J188*'KiGa - PS'!L189</f>
        <v>40989.979307836329</v>
      </c>
      <c r="L188" s="42">
        <f t="shared" si="177"/>
        <v>0.17795711288307031</v>
      </c>
      <c r="M188" s="43">
        <f t="shared" si="178"/>
        <v>2277.221072657574</v>
      </c>
      <c r="N188" s="365">
        <v>26073.9</v>
      </c>
      <c r="O188" s="43">
        <f>N188*'KiGa - PS'!L189</f>
        <v>6488.6108815195366</v>
      </c>
      <c r="P188" s="42">
        <f t="shared" si="179"/>
        <v>2.8170164479105746E-2</v>
      </c>
      <c r="Q188" s="43">
        <f>O188/Funktional!C188</f>
        <v>6488.6108815195366</v>
      </c>
      <c r="R188" s="85">
        <f t="shared" si="180"/>
        <v>360.47838230664092</v>
      </c>
      <c r="S188" s="365">
        <v>19487.900000000001</v>
      </c>
      <c r="T188" s="365">
        <v>49391.85</v>
      </c>
      <c r="U188" s="43">
        <f>T188*'KiGa - PS'!L189</f>
        <v>12291.39083023179</v>
      </c>
      <c r="V188" s="42">
        <f t="shared" si="181"/>
        <v>5.3362808725480992E-2</v>
      </c>
      <c r="W188" s="43">
        <f t="shared" si="182"/>
        <v>682.85504612398836</v>
      </c>
      <c r="X188" s="365">
        <v>46962.5</v>
      </c>
      <c r="Y188" s="43">
        <f>X188*'KiGa - PS'!L189</f>
        <v>11686.835821390785</v>
      </c>
      <c r="Z188" s="91">
        <f t="shared" si="183"/>
        <v>5.0738146167240164E-2</v>
      </c>
      <c r="AA188" s="365">
        <v>52352.55</v>
      </c>
      <c r="AB188" s="43">
        <f>AA188*'KiGa - PS'!L189</f>
        <v>13028.174749665206</v>
      </c>
      <c r="AC188" s="43">
        <f t="shared" si="184"/>
        <v>723.78748609251147</v>
      </c>
      <c r="AD188" s="42">
        <f t="shared" si="185"/>
        <v>5.6561540252919873E-2</v>
      </c>
      <c r="AE188" s="365">
        <v>47245</v>
      </c>
      <c r="AF188" s="43">
        <f>AE188*'KiGa - PS'!L189</f>
        <v>11757.137255929894</v>
      </c>
      <c r="AG188" s="42">
        <f t="shared" si="186"/>
        <v>5.104335833210033E-2</v>
      </c>
      <c r="AH188" s="42"/>
      <c r="AI188" s="97">
        <f t="shared" si="174"/>
        <v>6.327356090708619E-2</v>
      </c>
      <c r="AJ188" s="365">
        <v>328238</v>
      </c>
      <c r="AK188" s="43">
        <f>AJ188*'KiGa - PS'!$L189</f>
        <v>81683.547859284939</v>
      </c>
      <c r="AL188" s="365">
        <v>228157</v>
      </c>
      <c r="AM188" s="43">
        <f>AL188*'KiGa - PS'!$L189</f>
        <v>56777.927080139634</v>
      </c>
      <c r="AN188" s="97">
        <f>(AK188+AM188)/Funktional!E188</f>
        <v>0.63787805276229825</v>
      </c>
    </row>
    <row r="189" spans="1:40" x14ac:dyDescent="0.25">
      <c r="A189" t="str">
        <f>Funktional!A189</f>
        <v>Hüttlingen</v>
      </c>
      <c r="B189" t="str">
        <f>Funktional!B189</f>
        <v>KiGa</v>
      </c>
      <c r="C189" s="43">
        <f>Funktional!D189</f>
        <v>29</v>
      </c>
      <c r="D189" s="43">
        <f>Funktional!J189-'KiGa - PS'!H190</f>
        <v>387578.27</v>
      </c>
      <c r="E189" s="43">
        <f>'KiGa - PS'!C190+'KiGa - PS'!J190*Artengliederung!D189</f>
        <v>229108.05966332759</v>
      </c>
      <c r="F189" s="365">
        <v>808449.58</v>
      </c>
      <c r="G189" s="43">
        <f>F189*'KiGa - PS'!L190</f>
        <v>163094.36439884544</v>
      </c>
      <c r="H189" s="42">
        <f t="shared" si="175"/>
        <v>0.71186655169840496</v>
      </c>
      <c r="I189" s="85">
        <f t="shared" si="176"/>
        <v>5623.9435999601874</v>
      </c>
      <c r="J189" s="365">
        <v>154555.37</v>
      </c>
      <c r="K189" s="43">
        <f>J189*'KiGa - PS'!L190</f>
        <v>31179.569460074908</v>
      </c>
      <c r="L189" s="42">
        <f t="shared" si="177"/>
        <v>0.13609110699070573</v>
      </c>
      <c r="M189" s="43">
        <f t="shared" si="178"/>
        <v>1075.15756758879</v>
      </c>
      <c r="N189" s="365">
        <v>26775.45</v>
      </c>
      <c r="O189" s="43">
        <f>N189*'KiGa - PS'!L190</f>
        <v>5401.6046359292641</v>
      </c>
      <c r="P189" s="42">
        <f t="shared" si="179"/>
        <v>2.3576667900146672E-2</v>
      </c>
      <c r="Q189" s="43">
        <f>O189/Funktional!C189</f>
        <v>2700.802317964632</v>
      </c>
      <c r="R189" s="85">
        <f t="shared" si="180"/>
        <v>186.26222882514705</v>
      </c>
      <c r="S189" s="365">
        <v>5743.65</v>
      </c>
      <c r="T189" s="365">
        <v>11745.85</v>
      </c>
      <c r="U189" s="43">
        <f>T189*'KiGa - PS'!L190</f>
        <v>2369.5750328352933</v>
      </c>
      <c r="V189" s="42">
        <f t="shared" si="181"/>
        <v>1.0342608794807849E-2</v>
      </c>
      <c r="W189" s="43">
        <f t="shared" si="182"/>
        <v>81.709483890872178</v>
      </c>
      <c r="X189" s="365">
        <v>11745.85</v>
      </c>
      <c r="Y189" s="43">
        <f>X189*'KiGa - PS'!L190</f>
        <v>2369.5750328352933</v>
      </c>
      <c r="Z189" s="91">
        <f t="shared" si="183"/>
        <v>1.0342608794807849E-2</v>
      </c>
      <c r="AA189" s="365">
        <v>101174.25</v>
      </c>
      <c r="AB189" s="43">
        <f>AA189*'KiGa - PS'!L190</f>
        <v>20410.611132088026</v>
      </c>
      <c r="AC189" s="43">
        <f t="shared" si="184"/>
        <v>703.8141769685526</v>
      </c>
      <c r="AD189" s="42">
        <f t="shared" si="185"/>
        <v>8.9087268086863694E-2</v>
      </c>
      <c r="AE189" s="365">
        <v>89161</v>
      </c>
      <c r="AF189" s="43">
        <f>AE189*'KiGa - PS'!L190</f>
        <v>17987.091568735133</v>
      </c>
      <c r="AG189" s="42">
        <f t="shared" si="186"/>
        <v>7.8509204762010634E-2</v>
      </c>
      <c r="AH189" s="42"/>
      <c r="AI189" s="97">
        <f t="shared" si="174"/>
        <v>5.2612464429217756E-2</v>
      </c>
      <c r="AJ189" s="365">
        <v>0</v>
      </c>
      <c r="AK189" s="43">
        <f>AJ189*'KiGa - PS'!$L190</f>
        <v>0</v>
      </c>
      <c r="AL189" s="365">
        <v>0</v>
      </c>
      <c r="AM189" s="43">
        <f>AL189*'KiGa - PS'!$L190</f>
        <v>0</v>
      </c>
      <c r="AN189" s="97">
        <f>(AK189+AM189)/Funktional!E189</f>
        <v>0</v>
      </c>
    </row>
    <row r="190" spans="1:40" x14ac:dyDescent="0.25">
      <c r="A190" t="str">
        <f>Funktional!A190</f>
        <v>Hüttwilen</v>
      </c>
      <c r="B190" t="str">
        <f>Funktional!B190</f>
        <v>KiGa</v>
      </c>
      <c r="C190" s="43">
        <f>Funktional!D190</f>
        <v>25</v>
      </c>
      <c r="D190" s="43">
        <f>Funktional!J190-'KiGa - PS'!H191</f>
        <v>637782.75</v>
      </c>
      <c r="E190" s="43">
        <f>'KiGa - PS'!C191+'KiGa - PS'!J191*Artengliederung!D190</f>
        <v>142132.88524780195</v>
      </c>
      <c r="F190" s="365">
        <v>879463.05</v>
      </c>
      <c r="G190" s="43">
        <f>F190*'KiGa - PS'!L191</f>
        <v>99500.787736128666</v>
      </c>
      <c r="H190" s="42">
        <f t="shared" si="175"/>
        <v>0.70005465352127172</v>
      </c>
      <c r="I190" s="85">
        <f t="shared" si="176"/>
        <v>3980.0315094451466</v>
      </c>
      <c r="J190" s="365">
        <v>100103.3</v>
      </c>
      <c r="K190" s="43">
        <f>J190*'KiGa - PS'!L191</f>
        <v>11325.49821733387</v>
      </c>
      <c r="L190" s="42">
        <f t="shared" si="177"/>
        <v>7.968246192700866E-2</v>
      </c>
      <c r="M190" s="43">
        <f t="shared" si="178"/>
        <v>453.01992869335481</v>
      </c>
      <c r="N190" s="365">
        <v>26972.5</v>
      </c>
      <c r="O190" s="43">
        <f>N190*'KiGa - PS'!L191</f>
        <v>3051.6176856011521</v>
      </c>
      <c r="P190" s="42">
        <f t="shared" si="179"/>
        <v>2.1470173354187536E-2</v>
      </c>
      <c r="Q190" s="43">
        <f>O190/Funktional!C190</f>
        <v>3051.6176856011521</v>
      </c>
      <c r="R190" s="85">
        <f t="shared" si="180"/>
        <v>122.06470742404608</v>
      </c>
      <c r="S190" s="365">
        <v>7340.2</v>
      </c>
      <c r="T190" s="365">
        <v>69543.8</v>
      </c>
      <c r="U190" s="43">
        <f>T190*'KiGa - PS'!L191</f>
        <v>7868.054129350613</v>
      </c>
      <c r="V190" s="42">
        <f t="shared" si="181"/>
        <v>5.5357028147518667E-2</v>
      </c>
      <c r="W190" s="43">
        <f t="shared" si="182"/>
        <v>314.7221651740245</v>
      </c>
      <c r="X190" s="365">
        <v>69543.8</v>
      </c>
      <c r="Y190" s="43">
        <f>X190*'KiGa - PS'!L191</f>
        <v>7868.054129350613</v>
      </c>
      <c r="Z190" s="91">
        <f t="shared" si="183"/>
        <v>5.5357028147518667E-2</v>
      </c>
      <c r="AA190" s="365">
        <v>121619.05</v>
      </c>
      <c r="AB190" s="43">
        <f>AA190*'KiGa - PS'!L191</f>
        <v>13759.749518435843</v>
      </c>
      <c r="AC190" s="43">
        <f t="shared" si="184"/>
        <v>550.38998073743369</v>
      </c>
      <c r="AD190" s="42">
        <f t="shared" si="185"/>
        <v>9.6809049464143163E-2</v>
      </c>
      <c r="AE190" s="365">
        <v>123000</v>
      </c>
      <c r="AF190" s="43">
        <f>AE190*'KiGa - PS'!L191</f>
        <v>13915.987592137981</v>
      </c>
      <c r="AG190" s="42">
        <f t="shared" si="186"/>
        <v>9.7908288907778904E-2</v>
      </c>
      <c r="AH190" s="42"/>
      <c r="AI190" s="97">
        <f t="shared" si="174"/>
        <v>6.8096806940057777E-2</v>
      </c>
      <c r="AJ190" s="365">
        <v>87194</v>
      </c>
      <c r="AK190" s="43">
        <f>AJ190*'KiGa - PS'!$L191</f>
        <v>9864.9644073892614</v>
      </c>
      <c r="AL190" s="365">
        <v>0</v>
      </c>
      <c r="AM190" s="43">
        <f>AL190*'KiGa - PS'!$L191</f>
        <v>0</v>
      </c>
      <c r="AN190" s="97">
        <f>(AK190+AM190)/Funktional!E190</f>
        <v>7.3049572069283239E-2</v>
      </c>
    </row>
    <row r="191" spans="1:40" x14ac:dyDescent="0.25">
      <c r="A191" t="str">
        <f>Funktional!A191</f>
        <v>Illighausen</v>
      </c>
      <c r="B191" t="str">
        <f>Funktional!B191</f>
        <v>KiGa</v>
      </c>
      <c r="C191" s="43">
        <f>Funktional!D191</f>
        <v>0</v>
      </c>
      <c r="D191" s="43">
        <f>Funktional!J191-'KiGa - PS'!H192</f>
        <v>-246445.64</v>
      </c>
      <c r="E191" s="43">
        <f>'KiGa - PS'!C192+'KiGa - PS'!J192*Artengliederung!D191</f>
        <v>0</v>
      </c>
      <c r="F191" s="365">
        <v>181057.25</v>
      </c>
      <c r="G191" s="43">
        <f>F191*'KiGa - PS'!L192</f>
        <v>0</v>
      </c>
      <c r="H191" s="42"/>
      <c r="I191" s="85"/>
      <c r="J191" s="365">
        <v>72153.289999999994</v>
      </c>
      <c r="K191" s="43">
        <f>J191*'KiGa - PS'!L192</f>
        <v>0</v>
      </c>
      <c r="L191" s="42"/>
      <c r="M191" s="43"/>
      <c r="N191" s="365">
        <v>14614.44</v>
      </c>
      <c r="O191" s="43">
        <f>N191*'KiGa - PS'!L192</f>
        <v>0</v>
      </c>
      <c r="P191" s="42"/>
      <c r="Q191" s="43"/>
      <c r="R191" s="85"/>
      <c r="S191" s="365">
        <v>1179.1500000000001</v>
      </c>
      <c r="T191" s="365">
        <v>69978.55</v>
      </c>
      <c r="U191" s="43">
        <f>T191*'KiGa - PS'!L192</f>
        <v>0</v>
      </c>
      <c r="V191" s="42"/>
      <c r="W191" s="43"/>
      <c r="X191" s="365">
        <v>11633.3</v>
      </c>
      <c r="Y191" s="43">
        <f>X191*'KiGa - PS'!L192</f>
        <v>0</v>
      </c>
      <c r="Z191" s="91"/>
      <c r="AA191" s="365">
        <v>97927.3</v>
      </c>
      <c r="AB191" s="43">
        <f>AA191*'KiGa - PS'!L192</f>
        <v>0</v>
      </c>
      <c r="AC191" s="43"/>
      <c r="AD191" s="42"/>
      <c r="AE191" s="365">
        <v>97770</v>
      </c>
      <c r="AF191" s="43">
        <f>AE191*'KiGa - PS'!L192</f>
        <v>0</v>
      </c>
      <c r="AG191" s="42"/>
      <c r="AH191" s="42"/>
      <c r="AI191" s="97"/>
      <c r="AJ191" s="365">
        <v>0</v>
      </c>
      <c r="AK191" s="43">
        <f>AJ191*'KiGa - PS'!$L192</f>
        <v>0</v>
      </c>
      <c r="AL191" s="365">
        <v>0</v>
      </c>
      <c r="AM191" s="43">
        <f>AL191*'KiGa - PS'!$L192</f>
        <v>0</v>
      </c>
      <c r="AN191" s="97"/>
    </row>
    <row r="192" spans="1:40" x14ac:dyDescent="0.25">
      <c r="A192" t="str">
        <f>Funktional!A192</f>
        <v>Istighofen</v>
      </c>
      <c r="B192" t="str">
        <f>Funktional!B192</f>
        <v>KiGa</v>
      </c>
      <c r="C192" s="43">
        <f>Funktional!D192</f>
        <v>23</v>
      </c>
      <c r="D192" s="43">
        <f>Funktional!J192-'KiGa - PS'!H193</f>
        <v>326585.54999999993</v>
      </c>
      <c r="E192" s="43">
        <f>'KiGa - PS'!C193+'KiGa - PS'!J193*Artengliederung!D192</f>
        <v>177935.234551047</v>
      </c>
      <c r="F192" s="365">
        <v>561301.38</v>
      </c>
      <c r="G192" s="43">
        <f>F192*'KiGa - PS'!L193</f>
        <v>111743.33434545519</v>
      </c>
      <c r="H192" s="42">
        <f t="shared" si="175"/>
        <v>0.62800003960653261</v>
      </c>
      <c r="I192" s="85">
        <f t="shared" si="176"/>
        <v>4858.4058411067472</v>
      </c>
      <c r="J192" s="365">
        <v>155711.42000000001</v>
      </c>
      <c r="K192" s="43">
        <f>J192*'KiGa - PS'!L193</f>
        <v>30998.878474992525</v>
      </c>
      <c r="L192" s="42">
        <f t="shared" si="177"/>
        <v>0.17421439072034609</v>
      </c>
      <c r="M192" s="43">
        <f t="shared" si="178"/>
        <v>1347.7773249996751</v>
      </c>
      <c r="N192" s="365">
        <v>18883.05</v>
      </c>
      <c r="O192" s="43">
        <f>N192*'KiGa - PS'!L193</f>
        <v>3759.2192800451471</v>
      </c>
      <c r="P192" s="42">
        <f t="shared" si="179"/>
        <v>2.1126896477418486E-2</v>
      </c>
      <c r="Q192" s="43">
        <f>O192/Funktional!C192</f>
        <v>3759.2192800451471</v>
      </c>
      <c r="R192" s="85">
        <f t="shared" si="180"/>
        <v>163.44431652370204</v>
      </c>
      <c r="S192" s="365">
        <v>9462.5</v>
      </c>
      <c r="T192" s="365">
        <v>75998.95</v>
      </c>
      <c r="U192" s="43">
        <f>T192*'KiGa - PS'!L193</f>
        <v>15129.797257497446</v>
      </c>
      <c r="V192" s="42">
        <f t="shared" si="181"/>
        <v>8.5029799160755482E-2</v>
      </c>
      <c r="W192" s="43">
        <f t="shared" si="182"/>
        <v>657.81727206510641</v>
      </c>
      <c r="X192" s="365">
        <v>75609.95</v>
      </c>
      <c r="Y192" s="43">
        <f>X192*'KiGa - PS'!L193</f>
        <v>15052.35551477381</v>
      </c>
      <c r="Z192" s="91">
        <f t="shared" si="183"/>
        <v>8.4594574833662353E-2</v>
      </c>
      <c r="AA192" s="365">
        <v>61644.6</v>
      </c>
      <c r="AB192" s="43">
        <f>AA192*'KiGa - PS'!L193</f>
        <v>12272.147181237728</v>
      </c>
      <c r="AC192" s="43">
        <f t="shared" si="184"/>
        <v>533.57161657555332</v>
      </c>
      <c r="AD192" s="42">
        <f t="shared" si="185"/>
        <v>6.8969741783868152E-2</v>
      </c>
      <c r="AE192" s="365">
        <v>53000</v>
      </c>
      <c r="AF192" s="43">
        <f>AE192*'KiGa - PS'!L193</f>
        <v>10551.188597307788</v>
      </c>
      <c r="AG192" s="42">
        <f t="shared" si="186"/>
        <v>5.9297916030682539E-2</v>
      </c>
      <c r="AH192" s="42"/>
      <c r="AI192" s="97">
        <f t="shared" ref="AI192:AI206" si="187">1-H192-L192-V192-AD192</f>
        <v>4.378602872849767E-2</v>
      </c>
      <c r="AJ192" s="365">
        <v>154962</v>
      </c>
      <c r="AK192" s="43">
        <f>AJ192*'KiGa - PS'!$L193</f>
        <v>30849.68466822659</v>
      </c>
      <c r="AL192" s="365">
        <v>6657</v>
      </c>
      <c r="AM192" s="43">
        <f>AL192*'KiGa - PS'!$L193</f>
        <v>1325.2691036278857</v>
      </c>
      <c r="AN192" s="97">
        <f>(AK192+AM192)/Funktional!E192</f>
        <v>0.18780591494682064</v>
      </c>
    </row>
    <row r="193" spans="1:40" x14ac:dyDescent="0.25">
      <c r="A193" t="str">
        <f>Funktional!A193</f>
        <v>Kaltenbach</v>
      </c>
      <c r="B193" t="str">
        <f>Funktional!B193</f>
        <v>KiGa</v>
      </c>
      <c r="C193" s="43">
        <f>Funktional!D193</f>
        <v>21</v>
      </c>
      <c r="D193" s="43">
        <f>Funktional!J193-'KiGa - PS'!H194</f>
        <v>275245.80000000005</v>
      </c>
      <c r="E193" s="43">
        <f>'KiGa - PS'!C194+'KiGa - PS'!J194*Artengliederung!D193</f>
        <v>154542.29352184938</v>
      </c>
      <c r="F193" s="365">
        <v>639074.75</v>
      </c>
      <c r="G193" s="43">
        <f>F193*'KiGa - PS'!L194</f>
        <v>118172.45585919025</v>
      </c>
      <c r="H193" s="42">
        <f t="shared" si="175"/>
        <v>0.76466094275016616</v>
      </c>
      <c r="I193" s="85">
        <f t="shared" si="176"/>
        <v>5627.259802818583</v>
      </c>
      <c r="J193" s="365">
        <v>115365.25</v>
      </c>
      <c r="K193" s="43">
        <f>J193*'KiGa - PS'!L194</f>
        <v>21332.394861961682</v>
      </c>
      <c r="L193" s="42">
        <f t="shared" si="177"/>
        <v>0.13803596656824355</v>
      </c>
      <c r="M193" s="43">
        <f t="shared" si="178"/>
        <v>1015.8283267600801</v>
      </c>
      <c r="N193" s="365">
        <v>27374.65</v>
      </c>
      <c r="O193" s="43">
        <f>N193*'KiGa - PS'!L194</f>
        <v>5061.8955275353665</v>
      </c>
      <c r="P193" s="42">
        <f t="shared" si="179"/>
        <v>3.2754111590945878E-2</v>
      </c>
      <c r="Q193" s="43">
        <f>O193/Funktional!C193</f>
        <v>5061.8955275353665</v>
      </c>
      <c r="R193" s="85">
        <f t="shared" si="180"/>
        <v>241.04264416835079</v>
      </c>
      <c r="S193" s="365">
        <v>6577.05</v>
      </c>
      <c r="T193" s="365">
        <v>8225.7999999999993</v>
      </c>
      <c r="U193" s="43">
        <f>T193*'KiGa - PS'!L194</f>
        <v>1521.0474008033129</v>
      </c>
      <c r="V193" s="42">
        <f t="shared" si="181"/>
        <v>9.8422727276806284E-3</v>
      </c>
      <c r="W193" s="43">
        <f t="shared" si="182"/>
        <v>72.430828609681569</v>
      </c>
      <c r="X193" s="365">
        <v>8192.2000000000007</v>
      </c>
      <c r="Y193" s="43">
        <f>X193*'KiGa - PS'!L194</f>
        <v>1514.8343646649446</v>
      </c>
      <c r="Z193" s="91">
        <f t="shared" si="183"/>
        <v>9.8020699068425265E-3</v>
      </c>
      <c r="AA193" s="365">
        <v>24274.95</v>
      </c>
      <c r="AB193" s="43">
        <f>AA193*'KiGa - PS'!L194</f>
        <v>4488.7244525918923</v>
      </c>
      <c r="AC193" s="43">
        <f t="shared" si="184"/>
        <v>213.74878345675677</v>
      </c>
      <c r="AD193" s="42">
        <f t="shared" si="185"/>
        <v>2.9045281717378361E-2</v>
      </c>
      <c r="AE193" s="365">
        <v>12081.55</v>
      </c>
      <c r="AF193" s="43">
        <f>AE193*'KiGa - PS'!L194</f>
        <v>2234.021034449569</v>
      </c>
      <c r="AG193" s="42">
        <f t="shared" si="186"/>
        <v>1.445572589573171E-2</v>
      </c>
      <c r="AH193" s="42"/>
      <c r="AI193" s="97">
        <f t="shared" si="187"/>
        <v>5.8415536236531312E-2</v>
      </c>
      <c r="AJ193" s="365">
        <v>134293.65</v>
      </c>
      <c r="AK193" s="43">
        <f>AJ193*'KiGa - PS'!$L194</f>
        <v>24832.479184625183</v>
      </c>
      <c r="AL193" s="365">
        <v>0</v>
      </c>
      <c r="AM193" s="43">
        <f>AL193*'KiGa - PS'!$L194</f>
        <v>0</v>
      </c>
      <c r="AN193" s="97">
        <f>(AK193+AM193)/Funktional!E193</f>
        <v>0.17941933523796702</v>
      </c>
    </row>
    <row r="194" spans="1:40" x14ac:dyDescent="0.25">
      <c r="A194" t="str">
        <f>Funktional!A194</f>
        <v>Kesswil</v>
      </c>
      <c r="B194" t="str">
        <f>Funktional!B194</f>
        <v>KiGa</v>
      </c>
      <c r="C194" s="43">
        <f>Funktional!D194</f>
        <v>18</v>
      </c>
      <c r="D194" s="43">
        <f>Funktional!J194-'KiGa - PS'!H195</f>
        <v>545803.72</v>
      </c>
      <c r="E194" s="43">
        <f>'KiGa - PS'!C195+'KiGa - PS'!J195*Artengliederung!D194</f>
        <v>173193.56538654084</v>
      </c>
      <c r="F194" s="365">
        <v>780475.85</v>
      </c>
      <c r="G194" s="43">
        <f>F194*'KiGa - PS'!L195</f>
        <v>104449.37211763332</v>
      </c>
      <c r="H194" s="42">
        <f t="shared" si="175"/>
        <v>0.60307882619379494</v>
      </c>
      <c r="I194" s="85">
        <f t="shared" si="176"/>
        <v>5802.7428954240731</v>
      </c>
      <c r="J194" s="365">
        <v>153447.18</v>
      </c>
      <c r="K194" s="43">
        <f>J194*'KiGa - PS'!L195</f>
        <v>20535.499726508464</v>
      </c>
      <c r="L194" s="42">
        <f t="shared" si="177"/>
        <v>0.11856964593734445</v>
      </c>
      <c r="M194" s="43">
        <f t="shared" si="178"/>
        <v>1140.8610959171369</v>
      </c>
      <c r="N194" s="365">
        <v>35445.75</v>
      </c>
      <c r="O194" s="43">
        <f>N194*'KiGa - PS'!L195</f>
        <v>4743.6270215646027</v>
      </c>
      <c r="P194" s="42">
        <f t="shared" si="179"/>
        <v>2.7389164320149956E-2</v>
      </c>
      <c r="Q194" s="43">
        <f>O194/Funktional!C194</f>
        <v>4743.6270215646027</v>
      </c>
      <c r="R194" s="85">
        <f t="shared" si="180"/>
        <v>263.53483453136681</v>
      </c>
      <c r="S194" s="365">
        <v>8352.65</v>
      </c>
      <c r="T194" s="365">
        <v>90941.9</v>
      </c>
      <c r="U194" s="43">
        <f>T194*'KiGa - PS'!L195</f>
        <v>12170.555122473805</v>
      </c>
      <c r="V194" s="42">
        <f t="shared" si="181"/>
        <v>7.027140468706812E-2</v>
      </c>
      <c r="W194" s="43">
        <f t="shared" si="182"/>
        <v>676.14195124854473</v>
      </c>
      <c r="X194" s="365">
        <v>74708.350000000006</v>
      </c>
      <c r="Y194" s="43">
        <f>X194*'KiGa - PS'!L195</f>
        <v>9998.0547116792823</v>
      </c>
      <c r="Z194" s="91">
        <f t="shared" si="183"/>
        <v>5.7727633756861546E-2</v>
      </c>
      <c r="AA194" s="365">
        <v>202885.82</v>
      </c>
      <c r="AB194" s="43">
        <f>AA194*'KiGa - PS'!L195</f>
        <v>27151.764542837776</v>
      </c>
      <c r="AC194" s="43">
        <f t="shared" si="184"/>
        <v>1508.4313634909877</v>
      </c>
      <c r="AD194" s="42">
        <f t="shared" si="185"/>
        <v>0.1567712084582317</v>
      </c>
      <c r="AE194" s="365">
        <v>74258</v>
      </c>
      <c r="AF194" s="43">
        <f>AE194*'KiGa - PS'!L195</f>
        <v>9937.7853583954147</v>
      </c>
      <c r="AG194" s="42">
        <f t="shared" si="186"/>
        <v>5.7379645347769348E-2</v>
      </c>
      <c r="AH194" s="42"/>
      <c r="AI194" s="97">
        <f t="shared" si="187"/>
        <v>5.1308914723560833E-2</v>
      </c>
      <c r="AJ194" s="365">
        <v>102723</v>
      </c>
      <c r="AK194" s="43">
        <f>AJ194*'KiGa - PS'!$L195</f>
        <v>13747.193910022517</v>
      </c>
      <c r="AL194" s="365">
        <v>248220</v>
      </c>
      <c r="AM194" s="43">
        <f>AL194*'KiGa - PS'!$L195</f>
        <v>33218.738474789381</v>
      </c>
      <c r="AN194" s="97">
        <f>(AK194+AM194)/Funktional!E194</f>
        <v>0.28326887583398286</v>
      </c>
    </row>
    <row r="195" spans="1:40" x14ac:dyDescent="0.25">
      <c r="A195" t="str">
        <f>Funktional!A195</f>
        <v>Kreuzlingen</v>
      </c>
      <c r="B195" t="str">
        <f>Funktional!B195</f>
        <v>KiGa</v>
      </c>
      <c r="C195" s="43">
        <f>Funktional!D195</f>
        <v>356</v>
      </c>
      <c r="D195" s="43">
        <f>Funktional!J195-'KiGa - PS'!H196</f>
        <v>6267297.5299999993</v>
      </c>
      <c r="E195" s="43">
        <f>'KiGa - PS'!C196+'KiGa - PS'!J196*Artengliederung!D195</f>
        <v>2339835.938745542</v>
      </c>
      <c r="F195" s="365">
        <v>10702210.35</v>
      </c>
      <c r="G195" s="43">
        <f>F195*'KiGa - PS'!L196</f>
        <v>1591408.7680332919</v>
      </c>
      <c r="H195" s="42">
        <f t="shared" si="175"/>
        <v>0.68013690262681203</v>
      </c>
      <c r="I195" s="85">
        <f t="shared" si="176"/>
        <v>4470.2493484081233</v>
      </c>
      <c r="J195" s="365">
        <v>1961930.24</v>
      </c>
      <c r="K195" s="43">
        <f>J195*'KiGa - PS'!L196</f>
        <v>291737.20980037184</v>
      </c>
      <c r="L195" s="42">
        <f t="shared" si="177"/>
        <v>0.12468276299610183</v>
      </c>
      <c r="M195" s="43">
        <f t="shared" si="178"/>
        <v>819.48654438306698</v>
      </c>
      <c r="N195" s="365">
        <v>353797.99</v>
      </c>
      <c r="O195" s="43">
        <f>N195*'KiGa - PS'!L196</f>
        <v>52609.433470774093</v>
      </c>
      <c r="P195" s="42">
        <f t="shared" si="179"/>
        <v>2.2484240283521601E-2</v>
      </c>
      <c r="Q195" s="43">
        <f>O195/Funktional!C195</f>
        <v>3507.295564718273</v>
      </c>
      <c r="R195" s="85">
        <f t="shared" si="180"/>
        <v>147.77930750217442</v>
      </c>
      <c r="S195" s="365">
        <v>117058.6</v>
      </c>
      <c r="T195" s="365">
        <v>263746.90000000002</v>
      </c>
      <c r="U195" s="43">
        <f>T195*'KiGa - PS'!L196</f>
        <v>39218.919781519704</v>
      </c>
      <c r="V195" s="42">
        <f t="shared" si="181"/>
        <v>1.6761397298028585E-2</v>
      </c>
      <c r="W195" s="43">
        <f t="shared" si="182"/>
        <v>110.16550500426884</v>
      </c>
      <c r="X195" s="365">
        <v>233713.6</v>
      </c>
      <c r="Y195" s="43">
        <f>X195*'KiGa - PS'!L196</f>
        <v>34752.995884502081</v>
      </c>
      <c r="Z195" s="91">
        <f t="shared" si="183"/>
        <v>1.4852748993647063E-2</v>
      </c>
      <c r="AA195" s="365">
        <v>435583.95</v>
      </c>
      <c r="AB195" s="43">
        <f>AA195*'KiGa - PS'!L196</f>
        <v>64770.929983129616</v>
      </c>
      <c r="AC195" s="43">
        <f t="shared" si="184"/>
        <v>181.94081455935284</v>
      </c>
      <c r="AD195" s="42">
        <f t="shared" si="185"/>
        <v>2.7681825426553328E-2</v>
      </c>
      <c r="AE195" s="365">
        <v>272610.59999999998</v>
      </c>
      <c r="AF195" s="43">
        <f>AE195*'KiGa - PS'!L196</f>
        <v>40536.943763099975</v>
      </c>
      <c r="AG195" s="42">
        <f t="shared" si="186"/>
        <v>1.7324694903538013E-2</v>
      </c>
      <c r="AH195" s="42"/>
      <c r="AI195" s="97">
        <f t="shared" si="187"/>
        <v>0.15073711165250425</v>
      </c>
      <c r="AJ195" s="365">
        <v>514197.05</v>
      </c>
      <c r="AK195" s="43">
        <f>AJ195*'KiGa - PS'!$L196</f>
        <v>76460.625151780259</v>
      </c>
      <c r="AL195" s="365">
        <v>0</v>
      </c>
      <c r="AM195" s="43">
        <f>AL195*'KiGa - PS'!$L196</f>
        <v>0</v>
      </c>
      <c r="AN195" s="97">
        <f>(AK195+AM195)/Funktional!E195</f>
        <v>3.6285903521506742E-2</v>
      </c>
    </row>
    <row r="196" spans="1:40" x14ac:dyDescent="0.25">
      <c r="A196" t="str">
        <f>Funktional!A196</f>
        <v>Landschlacht</v>
      </c>
      <c r="B196" t="str">
        <f>Funktional!B196</f>
        <v>KiGa</v>
      </c>
      <c r="C196" s="43">
        <f>Funktional!D196</f>
        <v>27</v>
      </c>
      <c r="D196" s="43">
        <f>Funktional!J196-'KiGa - PS'!H197</f>
        <v>643337.35000000009</v>
      </c>
      <c r="E196" s="43">
        <f>'KiGa - PS'!C197+'KiGa - PS'!J197*Artengliederung!D196</f>
        <v>246952.46131081294</v>
      </c>
      <c r="F196" s="365">
        <v>766816.15</v>
      </c>
      <c r="G196" s="43">
        <f>F196*'KiGa - PS'!L197</f>
        <v>139065.42582381394</v>
      </c>
      <c r="H196" s="42">
        <f t="shared" si="175"/>
        <v>0.56312630004034259</v>
      </c>
      <c r="I196" s="85">
        <f t="shared" si="176"/>
        <v>5150.5713268079235</v>
      </c>
      <c r="J196" s="365">
        <v>211124.15</v>
      </c>
      <c r="K196" s="43">
        <f>J196*'KiGa - PS'!L197</f>
        <v>38288.277863527997</v>
      </c>
      <c r="L196" s="42">
        <f t="shared" si="177"/>
        <v>0.15504311097081391</v>
      </c>
      <c r="M196" s="43">
        <f t="shared" si="178"/>
        <v>1418.0843653158518</v>
      </c>
      <c r="N196" s="365">
        <v>29026.05</v>
      </c>
      <c r="O196" s="43">
        <f>N196*'KiGa - PS'!L197</f>
        <v>5263.9997256621609</v>
      </c>
      <c r="P196" s="42">
        <f t="shared" si="179"/>
        <v>2.1315842319291248E-2</v>
      </c>
      <c r="Q196" s="43">
        <f>O196/Funktional!C196</f>
        <v>5263.9997256621609</v>
      </c>
      <c r="R196" s="85">
        <f t="shared" si="180"/>
        <v>194.96295280230225</v>
      </c>
      <c r="S196" s="365">
        <v>28222.35</v>
      </c>
      <c r="T196" s="365">
        <v>128786.75</v>
      </c>
      <c r="U196" s="43">
        <f>T196*'KiGa - PS'!L197</f>
        <v>23356.034206132812</v>
      </c>
      <c r="V196" s="42">
        <f t="shared" si="181"/>
        <v>9.4577045647409208E-2</v>
      </c>
      <c r="W196" s="43">
        <f t="shared" si="182"/>
        <v>865.0383039308449</v>
      </c>
      <c r="X196" s="365">
        <v>128786.75</v>
      </c>
      <c r="Y196" s="43">
        <f>X196*'KiGa - PS'!L197</f>
        <v>23356.034206132812</v>
      </c>
      <c r="Z196" s="91">
        <f t="shared" si="183"/>
        <v>9.4577045647409208E-2</v>
      </c>
      <c r="AA196" s="365">
        <v>212054.8</v>
      </c>
      <c r="AB196" s="43">
        <f>AA196*'KiGa - PS'!L197</f>
        <v>38457.0552667464</v>
      </c>
      <c r="AC196" s="43">
        <f t="shared" si="184"/>
        <v>1424.3353802498666</v>
      </c>
      <c r="AD196" s="42">
        <f t="shared" si="185"/>
        <v>0.15572655183357162</v>
      </c>
      <c r="AE196" s="365">
        <v>159840</v>
      </c>
      <c r="AF196" s="43">
        <f>AE196*'KiGa - PS'!L197</f>
        <v>28987.675420866421</v>
      </c>
      <c r="AG196" s="42">
        <f t="shared" si="186"/>
        <v>0.11738160157222607</v>
      </c>
      <c r="AH196" s="42"/>
      <c r="AI196" s="97">
        <f t="shared" si="187"/>
        <v>3.1526991507862673E-2</v>
      </c>
      <c r="AJ196" s="365">
        <v>53245</v>
      </c>
      <c r="AK196" s="43">
        <f>AJ196*'KiGa - PS'!$L197</f>
        <v>9656.2110722224261</v>
      </c>
      <c r="AL196" s="365">
        <v>0</v>
      </c>
      <c r="AM196" s="43">
        <f>AL196*'KiGa - PS'!$L197</f>
        <v>0</v>
      </c>
      <c r="AN196" s="97">
        <f>(AK196+AM196)/Funktional!E196</f>
        <v>3.9786497189912839E-2</v>
      </c>
    </row>
    <row r="197" spans="1:40" x14ac:dyDescent="0.25">
      <c r="A197" t="str">
        <f>Funktional!A197</f>
        <v>Lanterswil</v>
      </c>
      <c r="B197" t="str">
        <f>Funktional!B197</f>
        <v>KiGa</v>
      </c>
      <c r="C197" s="43">
        <f>Funktional!D197</f>
        <v>0</v>
      </c>
      <c r="D197" s="43">
        <f>Funktional!J197-'KiGa - PS'!H198</f>
        <v>-214732.7</v>
      </c>
      <c r="E197" s="43">
        <f>'KiGa - PS'!C198+'KiGa - PS'!J198*Artengliederung!D197</f>
        <v>0</v>
      </c>
      <c r="F197" s="365">
        <v>178390.25</v>
      </c>
      <c r="G197" s="43">
        <f>F197*'KiGa - PS'!L198</f>
        <v>0</v>
      </c>
      <c r="H197" s="42"/>
      <c r="I197" s="85"/>
      <c r="J197" s="365">
        <v>48153.15</v>
      </c>
      <c r="K197" s="43">
        <f>J197*'KiGa - PS'!L198</f>
        <v>0</v>
      </c>
      <c r="L197" s="42"/>
      <c r="M197" s="43"/>
      <c r="N197" s="365">
        <v>6009.35</v>
      </c>
      <c r="O197" s="43">
        <f>N197*'KiGa - PS'!L198</f>
        <v>0</v>
      </c>
      <c r="P197" s="42"/>
      <c r="Q197" s="43"/>
      <c r="R197" s="85"/>
      <c r="S197" s="365">
        <v>0</v>
      </c>
      <c r="T197" s="365">
        <v>17624.2</v>
      </c>
      <c r="U197" s="43">
        <f>T197*'KiGa - PS'!L198</f>
        <v>0</v>
      </c>
      <c r="V197" s="42"/>
      <c r="W197" s="43"/>
      <c r="X197" s="365">
        <v>13570.6</v>
      </c>
      <c r="Y197" s="43">
        <f>X197*'KiGa - PS'!L198</f>
        <v>0</v>
      </c>
      <c r="Z197" s="91"/>
      <c r="AA197" s="365">
        <v>13825</v>
      </c>
      <c r="AB197" s="43">
        <f>AA197*'KiGa - PS'!L198</f>
        <v>0</v>
      </c>
      <c r="AC197" s="43"/>
      <c r="AD197" s="42"/>
      <c r="AE197" s="365">
        <v>13825</v>
      </c>
      <c r="AF197" s="43">
        <f>AE197*'KiGa - PS'!L198</f>
        <v>0</v>
      </c>
      <c r="AG197" s="42"/>
      <c r="AH197" s="42"/>
      <c r="AI197" s="97"/>
      <c r="AJ197" s="365">
        <v>12112</v>
      </c>
      <c r="AK197" s="43">
        <f>AJ197*'KiGa - PS'!$L198</f>
        <v>0</v>
      </c>
      <c r="AL197" s="365">
        <v>143905</v>
      </c>
      <c r="AM197" s="43">
        <f>AL197*'KiGa - PS'!$L198</f>
        <v>0</v>
      </c>
      <c r="AN197" s="97"/>
    </row>
    <row r="198" spans="1:40" x14ac:dyDescent="0.25">
      <c r="A198" t="str">
        <f>Funktional!A198</f>
        <v>Leimbach</v>
      </c>
      <c r="B198" t="str">
        <f>Funktional!B198</f>
        <v>KiGa</v>
      </c>
      <c r="C198" s="43">
        <f>Funktional!D198</f>
        <v>13</v>
      </c>
      <c r="D198" s="43">
        <f>Funktional!J198-'KiGa - PS'!H199</f>
        <v>265364.84999999998</v>
      </c>
      <c r="E198" s="43">
        <f>'KiGa - PS'!C199+'KiGa - PS'!J199*Artengliederung!D198</f>
        <v>98168.470977673933</v>
      </c>
      <c r="F198" s="365">
        <v>489524.65</v>
      </c>
      <c r="G198" s="43">
        <f>F198*'KiGa - PS'!L199</f>
        <v>64910.861351959356</v>
      </c>
      <c r="H198" s="42">
        <f t="shared" ref="H198:H213" si="188">G198/$E198</f>
        <v>0.66121903199166443</v>
      </c>
      <c r="I198" s="85">
        <f t="shared" ref="I198:I213" si="189">G198/C198</f>
        <v>4993.1431809199503</v>
      </c>
      <c r="J198" s="365">
        <v>79277.850000000006</v>
      </c>
      <c r="K198" s="43">
        <f>J198*'KiGa - PS'!L199</f>
        <v>10512.225542945449</v>
      </c>
      <c r="L198" s="42">
        <f t="shared" ref="L198:L213" si="190">K198/$E198</f>
        <v>0.1070835211983306</v>
      </c>
      <c r="M198" s="43">
        <f t="shared" ref="M198:M213" si="191">K198/C198</f>
        <v>808.63273407272686</v>
      </c>
      <c r="N198" s="365">
        <v>21851.65</v>
      </c>
      <c r="O198" s="43">
        <f>N198*'KiGa - PS'!L199</f>
        <v>2897.5240030538657</v>
      </c>
      <c r="P198" s="42">
        <f t="shared" ref="P198:P213" si="192">O198/$E198</f>
        <v>2.9515831042258345E-2</v>
      </c>
      <c r="Q198" s="43">
        <f>O198/Funktional!C198</f>
        <v>2897.5240030538657</v>
      </c>
      <c r="R198" s="85">
        <f t="shared" ref="R198:R213" si="193">O198/C198</f>
        <v>222.88646177337429</v>
      </c>
      <c r="S198" s="365">
        <v>8738.9500000000007</v>
      </c>
      <c r="T198" s="365">
        <v>41006.699999999997</v>
      </c>
      <c r="U198" s="43">
        <f>T198*'KiGa - PS'!L199</f>
        <v>5437.4794368401899</v>
      </c>
      <c r="V198" s="42">
        <f t="shared" ref="V198:V213" si="194">U198/$E198</f>
        <v>5.5389264828998044E-2</v>
      </c>
      <c r="W198" s="43">
        <f t="shared" ref="W198:W213" si="195">U198/C198</f>
        <v>418.26764898770693</v>
      </c>
      <c r="X198" s="365">
        <v>40620.85</v>
      </c>
      <c r="Y198" s="43">
        <f>X198*'KiGa - PS'!L199</f>
        <v>5386.3158113666759</v>
      </c>
      <c r="Z198" s="91">
        <f t="shared" ref="Z198:Z213" si="196">Y198/$E198</f>
        <v>5.4868082977391638E-2</v>
      </c>
      <c r="AA198" s="365">
        <v>69173.5</v>
      </c>
      <c r="AB198" s="43">
        <f>AA198*'KiGa - PS'!L199</f>
        <v>9172.3909464615517</v>
      </c>
      <c r="AC198" s="43">
        <f t="shared" ref="AC198:AC213" si="197">AB198/C198</f>
        <v>705.56853434319623</v>
      </c>
      <c r="AD198" s="42">
        <f t="shared" ref="AD198:AD213" si="198">AB198/$E198</f>
        <v>9.3435202312029411E-2</v>
      </c>
      <c r="AE198" s="365">
        <v>67488</v>
      </c>
      <c r="AF198" s="43">
        <f>AE198*'KiGa - PS'!L199</f>
        <v>8948.8940156967219</v>
      </c>
      <c r="AG198" s="42">
        <f t="shared" ref="AG198:AG213" si="199">AF198/$E198</f>
        <v>9.1158535185211692E-2</v>
      </c>
      <c r="AH198" s="42"/>
      <c r="AI198" s="97">
        <f t="shared" si="187"/>
        <v>8.2872979668977539E-2</v>
      </c>
      <c r="AJ198" s="365">
        <v>91037</v>
      </c>
      <c r="AK198" s="43">
        <f>AJ198*'KiGa - PS'!$L199</f>
        <v>12071.48625691949</v>
      </c>
      <c r="AL198" s="365">
        <v>252050</v>
      </c>
      <c r="AM198" s="43">
        <f>AL198*'KiGa - PS'!$L199</f>
        <v>33421.77478450034</v>
      </c>
      <c r="AN198" s="97">
        <f>(AK198+AM198)/Funktional!E198</f>
        <v>0.50079354919603614</v>
      </c>
    </row>
    <row r="199" spans="1:40" x14ac:dyDescent="0.25">
      <c r="A199" t="str">
        <f>Funktional!A199</f>
        <v>Lommis</v>
      </c>
      <c r="B199" t="str">
        <f>Funktional!B199</f>
        <v>KiGa</v>
      </c>
      <c r="C199" s="43">
        <f>Funktional!D199</f>
        <v>35</v>
      </c>
      <c r="D199" s="43">
        <f>Funktional!J199-'KiGa - PS'!H200</f>
        <v>642738.10000000009</v>
      </c>
      <c r="E199" s="43">
        <f>'KiGa - PS'!C200+'KiGa - PS'!J200*Artengliederung!D199</f>
        <v>276438.44758193917</v>
      </c>
      <c r="F199" s="365">
        <v>871826.7</v>
      </c>
      <c r="G199" s="43">
        <f>F199*'KiGa - PS'!L200</f>
        <v>164260.81722111223</v>
      </c>
      <c r="H199" s="42">
        <f t="shared" si="188"/>
        <v>0.59420394904519802</v>
      </c>
      <c r="I199" s="85">
        <f t="shared" si="189"/>
        <v>4693.1662063174927</v>
      </c>
      <c r="J199" s="365">
        <v>182573.15</v>
      </c>
      <c r="K199" s="43">
        <f>J199*'KiGa - PS'!L200</f>
        <v>34398.596443115021</v>
      </c>
      <c r="L199" s="42">
        <f t="shared" si="190"/>
        <v>0.12443492120580994</v>
      </c>
      <c r="M199" s="43">
        <f t="shared" si="191"/>
        <v>982.81704123185773</v>
      </c>
      <c r="N199" s="365">
        <v>46942.2</v>
      </c>
      <c r="O199" s="43">
        <f>N199*'KiGa - PS'!L200</f>
        <v>8844.3771384346164</v>
      </c>
      <c r="P199" s="42">
        <f t="shared" si="192"/>
        <v>3.1994019702389818E-2</v>
      </c>
      <c r="Q199" s="43">
        <f>O199/Funktional!C199</f>
        <v>4422.1885692173082</v>
      </c>
      <c r="R199" s="85">
        <f t="shared" si="193"/>
        <v>252.69648966956046</v>
      </c>
      <c r="S199" s="365">
        <v>26660</v>
      </c>
      <c r="T199" s="365">
        <v>128838.15</v>
      </c>
      <c r="U199" s="43">
        <f>T199*'KiGa - PS'!L200</f>
        <v>24274.388256583836</v>
      </c>
      <c r="V199" s="42">
        <f t="shared" si="194"/>
        <v>8.7811187151847464E-2</v>
      </c>
      <c r="W199" s="43">
        <f t="shared" si="195"/>
        <v>693.55395018810964</v>
      </c>
      <c r="X199" s="365">
        <v>128838.15</v>
      </c>
      <c r="Y199" s="43">
        <f>X199*'KiGa - PS'!L200</f>
        <v>24274.388256583836</v>
      </c>
      <c r="Z199" s="91">
        <f t="shared" si="196"/>
        <v>8.7811187151847464E-2</v>
      </c>
      <c r="AA199" s="365">
        <v>231360.65</v>
      </c>
      <c r="AB199" s="43">
        <f>AA199*'KiGa - PS'!L200</f>
        <v>43590.646445913757</v>
      </c>
      <c r="AC199" s="43">
        <f t="shared" si="197"/>
        <v>1245.4470413118215</v>
      </c>
      <c r="AD199" s="42">
        <f t="shared" si="198"/>
        <v>0.15768662726624902</v>
      </c>
      <c r="AE199" s="365">
        <v>228786</v>
      </c>
      <c r="AF199" s="43">
        <f>AE199*'KiGa - PS'!L200</f>
        <v>43105.556790987685</v>
      </c>
      <c r="AG199" s="42">
        <f t="shared" si="199"/>
        <v>0.15593184366371743</v>
      </c>
      <c r="AH199" s="42"/>
      <c r="AI199" s="97">
        <f t="shared" si="187"/>
        <v>3.586331533089554E-2</v>
      </c>
      <c r="AJ199" s="365">
        <v>368304</v>
      </c>
      <c r="AK199" s="43">
        <f>AJ199*'KiGa - PS'!$L200</f>
        <v>69392.134957330985</v>
      </c>
      <c r="AL199" s="365">
        <v>611669</v>
      </c>
      <c r="AM199" s="43">
        <f>AL199*'KiGa - PS'!$L200</f>
        <v>115244.52028002869</v>
      </c>
      <c r="AN199" s="97">
        <f>(AK199+AM199)/Funktional!E199</f>
        <v>0.68715727962925022</v>
      </c>
    </row>
    <row r="200" spans="1:40" x14ac:dyDescent="0.25">
      <c r="A200" t="str">
        <f>Funktional!A200</f>
        <v>Mammern</v>
      </c>
      <c r="B200" t="str">
        <f>Funktional!B200</f>
        <v>KiGa</v>
      </c>
      <c r="C200" s="43">
        <f>Funktional!D200</f>
        <v>20</v>
      </c>
      <c r="D200" s="43">
        <f>Funktional!J200-'KiGa - PS'!H201</f>
        <v>171089.8</v>
      </c>
      <c r="E200" s="43">
        <f>'KiGa - PS'!C201+'KiGa - PS'!J201*Artengliederung!D200</f>
        <v>107502.60673615133</v>
      </c>
      <c r="F200" s="365">
        <v>428416.15</v>
      </c>
      <c r="G200" s="43">
        <f>F200*'KiGa - PS'!L201</f>
        <v>77418.378775815479</v>
      </c>
      <c r="H200" s="42">
        <f t="shared" si="188"/>
        <v>0.72015350256414734</v>
      </c>
      <c r="I200" s="85">
        <f t="shared" si="189"/>
        <v>3870.9189387907741</v>
      </c>
      <c r="J200" s="365">
        <v>98854.45</v>
      </c>
      <c r="K200" s="43">
        <f>J200*'KiGa - PS'!L201</f>
        <v>17863.825287106734</v>
      </c>
      <c r="L200" s="42">
        <f t="shared" si="190"/>
        <v>0.16617108951553849</v>
      </c>
      <c r="M200" s="43">
        <f t="shared" si="191"/>
        <v>893.19126435533667</v>
      </c>
      <c r="N200" s="365">
        <v>21136.799999999999</v>
      </c>
      <c r="O200" s="43">
        <f>N200*'KiGa - PS'!L201</f>
        <v>3819.5964099594671</v>
      </c>
      <c r="P200" s="42">
        <f t="shared" si="192"/>
        <v>3.5530267831868315E-2</v>
      </c>
      <c r="Q200" s="43">
        <f>O200/Funktional!C200</f>
        <v>7639.1928199189342</v>
      </c>
      <c r="R200" s="85">
        <f t="shared" si="193"/>
        <v>190.97982049797335</v>
      </c>
      <c r="S200" s="365">
        <v>16301.2</v>
      </c>
      <c r="T200" s="365">
        <v>7273.5</v>
      </c>
      <c r="U200" s="43">
        <f>T200*'KiGa - PS'!L201</f>
        <v>1314.382237984945</v>
      </c>
      <c r="V200" s="42">
        <f t="shared" si="194"/>
        <v>1.2226515038941286E-2</v>
      </c>
      <c r="W200" s="43">
        <f t="shared" si="195"/>
        <v>65.719111899247252</v>
      </c>
      <c r="X200" s="365">
        <v>7113.95</v>
      </c>
      <c r="Y200" s="43">
        <f>X200*'KiGa - PS'!L201</f>
        <v>1285.5502195522099</v>
      </c>
      <c r="Z200" s="91">
        <f t="shared" si="196"/>
        <v>1.1958316719774023E-2</v>
      </c>
      <c r="AA200" s="365">
        <v>12477.45</v>
      </c>
      <c r="AB200" s="43">
        <f>AA200*'KiGa - PS'!L201</f>
        <v>2254.7794947886509</v>
      </c>
      <c r="AC200" s="43">
        <f t="shared" si="197"/>
        <v>112.73897473943255</v>
      </c>
      <c r="AD200" s="42">
        <f t="shared" si="198"/>
        <v>2.0974184377897567E-2</v>
      </c>
      <c r="AE200" s="365">
        <v>6000</v>
      </c>
      <c r="AF200" s="43">
        <f>AE200*'KiGa - PS'!L201</f>
        <v>1084.250144759699</v>
      </c>
      <c r="AG200" s="42">
        <f t="shared" si="199"/>
        <v>1.0085803290526944E-2</v>
      </c>
      <c r="AH200" s="42"/>
      <c r="AI200" s="97">
        <f t="shared" si="187"/>
        <v>8.0474708503475309E-2</v>
      </c>
      <c r="AJ200" s="365">
        <v>16161</v>
      </c>
      <c r="AK200" s="43">
        <f>AJ200*'KiGa - PS'!$L201</f>
        <v>2920.4277649102492</v>
      </c>
      <c r="AL200" s="365">
        <v>0</v>
      </c>
      <c r="AM200" s="43">
        <f>AL200*'KiGa - PS'!$L201</f>
        <v>0</v>
      </c>
      <c r="AN200" s="97">
        <f>(AK200+AM200)/Funktional!E200</f>
        <v>2.8715259972516081E-2</v>
      </c>
    </row>
    <row r="201" spans="1:40" x14ac:dyDescent="0.25">
      <c r="A201" t="str">
        <f>Funktional!A201</f>
        <v>Märstetten</v>
      </c>
      <c r="B201" t="str">
        <f>Funktional!B201</f>
        <v>KiGa</v>
      </c>
      <c r="C201" s="43">
        <f>Funktional!D201</f>
        <v>34</v>
      </c>
      <c r="D201" s="43">
        <f>Funktional!J201-'KiGa - PS'!H202</f>
        <v>743440.09999999986</v>
      </c>
      <c r="E201" s="43">
        <f>'KiGa - PS'!C202+'KiGa - PS'!J202*Artengliederung!D201</f>
        <v>241515.00719983916</v>
      </c>
      <c r="F201" s="365">
        <v>1550981.3</v>
      </c>
      <c r="G201" s="43">
        <f>F201*'KiGa - PS'!L202</f>
        <v>169775.94962700552</v>
      </c>
      <c r="H201" s="42">
        <f t="shared" si="188"/>
        <v>0.70296231938301923</v>
      </c>
      <c r="I201" s="85">
        <f t="shared" si="189"/>
        <v>4993.410283147221</v>
      </c>
      <c r="J201" s="365">
        <v>221027.35</v>
      </c>
      <c r="K201" s="43">
        <f>J201*'KiGa - PS'!L202</f>
        <v>24194.442731057119</v>
      </c>
      <c r="L201" s="42">
        <f t="shared" si="190"/>
        <v>0.10017780266150364</v>
      </c>
      <c r="M201" s="43">
        <f t="shared" si="191"/>
        <v>711.60125679579767</v>
      </c>
      <c r="N201" s="365">
        <v>77428.3</v>
      </c>
      <c r="O201" s="43">
        <f>N201*'KiGa - PS'!L202</f>
        <v>8475.5781133561522</v>
      </c>
      <c r="P201" s="42">
        <f t="shared" si="192"/>
        <v>3.5093380786656955E-2</v>
      </c>
      <c r="Q201" s="43">
        <f>O201/Funktional!C201</f>
        <v>4237.7890566780761</v>
      </c>
      <c r="R201" s="85">
        <f t="shared" si="193"/>
        <v>249.28170921635743</v>
      </c>
      <c r="S201" s="365">
        <v>15205.7</v>
      </c>
      <c r="T201" s="365">
        <v>63413.85</v>
      </c>
      <c r="U201" s="43">
        <f>T201*'KiGa - PS'!L202</f>
        <v>6941.5063890547772</v>
      </c>
      <c r="V201" s="42">
        <f t="shared" si="194"/>
        <v>2.8741511633316837E-2</v>
      </c>
      <c r="W201" s="43">
        <f t="shared" si="195"/>
        <v>204.16195261925816</v>
      </c>
      <c r="X201" s="365">
        <v>63297.3</v>
      </c>
      <c r="Y201" s="43">
        <f>X201*'KiGa - PS'!L202</f>
        <v>6928.7484100069141</v>
      </c>
      <c r="Z201" s="91">
        <f t="shared" si="196"/>
        <v>2.868868684534287E-2</v>
      </c>
      <c r="AA201" s="365">
        <v>153627.9</v>
      </c>
      <c r="AB201" s="43">
        <f>AA201*'KiGa - PS'!L202</f>
        <v>16816.658338628997</v>
      </c>
      <c r="AC201" s="43">
        <f t="shared" si="197"/>
        <v>494.60759819497048</v>
      </c>
      <c r="AD201" s="42">
        <f t="shared" si="198"/>
        <v>6.9629869106702019E-2</v>
      </c>
      <c r="AE201" s="365">
        <v>107000</v>
      </c>
      <c r="AF201" s="43">
        <f>AE201*'KiGa - PS'!L202</f>
        <v>11712.601957283166</v>
      </c>
      <c r="AG201" s="42">
        <f t="shared" si="199"/>
        <v>4.8496373343755374E-2</v>
      </c>
      <c r="AH201" s="42"/>
      <c r="AI201" s="97">
        <f t="shared" si="187"/>
        <v>9.8488497215458271E-2</v>
      </c>
      <c r="AJ201" s="365">
        <v>107539</v>
      </c>
      <c r="AK201" s="43">
        <f>AJ201*'KiGa - PS'!$L202</f>
        <v>11771.602821348361</v>
      </c>
      <c r="AL201" s="365">
        <v>0</v>
      </c>
      <c r="AM201" s="43">
        <f>AL201*'KiGa - PS'!$L202</f>
        <v>0</v>
      </c>
      <c r="AN201" s="97">
        <f>(AK201+AM201)/Funktional!E201</f>
        <v>5.229195804302067E-2</v>
      </c>
    </row>
    <row r="202" spans="1:40" x14ac:dyDescent="0.25">
      <c r="A202" t="str">
        <f>Funktional!A202</f>
        <v>Märwil</v>
      </c>
      <c r="B202" t="str">
        <f>Funktional!B202</f>
        <v>KiGa</v>
      </c>
      <c r="C202" s="43">
        <f>Funktional!D202</f>
        <v>53</v>
      </c>
      <c r="D202" s="43">
        <f>Funktional!J202-'KiGa - PS'!H203</f>
        <v>588352.58000000007</v>
      </c>
      <c r="E202" s="43">
        <f>'KiGa - PS'!C203+'KiGa - PS'!J203*Artengliederung!D202</f>
        <v>373136.95603748038</v>
      </c>
      <c r="F202" s="365">
        <v>755663.75</v>
      </c>
      <c r="G202" s="43">
        <f>F202*'KiGa - PS'!L203</f>
        <v>212761.86447099046</v>
      </c>
      <c r="H202" s="42">
        <f t="shared" si="188"/>
        <v>0.5701977813465875</v>
      </c>
      <c r="I202" s="85">
        <f t="shared" si="189"/>
        <v>4014.3748013394425</v>
      </c>
      <c r="J202" s="365">
        <v>143775.76</v>
      </c>
      <c r="K202" s="43">
        <f>J202*'KiGa - PS'!L203</f>
        <v>40480.966254281295</v>
      </c>
      <c r="L202" s="42">
        <f t="shared" si="190"/>
        <v>0.108488225567813</v>
      </c>
      <c r="M202" s="43">
        <f t="shared" si="191"/>
        <v>763.79181611851504</v>
      </c>
      <c r="N202" s="365">
        <v>45104</v>
      </c>
      <c r="O202" s="43">
        <f>N202*'KiGa - PS'!L203</f>
        <v>12699.313861621064</v>
      </c>
      <c r="P202" s="42">
        <f t="shared" si="192"/>
        <v>3.4033921476128083E-2</v>
      </c>
      <c r="Q202" s="43">
        <f>O202/Funktional!C202</f>
        <v>6349.6569308105318</v>
      </c>
      <c r="R202" s="85">
        <f t="shared" si="193"/>
        <v>239.60969550228421</v>
      </c>
      <c r="S202" s="365">
        <v>1871</v>
      </c>
      <c r="T202" s="365">
        <v>50240.25</v>
      </c>
      <c r="U202" s="43">
        <f>T202*'KiGa - PS'!L203</f>
        <v>14145.457237413702</v>
      </c>
      <c r="V202" s="42">
        <f t="shared" si="194"/>
        <v>3.7909558430317576E-2</v>
      </c>
      <c r="W202" s="43">
        <f t="shared" si="195"/>
        <v>266.89541957384347</v>
      </c>
      <c r="X202" s="365">
        <v>50150.7</v>
      </c>
      <c r="Y202" s="43">
        <f>X202*'KiGa - PS'!L203</f>
        <v>14120.243873714071</v>
      </c>
      <c r="Z202" s="91">
        <f t="shared" si="196"/>
        <v>3.7841987091452124E-2</v>
      </c>
      <c r="AA202" s="365">
        <v>318576.62</v>
      </c>
      <c r="AB202" s="43">
        <f>AA202*'KiGa - PS'!L203</f>
        <v>89697.243844323923</v>
      </c>
      <c r="AC202" s="43">
        <f t="shared" si="197"/>
        <v>1692.4008272513947</v>
      </c>
      <c r="AD202" s="42">
        <f t="shared" si="198"/>
        <v>0.24038692065471565</v>
      </c>
      <c r="AE202" s="365">
        <v>111222.82</v>
      </c>
      <c r="AF202" s="43">
        <f>AE202*'KiGa - PS'!L203</f>
        <v>31315.481991721012</v>
      </c>
      <c r="AG202" s="42">
        <f t="shared" si="199"/>
        <v>8.3924900723517382E-2</v>
      </c>
      <c r="AH202" s="42"/>
      <c r="AI202" s="97">
        <f t="shared" si="187"/>
        <v>4.3017514000566276E-2</v>
      </c>
      <c r="AJ202" s="365">
        <v>330378</v>
      </c>
      <c r="AK202" s="43">
        <f>AJ202*'KiGa - PS'!$L203</f>
        <v>93019.996341225691</v>
      </c>
      <c r="AL202" s="365">
        <v>0</v>
      </c>
      <c r="AM202" s="43">
        <f>AL202*'KiGa - PS'!$L203</f>
        <v>0</v>
      </c>
      <c r="AN202" s="97">
        <f>(AK202+AM202)/Funktional!E202</f>
        <v>0.25783007512306094</v>
      </c>
    </row>
    <row r="203" spans="1:40" x14ac:dyDescent="0.25">
      <c r="A203" t="str">
        <f>Funktional!A203</f>
        <v>Mattwil-Birwinken-Happerswil</v>
      </c>
      <c r="B203" t="str">
        <f>Funktional!B203</f>
        <v>KiGa</v>
      </c>
      <c r="C203" s="43">
        <f>Funktional!D203</f>
        <v>17</v>
      </c>
      <c r="D203" s="43">
        <f>Funktional!J203-'KiGa - PS'!H204</f>
        <v>188135.20000000007</v>
      </c>
      <c r="E203" s="43">
        <f>'KiGa - PS'!C204+'KiGa - PS'!J204*Artengliederung!D203</f>
        <v>89205.840816880096</v>
      </c>
      <c r="F203" s="365">
        <v>611123.5</v>
      </c>
      <c r="G203" s="43">
        <f>F203*'KiGa - PS'!L204</f>
        <v>66748.904025427546</v>
      </c>
      <c r="H203" s="42">
        <f t="shared" si="188"/>
        <v>0.74825710305727977</v>
      </c>
      <c r="I203" s="85">
        <f t="shared" si="189"/>
        <v>3926.4061191427968</v>
      </c>
      <c r="J203" s="365">
        <v>149108.65</v>
      </c>
      <c r="K203" s="43">
        <f>J203*'KiGa - PS'!L204</f>
        <v>16286.133601818727</v>
      </c>
      <c r="L203" s="42">
        <f t="shared" si="190"/>
        <v>0.18256801855890317</v>
      </c>
      <c r="M203" s="43">
        <f t="shared" si="191"/>
        <v>958.00785893051329</v>
      </c>
      <c r="N203" s="365">
        <v>26176.1</v>
      </c>
      <c r="O203" s="43">
        <f>N203*'KiGa - PS'!L204</f>
        <v>2859.0391085598803</v>
      </c>
      <c r="P203" s="42">
        <f t="shared" si="192"/>
        <v>3.2049909315118238E-2</v>
      </c>
      <c r="Q203" s="43">
        <f>O203/Funktional!C203</f>
        <v>5718.0782171197607</v>
      </c>
      <c r="R203" s="85">
        <f t="shared" si="193"/>
        <v>168.17877109175765</v>
      </c>
      <c r="S203" s="365">
        <v>9701.4500000000007</v>
      </c>
      <c r="T203" s="365">
        <v>14304.6</v>
      </c>
      <c r="U203" s="43">
        <f>T203*'KiGa - PS'!L204</f>
        <v>1562.3951173897435</v>
      </c>
      <c r="V203" s="42">
        <f t="shared" si="194"/>
        <v>1.7514493480275534E-2</v>
      </c>
      <c r="W203" s="43">
        <f t="shared" si="195"/>
        <v>91.905595140573155</v>
      </c>
      <c r="X203" s="365">
        <v>11095.6</v>
      </c>
      <c r="Y203" s="43">
        <f>X203*'KiGa - PS'!L204</f>
        <v>1211.8976598094066</v>
      </c>
      <c r="Z203" s="91">
        <f t="shared" si="196"/>
        <v>1.358540706204614E-2</v>
      </c>
      <c r="AA203" s="365">
        <v>21095.9</v>
      </c>
      <c r="AB203" s="43">
        <f>AA203*'KiGa - PS'!L204</f>
        <v>2304.1630773976408</v>
      </c>
      <c r="AC203" s="43">
        <f t="shared" si="197"/>
        <v>135.5390045528024</v>
      </c>
      <c r="AD203" s="42">
        <f t="shared" si="198"/>
        <v>2.5829733303311148E-2</v>
      </c>
      <c r="AE203" s="365">
        <v>17800</v>
      </c>
      <c r="AF203" s="43">
        <f>AE203*'KiGa - PS'!L204</f>
        <v>1944.174118083514</v>
      </c>
      <c r="AG203" s="42">
        <f t="shared" si="199"/>
        <v>2.1794246882045253E-2</v>
      </c>
      <c r="AH203" s="42"/>
      <c r="AI203" s="97">
        <f t="shared" si="187"/>
        <v>2.5830651600230375E-2</v>
      </c>
      <c r="AJ203" s="365">
        <v>313652.09999999998</v>
      </c>
      <c r="AK203" s="43">
        <f>AJ203*'KiGa - PS'!$L204</f>
        <v>34258.106455198991</v>
      </c>
      <c r="AL203" s="365">
        <v>0</v>
      </c>
      <c r="AM203" s="43">
        <f>AL203*'KiGa - PS'!$L204</f>
        <v>0</v>
      </c>
      <c r="AN203" s="97">
        <f>(AK203+AM203)/Funktional!E203</f>
        <v>0.39133469878471822</v>
      </c>
    </row>
    <row r="204" spans="1:40" x14ac:dyDescent="0.25">
      <c r="A204" t="str">
        <f>Funktional!A204</f>
        <v>Matzingen</v>
      </c>
      <c r="B204" t="str">
        <f>Funktional!B204</f>
        <v>KiGa</v>
      </c>
      <c r="C204" s="43">
        <f>Funktional!D204</f>
        <v>67</v>
      </c>
      <c r="D204" s="43">
        <f>Funktional!J204-'KiGa - PS'!H205</f>
        <v>996050.40000000014</v>
      </c>
      <c r="E204" s="43">
        <f>'KiGa - PS'!C205+'KiGa - PS'!J205*Artengliederung!D204</f>
        <v>615789.20033995621</v>
      </c>
      <c r="F204" s="365">
        <v>2002239.9</v>
      </c>
      <c r="G204" s="43">
        <f>F204*'KiGa - PS'!L205</f>
        <v>429974.7406143343</v>
      </c>
      <c r="H204" s="42">
        <f t="shared" si="188"/>
        <v>0.6982498887232188</v>
      </c>
      <c r="I204" s="85">
        <f t="shared" si="189"/>
        <v>6417.5334420049894</v>
      </c>
      <c r="J204" s="365">
        <v>339691.5</v>
      </c>
      <c r="K204" s="43">
        <f>J204*'KiGa - PS'!L205</f>
        <v>72947.684541394934</v>
      </c>
      <c r="L204" s="42">
        <f t="shared" si="190"/>
        <v>0.11846210440378462</v>
      </c>
      <c r="M204" s="43">
        <f t="shared" si="191"/>
        <v>1088.7714110655961</v>
      </c>
      <c r="N204" s="365">
        <v>98890.15</v>
      </c>
      <c r="O204" s="43">
        <f>N204*'KiGa - PS'!L205</f>
        <v>21236.349647993033</v>
      </c>
      <c r="P204" s="42">
        <f t="shared" si="192"/>
        <v>3.4486395078493041E-2</v>
      </c>
      <c r="Q204" s="43">
        <f>O204/Funktional!C204</f>
        <v>5309.0874119982582</v>
      </c>
      <c r="R204" s="85">
        <f t="shared" si="193"/>
        <v>316.96044250735872</v>
      </c>
      <c r="S204" s="365">
        <v>38119.4</v>
      </c>
      <c r="T204" s="365">
        <v>280879.25</v>
      </c>
      <c r="U204" s="43">
        <f>T204*'KiGa - PS'!L205</f>
        <v>60317.938256399124</v>
      </c>
      <c r="V204" s="42">
        <f t="shared" si="194"/>
        <v>9.7952250905179311E-2</v>
      </c>
      <c r="W204" s="43">
        <f t="shared" si="195"/>
        <v>900.26773517013623</v>
      </c>
      <c r="X204" s="365">
        <v>249851.45</v>
      </c>
      <c r="Y204" s="43">
        <f>X204*'KiGa - PS'!L205</f>
        <v>53654.815492322035</v>
      </c>
      <c r="Z204" s="91">
        <f t="shared" si="196"/>
        <v>8.7131790331335862E-2</v>
      </c>
      <c r="AA204" s="365">
        <v>82388.850000000006</v>
      </c>
      <c r="AB204" s="43">
        <f>AA204*'KiGa - PS'!L205</f>
        <v>17692.747211891692</v>
      </c>
      <c r="AC204" s="43">
        <f t="shared" si="197"/>
        <v>264.07085390883122</v>
      </c>
      <c r="AD204" s="42">
        <f t="shared" si="198"/>
        <v>2.8731824465456898E-2</v>
      </c>
      <c r="AE204" s="365">
        <v>41560</v>
      </c>
      <c r="AF204" s="43">
        <f>AE204*'KiGa - PS'!L205</f>
        <v>8924.8796909559805</v>
      </c>
      <c r="AG204" s="42">
        <f t="shared" si="199"/>
        <v>1.4493400803438675E-2</v>
      </c>
      <c r="AH204" s="42"/>
      <c r="AI204" s="97">
        <f t="shared" si="187"/>
        <v>5.6603931502360358E-2</v>
      </c>
      <c r="AJ204" s="365">
        <v>777831</v>
      </c>
      <c r="AK204" s="43">
        <f>AJ204*'KiGa - PS'!$L205</f>
        <v>167036.76840461939</v>
      </c>
      <c r="AL204" s="365">
        <v>104661</v>
      </c>
      <c r="AM204" s="43">
        <f>AL204*'KiGa - PS'!$L205</f>
        <v>22475.621591317224</v>
      </c>
      <c r="AN204" s="97">
        <f>(AK204+AM204)/Funktional!E204</f>
        <v>0.323098635164075</v>
      </c>
    </row>
    <row r="205" spans="1:40" x14ac:dyDescent="0.25">
      <c r="A205" t="str">
        <f>Funktional!A205</f>
        <v>Mauren</v>
      </c>
      <c r="B205" t="str">
        <f>Funktional!B205</f>
        <v>KiGa</v>
      </c>
      <c r="C205" s="43">
        <f>Funktional!D205</f>
        <v>21</v>
      </c>
      <c r="D205" s="43">
        <f>Funktional!J205-'KiGa - PS'!H206</f>
        <v>469357.85</v>
      </c>
      <c r="E205" s="43">
        <f>'KiGa - PS'!C206+'KiGa - PS'!J206*Artengliederung!D205</f>
        <v>128795.62769952489</v>
      </c>
      <c r="F205" s="365">
        <v>501613.2</v>
      </c>
      <c r="G205" s="43">
        <f>F205*'KiGa - PS'!L206</f>
        <v>66258.674629703804</v>
      </c>
      <c r="H205" s="42">
        <f t="shared" si="188"/>
        <v>0.51444816732663223</v>
      </c>
      <c r="I205" s="85">
        <f t="shared" si="189"/>
        <v>3155.1749823668479</v>
      </c>
      <c r="J205" s="365">
        <v>91621.25</v>
      </c>
      <c r="K205" s="43">
        <f>J205*'KiGa - PS'!L206</f>
        <v>12102.358137538546</v>
      </c>
      <c r="L205" s="42">
        <f t="shared" si="190"/>
        <v>9.3965597696940989E-2</v>
      </c>
      <c r="M205" s="43">
        <f t="shared" si="191"/>
        <v>576.30276845421645</v>
      </c>
      <c r="N205" s="365">
        <v>23711.599999999999</v>
      </c>
      <c r="O205" s="43">
        <f>N205*'KiGa - PS'!L206</f>
        <v>3132.0929938639665</v>
      </c>
      <c r="P205" s="42">
        <f t="shared" si="192"/>
        <v>2.4318317708509608E-2</v>
      </c>
      <c r="Q205" s="43">
        <f>O205/Funktional!C205</f>
        <v>3132.0929938639665</v>
      </c>
      <c r="R205" s="85">
        <f t="shared" si="193"/>
        <v>149.14728542209363</v>
      </c>
      <c r="S205" s="365">
        <v>4868.25</v>
      </c>
      <c r="T205" s="365">
        <v>64379.35</v>
      </c>
      <c r="U205" s="43">
        <f>T205*'KiGa - PS'!L206</f>
        <v>8503.9436851379141</v>
      </c>
      <c r="V205" s="42">
        <f t="shared" si="194"/>
        <v>6.6026648862469756E-2</v>
      </c>
      <c r="W205" s="43">
        <f t="shared" si="195"/>
        <v>404.94969929228165</v>
      </c>
      <c r="X205" s="365">
        <v>60000</v>
      </c>
      <c r="Y205" s="43">
        <f>X205*'KiGa - PS'!L206</f>
        <v>7925.4702184516436</v>
      </c>
      <c r="Z205" s="91">
        <f t="shared" si="196"/>
        <v>6.1535242771916548E-2</v>
      </c>
      <c r="AA205" s="365">
        <v>245866.1</v>
      </c>
      <c r="AB205" s="43">
        <f>AA205*'KiGa - PS'!L206</f>
        <v>32476.740887947562</v>
      </c>
      <c r="AC205" s="43">
        <f t="shared" si="197"/>
        <v>1546.5114708546457</v>
      </c>
      <c r="AD205" s="42">
        <f t="shared" si="198"/>
        <v>0.25215716921473852</v>
      </c>
      <c r="AE205" s="365">
        <v>111381</v>
      </c>
      <c r="AF205" s="43">
        <f>AE205*'KiGa - PS'!L206</f>
        <v>14712.44664002271</v>
      </c>
      <c r="AG205" s="42">
        <f t="shared" si="199"/>
        <v>0.11423094791964729</v>
      </c>
      <c r="AH205" s="42"/>
      <c r="AI205" s="97">
        <f t="shared" si="187"/>
        <v>7.3402416899218448E-2</v>
      </c>
      <c r="AJ205" s="365">
        <v>227781</v>
      </c>
      <c r="AK205" s="43">
        <f>AJ205*'KiGa - PS'!$L206</f>
        <v>30087.858863818899</v>
      </c>
      <c r="AL205" s="365">
        <v>119456</v>
      </c>
      <c r="AM205" s="43">
        <f>AL205*'KiGa - PS'!$L206</f>
        <v>15779.082840255993</v>
      </c>
      <c r="AN205" s="97">
        <f>(AK205+AM205)/Funktional!E205</f>
        <v>0.38054053793405168</v>
      </c>
    </row>
    <row r="206" spans="1:40" x14ac:dyDescent="0.25">
      <c r="A206" t="str">
        <f>Funktional!A206</f>
        <v>Mettlen</v>
      </c>
      <c r="B206" t="str">
        <f>Funktional!B206</f>
        <v>KiGa</v>
      </c>
      <c r="C206" s="43">
        <f>Funktional!D206</f>
        <v>13</v>
      </c>
      <c r="D206" s="43">
        <f>Funktional!J206-'KiGa - PS'!H207</f>
        <v>321392.59999999998</v>
      </c>
      <c r="E206" s="43">
        <f>'KiGa - PS'!C207+'KiGa - PS'!J207*Artengliederung!D206</f>
        <v>133434.926481798</v>
      </c>
      <c r="F206" s="365">
        <v>511082</v>
      </c>
      <c r="G206" s="43">
        <f>F206*'KiGa - PS'!L207</f>
        <v>84199.400874414321</v>
      </c>
      <c r="H206" s="42">
        <f t="shared" si="188"/>
        <v>0.63101470577795127</v>
      </c>
      <c r="I206" s="85">
        <f t="shared" si="189"/>
        <v>6476.8769903395632</v>
      </c>
      <c r="J206" s="365">
        <v>89158.75</v>
      </c>
      <c r="K206" s="43">
        <f>J206*'KiGa - PS'!L207</f>
        <v>14688.667048950438</v>
      </c>
      <c r="L206" s="42">
        <f t="shared" si="190"/>
        <v>0.11008112670526433</v>
      </c>
      <c r="M206" s="43">
        <f t="shared" si="191"/>
        <v>1129.8974653038799</v>
      </c>
      <c r="N206" s="365">
        <v>21030.2</v>
      </c>
      <c r="O206" s="43">
        <f>N206*'KiGa - PS'!L207</f>
        <v>3464.6695447484121</v>
      </c>
      <c r="P206" s="42">
        <f t="shared" si="192"/>
        <v>2.5965237408970516E-2</v>
      </c>
      <c r="Q206" s="43">
        <f>O206/Funktional!C206</f>
        <v>3464.6695447484121</v>
      </c>
      <c r="R206" s="85">
        <f t="shared" si="193"/>
        <v>266.513041903724</v>
      </c>
      <c r="S206" s="365">
        <v>4971.25</v>
      </c>
      <c r="T206" s="365">
        <v>50557.05</v>
      </c>
      <c r="U206" s="43">
        <f>T206*'KiGa - PS'!L207</f>
        <v>8329.1395900810603</v>
      </c>
      <c r="V206" s="42">
        <f t="shared" si="194"/>
        <v>6.2420985342373961E-2</v>
      </c>
      <c r="W206" s="43">
        <f t="shared" si="195"/>
        <v>640.70304539085078</v>
      </c>
      <c r="X206" s="365">
        <v>47213.05</v>
      </c>
      <c r="Y206" s="43">
        <f>X206*'KiGa - PS'!L207</f>
        <v>7778.2244795429442</v>
      </c>
      <c r="Z206" s="91">
        <f t="shared" si="196"/>
        <v>5.829226788388106E-2</v>
      </c>
      <c r="AA206" s="365">
        <v>122239.15</v>
      </c>
      <c r="AB206" s="43">
        <f>AA206*'KiGa - PS'!L207</f>
        <v>20138.575010267748</v>
      </c>
      <c r="AC206" s="43">
        <f t="shared" si="197"/>
        <v>1549.1211546359807</v>
      </c>
      <c r="AD206" s="42">
        <f t="shared" si="198"/>
        <v>0.15092431600368794</v>
      </c>
      <c r="AE206" s="365">
        <v>85028.05</v>
      </c>
      <c r="AF206" s="43">
        <f>AE206*'KiGa - PS'!L207</f>
        <v>14008.14520472203</v>
      </c>
      <c r="AG206" s="42">
        <f t="shared" si="199"/>
        <v>0.1049810988327175</v>
      </c>
      <c r="AH206" s="42"/>
      <c r="AI206" s="97">
        <f t="shared" si="187"/>
        <v>4.5558866170722523E-2</v>
      </c>
      <c r="AJ206" s="365">
        <v>226282</v>
      </c>
      <c r="AK206" s="43">
        <f>AJ206*'KiGa - PS'!$L207</f>
        <v>37279.357967340307</v>
      </c>
      <c r="AL206" s="365">
        <v>180549</v>
      </c>
      <c r="AM206" s="43">
        <f>AL206*'KiGa - PS'!$L207</f>
        <v>29744.967790833234</v>
      </c>
      <c r="AN206" s="97">
        <f>(AK206+AM206)/Funktional!E206</f>
        <v>0.5227037269803203</v>
      </c>
    </row>
    <row r="207" spans="1:40" x14ac:dyDescent="0.25">
      <c r="A207" t="str">
        <f>Funktional!A207</f>
        <v>Müllheim</v>
      </c>
      <c r="B207" t="str">
        <f>Funktional!B207</f>
        <v>KiGa</v>
      </c>
      <c r="C207" s="43">
        <f>Funktional!D207</f>
        <v>51</v>
      </c>
      <c r="D207" s="43">
        <f>Funktional!J207-'KiGa - PS'!H208</f>
        <v>944695.10000000009</v>
      </c>
      <c r="E207" s="43">
        <f>'KiGa - PS'!C208+'KiGa - PS'!J208*Artengliederung!D207</f>
        <v>365705.15239714575</v>
      </c>
      <c r="F207" s="365">
        <v>1698462.55</v>
      </c>
      <c r="G207" s="43">
        <f>F207*'KiGa - PS'!L208</f>
        <v>238956.24448899677</v>
      </c>
      <c r="H207" s="42">
        <f t="shared" si="188"/>
        <v>0.65341229928720512</v>
      </c>
      <c r="I207" s="85">
        <f t="shared" si="189"/>
        <v>4685.4165586077797</v>
      </c>
      <c r="J207" s="365">
        <v>393980.8</v>
      </c>
      <c r="K207" s="43">
        <f>J207*'KiGa - PS'!L208</f>
        <v>55429.0539810669</v>
      </c>
      <c r="L207" s="42">
        <f t="shared" si="190"/>
        <v>0.15156760471581343</v>
      </c>
      <c r="M207" s="43">
        <f t="shared" si="191"/>
        <v>1086.8441957071941</v>
      </c>
      <c r="N207" s="365">
        <v>74985.3</v>
      </c>
      <c r="O207" s="43">
        <f>N207*'KiGa - PS'!L208</f>
        <v>10549.661916231695</v>
      </c>
      <c r="P207" s="42">
        <f t="shared" si="192"/>
        <v>2.8847452235988877E-2</v>
      </c>
      <c r="Q207" s="43">
        <f>O207/Funktional!C207</f>
        <v>3516.5539720772317</v>
      </c>
      <c r="R207" s="85">
        <f t="shared" si="193"/>
        <v>206.85611600454303</v>
      </c>
      <c r="S207" s="365">
        <v>96486.85</v>
      </c>
      <c r="T207" s="365">
        <v>168365.45</v>
      </c>
      <c r="U207" s="43">
        <f>T207*'KiGa - PS'!L208</f>
        <v>23687.290387238718</v>
      </c>
      <c r="V207" s="42">
        <f t="shared" si="194"/>
        <v>6.4771552251784992E-2</v>
      </c>
      <c r="W207" s="43">
        <f t="shared" si="195"/>
        <v>464.45667425958271</v>
      </c>
      <c r="X207" s="365">
        <v>139205.29999999999</v>
      </c>
      <c r="Y207" s="43">
        <f>X207*'KiGa - PS'!L208</f>
        <v>19584.756638269202</v>
      </c>
      <c r="Z207" s="91">
        <f t="shared" si="196"/>
        <v>5.3553406370935384E-2</v>
      </c>
      <c r="AA207" s="365">
        <v>123220.35</v>
      </c>
      <c r="AB207" s="43">
        <f>AA207*'KiGa - PS'!L208</f>
        <v>17335.8382736315</v>
      </c>
      <c r="AC207" s="43">
        <f t="shared" si="197"/>
        <v>339.9183975221863</v>
      </c>
      <c r="AD207" s="42">
        <f t="shared" si="198"/>
        <v>4.7403866639552442E-2</v>
      </c>
      <c r="AE207" s="365">
        <v>116712</v>
      </c>
      <c r="AF207" s="43">
        <f>AE207*'KiGa - PS'!L208</f>
        <v>16420.180242890718</v>
      </c>
      <c r="AG207" s="42">
        <f t="shared" si="199"/>
        <v>4.4900051681686051E-2</v>
      </c>
      <c r="AH207" s="42"/>
      <c r="AI207" s="97">
        <f t="shared" ref="AI207:AI222" si="200">1-H207-L207-V207-AD207</f>
        <v>8.2844677105644013E-2</v>
      </c>
      <c r="AJ207" s="365">
        <v>650389.35</v>
      </c>
      <c r="AK207" s="43">
        <f>AJ207*'KiGa - PS'!$L208</f>
        <v>91503.104694089183</v>
      </c>
      <c r="AL207" s="365">
        <v>797763</v>
      </c>
      <c r="AM207" s="43">
        <f>AL207*'KiGa - PS'!$L208</f>
        <v>112237.06432165697</v>
      </c>
      <c r="AN207" s="97">
        <f>(AK207+AM207)/Funktional!E207</f>
        <v>0.59773489325177542</v>
      </c>
    </row>
    <row r="208" spans="1:40" x14ac:dyDescent="0.25">
      <c r="A208" t="str">
        <f>Funktional!A208</f>
        <v>Neukirch-Egnach</v>
      </c>
      <c r="B208" t="str">
        <f>Funktional!B208</f>
        <v>KiGa</v>
      </c>
      <c r="C208" s="43">
        <f>Funktional!D208</f>
        <v>47</v>
      </c>
      <c r="D208" s="43">
        <f>Funktional!J208-'KiGa - PS'!H209</f>
        <v>688211.75</v>
      </c>
      <c r="E208" s="43">
        <f>'KiGa - PS'!C209+'KiGa - PS'!J209*Artengliederung!D208</f>
        <v>338481.19878190523</v>
      </c>
      <c r="F208" s="365">
        <v>942852.85</v>
      </c>
      <c r="G208" s="43">
        <f>F208*'KiGa - PS'!L209</f>
        <v>208088.12480942224</v>
      </c>
      <c r="H208" s="42">
        <f t="shared" si="188"/>
        <v>0.61477011295832829</v>
      </c>
      <c r="I208" s="85">
        <f t="shared" si="189"/>
        <v>4427.4069108387712</v>
      </c>
      <c r="J208" s="365">
        <v>194400.3</v>
      </c>
      <c r="K208" s="43">
        <f>J208*'KiGa - PS'!L209</f>
        <v>42904.249469457645</v>
      </c>
      <c r="L208" s="42">
        <f t="shared" si="190"/>
        <v>0.12675519238249416</v>
      </c>
      <c r="M208" s="43">
        <f t="shared" si="191"/>
        <v>912.85637169058816</v>
      </c>
      <c r="N208" s="365">
        <v>42711.3</v>
      </c>
      <c r="O208" s="43">
        <f>N208*'KiGa - PS'!L209</f>
        <v>9426.4065969283311</v>
      </c>
      <c r="P208" s="42">
        <f t="shared" si="192"/>
        <v>2.7849129082652774E-2</v>
      </c>
      <c r="Q208" s="43">
        <f>O208/Funktional!C208</f>
        <v>4713.2032984641655</v>
      </c>
      <c r="R208" s="85">
        <f t="shared" si="193"/>
        <v>200.56184248783683</v>
      </c>
      <c r="S208" s="365">
        <v>7854.05</v>
      </c>
      <c r="T208" s="365">
        <v>124339.05</v>
      </c>
      <c r="U208" s="43">
        <f>T208*'KiGa - PS'!L209</f>
        <v>27441.694380077439</v>
      </c>
      <c r="V208" s="42">
        <f t="shared" si="194"/>
        <v>8.107302408178671E-2</v>
      </c>
      <c r="W208" s="43">
        <f t="shared" si="195"/>
        <v>583.86583787398808</v>
      </c>
      <c r="X208" s="365">
        <v>120905.55</v>
      </c>
      <c r="Y208" s="43">
        <f>X208*'KiGa - PS'!L209</f>
        <v>26683.919106307887</v>
      </c>
      <c r="Z208" s="91">
        <f t="shared" si="196"/>
        <v>7.8834272634153685E-2</v>
      </c>
      <c r="AA208" s="365">
        <v>171754.6</v>
      </c>
      <c r="AB208" s="43">
        <f>AA208*'KiGa - PS'!L209</f>
        <v>37906.331450758618</v>
      </c>
      <c r="AC208" s="43">
        <f t="shared" si="197"/>
        <v>806.5176904416727</v>
      </c>
      <c r="AD208" s="42">
        <f t="shared" si="198"/>
        <v>0.11198947411901285</v>
      </c>
      <c r="AE208" s="365">
        <v>151900.85</v>
      </c>
      <c r="AF208" s="43">
        <f>AE208*'KiGa - PS'!L209</f>
        <v>33524.598280057522</v>
      </c>
      <c r="AG208" s="42">
        <f t="shared" si="199"/>
        <v>9.9044196252857583E-2</v>
      </c>
      <c r="AH208" s="42"/>
      <c r="AI208" s="97">
        <f t="shared" si="200"/>
        <v>6.5412196458377994E-2</v>
      </c>
      <c r="AJ208" s="365">
        <v>63042</v>
      </c>
      <c r="AK208" s="43">
        <f>AJ208*'KiGa - PS'!$L209</f>
        <v>13913.402885970592</v>
      </c>
      <c r="AL208" s="365">
        <v>10445</v>
      </c>
      <c r="AM208" s="43">
        <f>AL208*'KiGa - PS'!$L209</f>
        <v>2305.2170480626064</v>
      </c>
      <c r="AN208" s="97">
        <f>(AK208+AM208)/Funktional!E208</f>
        <v>5.0676750848399565E-2</v>
      </c>
    </row>
    <row r="209" spans="1:40" x14ac:dyDescent="0.25">
      <c r="A209" t="str">
        <f>Funktional!A209</f>
        <v>Neuwilen</v>
      </c>
      <c r="B209" t="str">
        <f>Funktional!B209</f>
        <v>KiGa</v>
      </c>
      <c r="C209" s="43">
        <f>Funktional!D209</f>
        <v>31</v>
      </c>
      <c r="D209" s="43">
        <f>Funktional!J209-'KiGa - PS'!H210</f>
        <v>326892.04999999993</v>
      </c>
      <c r="E209" s="43">
        <f>'KiGa - PS'!C210+'KiGa - PS'!J210*Artengliederung!D209</f>
        <v>310992.88289332285</v>
      </c>
      <c r="F209" s="365">
        <v>591450.30000000005</v>
      </c>
      <c r="G209" s="43">
        <f>F209*'KiGa - PS'!L210</f>
        <v>197674.28756947647</v>
      </c>
      <c r="H209" s="42">
        <f t="shared" si="188"/>
        <v>0.63562318767687986</v>
      </c>
      <c r="I209" s="85">
        <f t="shared" si="189"/>
        <v>6376.5899215960153</v>
      </c>
      <c r="J209" s="365">
        <v>156089.5</v>
      </c>
      <c r="K209" s="43">
        <f>J209*'KiGa - PS'!L210</f>
        <v>52168.171543028708</v>
      </c>
      <c r="L209" s="42">
        <f t="shared" si="190"/>
        <v>0.16774715568305626</v>
      </c>
      <c r="M209" s="43">
        <f t="shared" si="191"/>
        <v>1682.8442433235066</v>
      </c>
      <c r="N209" s="365">
        <v>24444.45</v>
      </c>
      <c r="O209" s="43">
        <f>N209*'KiGa - PS'!L210</f>
        <v>8169.8145030574651</v>
      </c>
      <c r="P209" s="42">
        <f t="shared" si="192"/>
        <v>2.6270101190257415E-2</v>
      </c>
      <c r="Q209" s="43">
        <f>O209/Funktional!C209</f>
        <v>5446.5430020383101</v>
      </c>
      <c r="R209" s="85">
        <f t="shared" si="193"/>
        <v>263.54240332443436</v>
      </c>
      <c r="S209" s="365">
        <v>7499.1</v>
      </c>
      <c r="T209" s="365">
        <v>50187.8</v>
      </c>
      <c r="U209" s="43">
        <f>T209*'KiGa - PS'!L210</f>
        <v>16773.746855279929</v>
      </c>
      <c r="V209" s="42">
        <f t="shared" si="194"/>
        <v>5.3936111653827397E-2</v>
      </c>
      <c r="W209" s="43">
        <f t="shared" si="195"/>
        <v>541.08860823483644</v>
      </c>
      <c r="X209" s="365">
        <v>31746.9</v>
      </c>
      <c r="Y209" s="43">
        <f>X209*'KiGa - PS'!L210</f>
        <v>10610.436481373688</v>
      </c>
      <c r="Z209" s="91">
        <f t="shared" si="196"/>
        <v>3.4117939879072065E-2</v>
      </c>
      <c r="AA209" s="365">
        <v>89136.35</v>
      </c>
      <c r="AB209" s="43">
        <f>AA209*'KiGa - PS'!L210</f>
        <v>29791.115978457536</v>
      </c>
      <c r="AC209" s="43">
        <f t="shared" si="197"/>
        <v>961.00374124056566</v>
      </c>
      <c r="AD209" s="42">
        <f t="shared" si="198"/>
        <v>9.5793561901789628E-2</v>
      </c>
      <c r="AE209" s="365">
        <v>33597</v>
      </c>
      <c r="AF209" s="43">
        <f>AE209*'KiGa - PS'!L210</f>
        <v>11228.776178609936</v>
      </c>
      <c r="AG209" s="42">
        <f t="shared" si="199"/>
        <v>3.6106215917685952E-2</v>
      </c>
      <c r="AH209" s="42"/>
      <c r="AI209" s="97">
        <f t="shared" si="200"/>
        <v>4.6899983084446858E-2</v>
      </c>
      <c r="AJ209" s="365">
        <v>270194</v>
      </c>
      <c r="AK209" s="43">
        <f>AJ209*'KiGa - PS'!$L210</f>
        <v>90304.132833387892</v>
      </c>
      <c r="AL209" s="365">
        <v>174720</v>
      </c>
      <c r="AM209" s="43">
        <f>AL209*'KiGa - PS'!$L210</f>
        <v>58394.849954660473</v>
      </c>
      <c r="AN209" s="97">
        <f>(AK209+AM209)/Funktional!E209</f>
        <v>0.49729052812626512</v>
      </c>
    </row>
    <row r="210" spans="1:40" x14ac:dyDescent="0.25">
      <c r="A210" t="str">
        <f>Funktional!A210</f>
        <v>Nussbaumen</v>
      </c>
      <c r="B210" t="str">
        <f>Funktional!B210</f>
        <v>KiGa</v>
      </c>
      <c r="C210" s="43">
        <f>Funktional!D210</f>
        <v>13</v>
      </c>
      <c r="D210" s="43">
        <f>Funktional!J210-'KiGa - PS'!H211</f>
        <v>372613.44999999995</v>
      </c>
      <c r="E210" s="43">
        <f>'KiGa - PS'!C211+'KiGa - PS'!J211*Artengliederung!D210</f>
        <v>143173.02619076692</v>
      </c>
      <c r="F210" s="365">
        <v>508808</v>
      </c>
      <c r="G210" s="43">
        <f>F210*'KiGa - PS'!L211</f>
        <v>87898.975336697418</v>
      </c>
      <c r="H210" s="42">
        <f t="shared" si="188"/>
        <v>0.61393530384402761</v>
      </c>
      <c r="I210" s="85">
        <f t="shared" si="189"/>
        <v>6761.4596412844166</v>
      </c>
      <c r="J210" s="365">
        <v>84292.3</v>
      </c>
      <c r="K210" s="43">
        <f>J210*'KiGa - PS'!L211</f>
        <v>14561.891320052948</v>
      </c>
      <c r="L210" s="42">
        <f t="shared" si="190"/>
        <v>0.1017083434462743</v>
      </c>
      <c r="M210" s="43">
        <f t="shared" si="191"/>
        <v>1120.1454861579191</v>
      </c>
      <c r="N210" s="365">
        <v>17463.95</v>
      </c>
      <c r="O210" s="43">
        <f>N210*'KiGa - PS'!L211</f>
        <v>3016.9795096211478</v>
      </c>
      <c r="P210" s="42">
        <f t="shared" si="192"/>
        <v>2.1072261932923435E-2</v>
      </c>
      <c r="Q210" s="43">
        <f>O210/Funktional!C210</f>
        <v>6033.9590192422957</v>
      </c>
      <c r="R210" s="85">
        <f t="shared" si="193"/>
        <v>232.07534689393444</v>
      </c>
      <c r="S210" s="365">
        <v>6498.05</v>
      </c>
      <c r="T210" s="365">
        <v>103224.3</v>
      </c>
      <c r="U210" s="43">
        <f>T210*'KiGa - PS'!L211</f>
        <v>17832.483372603921</v>
      </c>
      <c r="V210" s="42">
        <f t="shared" si="194"/>
        <v>0.12455197635372689</v>
      </c>
      <c r="W210" s="43">
        <f t="shared" si="195"/>
        <v>1371.7294902003016</v>
      </c>
      <c r="X210" s="365">
        <v>91746.85</v>
      </c>
      <c r="Y210" s="43">
        <f>X210*'KiGa - PS'!L211</f>
        <v>15849.69989734768</v>
      </c>
      <c r="Z210" s="91">
        <f t="shared" si="196"/>
        <v>0.11070311439969976</v>
      </c>
      <c r="AA210" s="365">
        <v>96683.8</v>
      </c>
      <c r="AB210" s="43">
        <f>AA210*'KiGa - PS'!L211</f>
        <v>16702.581232327688</v>
      </c>
      <c r="AC210" s="43">
        <f t="shared" si="197"/>
        <v>1284.8139409482837</v>
      </c>
      <c r="AD210" s="42">
        <f t="shared" si="198"/>
        <v>0.11666011173133127</v>
      </c>
      <c r="AE210" s="365">
        <v>96453.4</v>
      </c>
      <c r="AF210" s="43">
        <f>AE210*'KiGa - PS'!L211</f>
        <v>16662.778548569619</v>
      </c>
      <c r="AG210" s="42">
        <f t="shared" si="199"/>
        <v>0.11638210766298787</v>
      </c>
      <c r="AH210" s="42"/>
      <c r="AI210" s="97">
        <f t="shared" si="200"/>
        <v>4.3144264624639897E-2</v>
      </c>
      <c r="AJ210" s="365">
        <v>70941</v>
      </c>
      <c r="AK210" s="43">
        <f>AJ210*'KiGa - PS'!$L211</f>
        <v>12255.391443060353</v>
      </c>
      <c r="AL210" s="365">
        <v>0</v>
      </c>
      <c r="AM210" s="43">
        <f>AL210*'KiGa - PS'!$L211</f>
        <v>0</v>
      </c>
      <c r="AN210" s="97">
        <f>(AK210+AM210)/Funktional!E210</f>
        <v>8.8281680546402896E-2</v>
      </c>
    </row>
    <row r="211" spans="1:40" x14ac:dyDescent="0.25">
      <c r="A211" t="str">
        <f>Funktional!A211</f>
        <v>Oberhofen-Lengwil</v>
      </c>
      <c r="B211" t="str">
        <f>Funktional!B211</f>
        <v>KiGa</v>
      </c>
      <c r="C211" s="43">
        <f>Funktional!D211</f>
        <v>35</v>
      </c>
      <c r="D211" s="43">
        <f>Funktional!J211-'KiGa - PS'!H212</f>
        <v>552336.90000000014</v>
      </c>
      <c r="E211" s="43">
        <f>'KiGa - PS'!C212+'KiGa - PS'!J212*Artengliederung!D211</f>
        <v>266154.98324542248</v>
      </c>
      <c r="F211" s="365">
        <v>662336.30000000005</v>
      </c>
      <c r="G211" s="43">
        <f>F211*'KiGa - PS'!L212</f>
        <v>150515.53171680201</v>
      </c>
      <c r="H211" s="42">
        <f t="shared" si="188"/>
        <v>0.56551836783762599</v>
      </c>
      <c r="I211" s="85">
        <f t="shared" si="189"/>
        <v>4300.4437633371999</v>
      </c>
      <c r="J211" s="365">
        <v>205126.6</v>
      </c>
      <c r="K211" s="43">
        <f>J211*'KiGa - PS'!L212</f>
        <v>46614.898305075163</v>
      </c>
      <c r="L211" s="42">
        <f t="shared" si="190"/>
        <v>0.17514193323253088</v>
      </c>
      <c r="M211" s="43">
        <f t="shared" si="191"/>
        <v>1331.8542372878619</v>
      </c>
      <c r="N211" s="365">
        <v>32140.35</v>
      </c>
      <c r="O211" s="43">
        <f>N211*'KiGa - PS'!L212</f>
        <v>7303.8754931809062</v>
      </c>
      <c r="P211" s="42">
        <f t="shared" si="192"/>
        <v>2.7442189524762631E-2</v>
      </c>
      <c r="Q211" s="43">
        <f>O211/Funktional!C211</f>
        <v>3651.9377465904531</v>
      </c>
      <c r="R211" s="85">
        <f t="shared" si="193"/>
        <v>208.68215694802589</v>
      </c>
      <c r="S211" s="365">
        <v>6566.5</v>
      </c>
      <c r="T211" s="365">
        <v>113649.60000000001</v>
      </c>
      <c r="U211" s="43">
        <f>T211*'KiGa - PS'!L212</f>
        <v>25826.804258504118</v>
      </c>
      <c r="V211" s="42">
        <f t="shared" si="194"/>
        <v>9.7036711255896829E-2</v>
      </c>
      <c r="W211" s="43">
        <f t="shared" si="195"/>
        <v>737.90869310011772</v>
      </c>
      <c r="X211" s="365">
        <v>113466.65</v>
      </c>
      <c r="Y211" s="43">
        <f>X211*'KiGa - PS'!L212</f>
        <v>25785.228979408603</v>
      </c>
      <c r="Z211" s="91">
        <f t="shared" si="196"/>
        <v>9.6880504227237971E-2</v>
      </c>
      <c r="AA211" s="365">
        <v>115997.85</v>
      </c>
      <c r="AB211" s="43">
        <f>AA211*'KiGa - PS'!L212</f>
        <v>26360.442679581116</v>
      </c>
      <c r="AC211" s="43">
        <f t="shared" si="197"/>
        <v>753.15550513088908</v>
      </c>
      <c r="AD211" s="42">
        <f t="shared" si="198"/>
        <v>9.9041702537930904E-2</v>
      </c>
      <c r="AE211" s="365">
        <v>114534.6</v>
      </c>
      <c r="AF211" s="43">
        <f>AE211*'KiGa - PS'!L212</f>
        <v>26027.919984109627</v>
      </c>
      <c r="AG211" s="42">
        <f t="shared" si="199"/>
        <v>9.7792345146922116E-2</v>
      </c>
      <c r="AH211" s="42"/>
      <c r="AI211" s="97">
        <f t="shared" si="200"/>
        <v>6.3261285136015366E-2</v>
      </c>
      <c r="AJ211" s="365">
        <v>49584</v>
      </c>
      <c r="AK211" s="43">
        <f>AJ211*'KiGa - PS'!$L212</f>
        <v>11267.934619687778</v>
      </c>
      <c r="AL211" s="365">
        <v>0</v>
      </c>
      <c r="AM211" s="43">
        <f>AL211*'KiGa - PS'!$L212</f>
        <v>0</v>
      </c>
      <c r="AN211" s="97">
        <f>(AK211+AM211)/Funktional!E211</f>
        <v>4.446397545011771E-2</v>
      </c>
    </row>
    <row r="212" spans="1:40" x14ac:dyDescent="0.25">
      <c r="A212" t="str">
        <f>Funktional!A212</f>
        <v>Ottoberg</v>
      </c>
      <c r="B212" t="str">
        <f>Funktional!B212</f>
        <v>KiGa</v>
      </c>
      <c r="C212" s="43">
        <f>Funktional!D212</f>
        <v>16</v>
      </c>
      <c r="D212" s="43">
        <f>Funktional!J212-'KiGa - PS'!H213</f>
        <v>551205.9</v>
      </c>
      <c r="E212" s="43">
        <f>'KiGa - PS'!C213+'KiGa - PS'!J213*Artengliederung!D212</f>
        <v>223586.16027268424</v>
      </c>
      <c r="F212" s="365">
        <v>494266.6</v>
      </c>
      <c r="G212" s="43">
        <f>F212*'KiGa - PS'!L213</f>
        <v>102523.00422619696</v>
      </c>
      <c r="H212" s="42">
        <f t="shared" si="188"/>
        <v>0.45853913364387389</v>
      </c>
      <c r="I212" s="85">
        <f t="shared" si="189"/>
        <v>6407.6877641373103</v>
      </c>
      <c r="J212" s="365">
        <v>86348.4</v>
      </c>
      <c r="K212" s="43">
        <f>J212*'KiGa - PS'!L213</f>
        <v>17910.774019780714</v>
      </c>
      <c r="L212" s="42">
        <f t="shared" si="190"/>
        <v>8.0106809821935535E-2</v>
      </c>
      <c r="M212" s="43">
        <f t="shared" si="191"/>
        <v>1119.4233762362946</v>
      </c>
      <c r="N212" s="365">
        <v>20781.099999999999</v>
      </c>
      <c r="O212" s="43">
        <f>N212*'KiGa - PS'!L213</f>
        <v>4310.5093549210524</v>
      </c>
      <c r="P212" s="42">
        <f t="shared" si="192"/>
        <v>1.9278963195503616E-2</v>
      </c>
      <c r="Q212" s="43">
        <f>O212/Funktional!C212</f>
        <v>4310.5093549210524</v>
      </c>
      <c r="R212" s="85">
        <f t="shared" si="193"/>
        <v>269.40683468256577</v>
      </c>
      <c r="S212" s="365">
        <v>12897.9</v>
      </c>
      <c r="T212" s="365">
        <v>143511.29999999999</v>
      </c>
      <c r="U212" s="43">
        <f>T212*'KiGa - PS'!L213</f>
        <v>29767.760185306917</v>
      </c>
      <c r="V212" s="42">
        <f t="shared" si="194"/>
        <v>0.13313775838809677</v>
      </c>
      <c r="W212" s="43">
        <f t="shared" si="195"/>
        <v>1860.4850115816823</v>
      </c>
      <c r="X212" s="365">
        <v>133452.35</v>
      </c>
      <c r="Y212" s="43">
        <f>X212*'KiGa - PS'!L213</f>
        <v>27681.287473290562</v>
      </c>
      <c r="Z212" s="91">
        <f t="shared" si="196"/>
        <v>0.12380590748340882</v>
      </c>
      <c r="AA212" s="365">
        <v>242931.9</v>
      </c>
      <c r="AB212" s="43">
        <f>AA212*'KiGa - PS'!L213</f>
        <v>50390.028803034758</v>
      </c>
      <c r="AC212" s="43">
        <f t="shared" si="197"/>
        <v>3149.3768001896724</v>
      </c>
      <c r="AD212" s="42">
        <f t="shared" si="198"/>
        <v>0.22537185996476439</v>
      </c>
      <c r="AE212" s="365">
        <v>241305</v>
      </c>
      <c r="AF212" s="43">
        <f>AE212*'KiGa - PS'!L213</f>
        <v>50052.569877880596</v>
      </c>
      <c r="AG212" s="42">
        <f t="shared" si="199"/>
        <v>0.22386255847337244</v>
      </c>
      <c r="AH212" s="42"/>
      <c r="AI212" s="97">
        <f t="shared" si="200"/>
        <v>0.10284443818132943</v>
      </c>
      <c r="AJ212" s="365">
        <v>34179.5</v>
      </c>
      <c r="AK212" s="43">
        <f>AJ212*'KiGa - PS'!$L213</f>
        <v>7089.6658259920841</v>
      </c>
      <c r="AL212" s="365">
        <v>0</v>
      </c>
      <c r="AM212" s="43">
        <f>AL212*'KiGa - PS'!$L213</f>
        <v>0</v>
      </c>
      <c r="AN212" s="97">
        <f>(AK212+AM212)/Funktional!E212</f>
        <v>3.4728397957497319E-2</v>
      </c>
    </row>
    <row r="213" spans="1:40" x14ac:dyDescent="0.25">
      <c r="A213" t="str">
        <f>Funktional!A213</f>
        <v>Pfyn</v>
      </c>
      <c r="B213" t="str">
        <f>Funktional!B213</f>
        <v>KiGa</v>
      </c>
      <c r="C213" s="43">
        <f>Funktional!D213</f>
        <v>33</v>
      </c>
      <c r="D213" s="43">
        <f>Funktional!J213-'KiGa - PS'!H214</f>
        <v>928268.89999999991</v>
      </c>
      <c r="E213" s="43">
        <f>'KiGa - PS'!C214+'KiGa - PS'!J214*Artengliederung!D213</f>
        <v>216464.53579132864</v>
      </c>
      <c r="F213" s="365">
        <v>1431838.4</v>
      </c>
      <c r="G213" s="43">
        <f>F213*'KiGa - PS'!L214</f>
        <v>136187.59628547152</v>
      </c>
      <c r="H213" s="42">
        <f t="shared" si="188"/>
        <v>0.62914507352260263</v>
      </c>
      <c r="I213" s="85">
        <f t="shared" si="189"/>
        <v>4126.8968571355008</v>
      </c>
      <c r="J213" s="365">
        <v>315430.15000000002</v>
      </c>
      <c r="K213" s="43">
        <f>J213*'KiGa - PS'!L214</f>
        <v>30001.761319200356</v>
      </c>
      <c r="L213" s="42">
        <f t="shared" si="190"/>
        <v>0.13859896823062967</v>
      </c>
      <c r="M213" s="43">
        <f t="shared" si="191"/>
        <v>909.14428240001075</v>
      </c>
      <c r="N213" s="365">
        <v>59159.6</v>
      </c>
      <c r="O213" s="43">
        <f>N213*'KiGa - PS'!L214</f>
        <v>5626.8945721877417</v>
      </c>
      <c r="P213" s="42">
        <f t="shared" si="192"/>
        <v>2.5994533245908034E-2</v>
      </c>
      <c r="Q213" s="43">
        <f>O213/Funktional!C213</f>
        <v>2813.4472860938708</v>
      </c>
      <c r="R213" s="85">
        <f t="shared" si="193"/>
        <v>170.51195673296186</v>
      </c>
      <c r="S213" s="365">
        <v>17776.650000000001</v>
      </c>
      <c r="T213" s="365">
        <v>137316.20000000001</v>
      </c>
      <c r="U213" s="43">
        <f>T213*'KiGa - PS'!L214</f>
        <v>13060.666070315663</v>
      </c>
      <c r="V213" s="42">
        <f t="shared" si="194"/>
        <v>6.0336285676403444E-2</v>
      </c>
      <c r="W213" s="43">
        <f t="shared" si="195"/>
        <v>395.77775970653522</v>
      </c>
      <c r="X213" s="365">
        <v>136934.65</v>
      </c>
      <c r="Y213" s="43">
        <f>X213*'KiGa - PS'!L214</f>
        <v>13024.375398573151</v>
      </c>
      <c r="Z213" s="91">
        <f t="shared" si="196"/>
        <v>6.0168633864018363E-2</v>
      </c>
      <c r="AA213" s="365">
        <v>257944.9</v>
      </c>
      <c r="AB213" s="43">
        <f>AA213*'KiGa - PS'!L214</f>
        <v>24534.120543977813</v>
      </c>
      <c r="AC213" s="43">
        <f t="shared" si="197"/>
        <v>743.45819830235803</v>
      </c>
      <c r="AD213" s="42">
        <f t="shared" si="198"/>
        <v>0.11334013885594939</v>
      </c>
      <c r="AE213" s="365">
        <v>159660</v>
      </c>
      <c r="AF213" s="43">
        <f>AE213*'KiGa - PS'!L214</f>
        <v>15185.869873959507</v>
      </c>
      <c r="AG213" s="42">
        <f t="shared" si="199"/>
        <v>7.0154077749708874E-2</v>
      </c>
      <c r="AH213" s="42"/>
      <c r="AI213" s="97">
        <f t="shared" si="200"/>
        <v>5.8579533714414864E-2</v>
      </c>
      <c r="AJ213" s="365">
        <v>628490.75</v>
      </c>
      <c r="AK213" s="43">
        <f>AJ213*'KiGa - PS'!$L214</f>
        <v>59778.14572521118</v>
      </c>
      <c r="AL213" s="365">
        <v>558164</v>
      </c>
      <c r="AM213" s="43">
        <f>AL213*'KiGa - PS'!$L214</f>
        <v>53089.10104176835</v>
      </c>
      <c r="AN213" s="97">
        <f>(AK213+AM213)/Funktional!E213</f>
        <v>0.55026983355082348</v>
      </c>
    </row>
    <row r="214" spans="1:40" x14ac:dyDescent="0.25">
      <c r="A214" t="str">
        <f>Funktional!A214</f>
        <v>Raperswilen-Illhart</v>
      </c>
      <c r="B214" t="str">
        <f>Funktional!B214</f>
        <v>KiGa</v>
      </c>
      <c r="C214" s="43">
        <f>Funktional!D214</f>
        <v>23</v>
      </c>
      <c r="D214" s="43">
        <f>Funktional!J214-'KiGa - PS'!H215</f>
        <v>265451.94999999995</v>
      </c>
      <c r="E214" s="43">
        <f>'KiGa - PS'!C215+'KiGa - PS'!J215*Artengliederung!D214</f>
        <v>152924.41728219617</v>
      </c>
      <c r="F214" s="365">
        <v>461185.25</v>
      </c>
      <c r="G214" s="43">
        <f>F214*'KiGa - PS'!L215</f>
        <v>97368.907474004111</v>
      </c>
      <c r="H214" s="42">
        <f t="shared" ref="H214:H229" si="201">G214/$E214</f>
        <v>0.63671262709032428</v>
      </c>
      <c r="I214" s="85">
        <f t="shared" ref="I214:I229" si="202">G214/C214</f>
        <v>4233.430759739309</v>
      </c>
      <c r="J214" s="365">
        <v>114948.45</v>
      </c>
      <c r="K214" s="43">
        <f>J214*'KiGa - PS'!L215</f>
        <v>24268.783514499188</v>
      </c>
      <c r="L214" s="42">
        <f t="shared" ref="L214:L229" si="203">K214/$E214</f>
        <v>0.15869789760071637</v>
      </c>
      <c r="M214" s="43">
        <f t="shared" ref="M214:M229" si="204">K214/C214</f>
        <v>1055.1645006303995</v>
      </c>
      <c r="N214" s="365">
        <v>29229.95</v>
      </c>
      <c r="O214" s="43">
        <f>N214*'KiGa - PS'!L215</f>
        <v>6171.2474477875567</v>
      </c>
      <c r="P214" s="42">
        <f t="shared" ref="P214:P229" si="205">O214/$E214</f>
        <v>4.0354886142214705E-2</v>
      </c>
      <c r="Q214" s="43">
        <f>O214/Funktional!C214</f>
        <v>6171.2474477875567</v>
      </c>
      <c r="R214" s="85">
        <f t="shared" ref="R214:R229" si="206">O214/C214</f>
        <v>268.31510642554593</v>
      </c>
      <c r="S214" s="365">
        <v>15199.85</v>
      </c>
      <c r="T214" s="365">
        <v>41576.9</v>
      </c>
      <c r="U214" s="43">
        <f>T214*'KiGa - PS'!L215</f>
        <v>8778.0286319996612</v>
      </c>
      <c r="V214" s="42">
        <f t="shared" ref="V214:V229" si="207">U214/$E214</f>
        <v>5.7401092565886928E-2</v>
      </c>
      <c r="W214" s="43">
        <f t="shared" ref="W214:W229" si="208">U214/C214</f>
        <v>381.65341878259397</v>
      </c>
      <c r="X214" s="365">
        <v>41479.9</v>
      </c>
      <c r="Y214" s="43">
        <f>X214*'KiGa - PS'!L215</f>
        <v>8757.5492605865929</v>
      </c>
      <c r="Z214" s="91">
        <f t="shared" ref="Z214:Z229" si="209">Y214/$E214</f>
        <v>5.7267174308900687E-2</v>
      </c>
      <c r="AA214" s="365">
        <v>80081.55</v>
      </c>
      <c r="AB214" s="43">
        <f>AA214*'KiGa - PS'!L215</f>
        <v>16907.420678186983</v>
      </c>
      <c r="AC214" s="43">
        <f t="shared" ref="AC214:AC229" si="210">AB214/C214</f>
        <v>735.10524687769498</v>
      </c>
      <c r="AD214" s="42">
        <f t="shared" ref="AD214:AD229" si="211">AB214/$E214</f>
        <v>0.11056063497686701</v>
      </c>
      <c r="AE214" s="365">
        <v>75999</v>
      </c>
      <c r="AF214" s="43">
        <f>AE214*'KiGa - PS'!L215</f>
        <v>16045.481938368232</v>
      </c>
      <c r="AG214" s="42">
        <f t="shared" ref="AG214:AG229" si="212">AF214/$E214</f>
        <v>0.10492426404842208</v>
      </c>
      <c r="AH214" s="42"/>
      <c r="AI214" s="97">
        <f t="shared" si="200"/>
        <v>3.6627747766205407E-2</v>
      </c>
      <c r="AJ214" s="365">
        <v>200271</v>
      </c>
      <c r="AK214" s="43">
        <f>AJ214*'KiGa - PS'!$L215</f>
        <v>42282.72363161284</v>
      </c>
      <c r="AL214" s="365">
        <v>208168</v>
      </c>
      <c r="AM214" s="43">
        <f>AL214*'KiGa - PS'!$L215</f>
        <v>43949.997817684947</v>
      </c>
      <c r="AN214" s="97">
        <f>(AK214+AM214)/Funktional!E214</f>
        <v>0.57934975617931206</v>
      </c>
    </row>
    <row r="215" spans="1:40" x14ac:dyDescent="0.25">
      <c r="A215" t="str">
        <f>Funktional!A215</f>
        <v>Rickenbach</v>
      </c>
      <c r="B215" t="str">
        <f>Funktional!B215</f>
        <v>KiGa</v>
      </c>
      <c r="C215" s="43">
        <f>Funktional!D215</f>
        <v>72</v>
      </c>
      <c r="D215" s="43">
        <f>Funktional!J215-'KiGa - PS'!H216</f>
        <v>910447.40000000014</v>
      </c>
      <c r="E215" s="43">
        <f>'KiGa - PS'!C216+'KiGa - PS'!J216*Artengliederung!D215</f>
        <v>400310.66940968565</v>
      </c>
      <c r="F215" s="365">
        <v>1578531.5</v>
      </c>
      <c r="G215" s="43">
        <f>F215*'KiGa - PS'!L216</f>
        <v>253348.60452020646</v>
      </c>
      <c r="H215" s="42">
        <f t="shared" si="201"/>
        <v>0.63287997018366904</v>
      </c>
      <c r="I215" s="85">
        <f t="shared" si="202"/>
        <v>3518.7306183362007</v>
      </c>
      <c r="J215" s="365">
        <v>371562.25</v>
      </c>
      <c r="K215" s="43">
        <f>J215*'KiGa - PS'!L216</f>
        <v>59634.399142423244</v>
      </c>
      <c r="L215" s="42">
        <f t="shared" si="203"/>
        <v>0.14897029657081723</v>
      </c>
      <c r="M215" s="43">
        <f t="shared" si="204"/>
        <v>828.25554364476727</v>
      </c>
      <c r="N215" s="365">
        <v>66561.55</v>
      </c>
      <c r="O215" s="43">
        <f>N215*'KiGa - PS'!L216</f>
        <v>10682.888372643782</v>
      </c>
      <c r="P215" s="42">
        <f t="shared" si="205"/>
        <v>2.6686494238080644E-2</v>
      </c>
      <c r="Q215" s="43">
        <f>O215/Funktional!C215</f>
        <v>3560.9627908812604</v>
      </c>
      <c r="R215" s="85">
        <f t="shared" si="206"/>
        <v>148.37344962005253</v>
      </c>
      <c r="S215" s="365">
        <v>27259.5</v>
      </c>
      <c r="T215" s="365">
        <v>63104.35</v>
      </c>
      <c r="U215" s="43">
        <f>T215*'KiGa - PS'!L216</f>
        <v>10128.020259117218</v>
      </c>
      <c r="V215" s="42">
        <f t="shared" si="207"/>
        <v>2.5300400496575341E-2</v>
      </c>
      <c r="W215" s="43">
        <f t="shared" si="208"/>
        <v>140.6669480432947</v>
      </c>
      <c r="X215" s="365">
        <v>60637.75</v>
      </c>
      <c r="Y215" s="43">
        <f>X215*'KiGa - PS'!L216</f>
        <v>9732.139867810778</v>
      </c>
      <c r="Z215" s="91">
        <f t="shared" si="209"/>
        <v>2.4311467596310102E-2</v>
      </c>
      <c r="AA215" s="365">
        <v>234353.95</v>
      </c>
      <c r="AB215" s="43">
        <f>AA215*'KiGa - PS'!L216</f>
        <v>37612.96255177565</v>
      </c>
      <c r="AC215" s="43">
        <f t="shared" si="210"/>
        <v>522.4022576635507</v>
      </c>
      <c r="AD215" s="42">
        <f t="shared" si="211"/>
        <v>9.3959430577359448E-2</v>
      </c>
      <c r="AE215" s="365">
        <v>225537.8</v>
      </c>
      <c r="AF215" s="43">
        <f>AE215*'KiGa - PS'!L216</f>
        <v>36198.002318330306</v>
      </c>
      <c r="AG215" s="42">
        <f t="shared" si="212"/>
        <v>9.0424775266942911E-2</v>
      </c>
      <c r="AH215" s="42"/>
      <c r="AI215" s="97">
        <f t="shared" si="200"/>
        <v>9.8889902171578947E-2</v>
      </c>
      <c r="AJ215" s="365">
        <v>109692.3</v>
      </c>
      <c r="AK215" s="43">
        <f>AJ215*'KiGa - PS'!$L216</f>
        <v>17605.217971014099</v>
      </c>
      <c r="AL215" s="365">
        <v>0</v>
      </c>
      <c r="AM215" s="43">
        <f>AL215*'KiGa - PS'!$L216</f>
        <v>0</v>
      </c>
      <c r="AN215" s="97">
        <f>(AK215+AM215)/Funktional!E215</f>
        <v>4.7947291169261462E-2</v>
      </c>
    </row>
    <row r="216" spans="1:40" x14ac:dyDescent="0.25">
      <c r="A216" t="str">
        <f>Funktional!A216</f>
        <v>Ringenzeichen</v>
      </c>
      <c r="B216" t="str">
        <f>Funktional!B216</f>
        <v>KiGa</v>
      </c>
      <c r="C216" s="43">
        <f>Funktional!D216</f>
        <v>0</v>
      </c>
      <c r="D216" s="43">
        <f>Funktional!J216-'KiGa - PS'!H217</f>
        <v>-285176.2</v>
      </c>
      <c r="E216" s="43">
        <f>'KiGa - PS'!C217+'KiGa - PS'!J217*Artengliederung!D216</f>
        <v>0</v>
      </c>
      <c r="F216" s="365">
        <v>272764.15000000002</v>
      </c>
      <c r="G216" s="43">
        <f>F216*'KiGa - PS'!L217</f>
        <v>0</v>
      </c>
      <c r="H216" s="42"/>
      <c r="I216" s="85"/>
      <c r="J216" s="365">
        <v>77456.45</v>
      </c>
      <c r="K216" s="43">
        <f>J216*'KiGa - PS'!L217</f>
        <v>0</v>
      </c>
      <c r="L216" s="42"/>
      <c r="M216" s="43"/>
      <c r="N216" s="365">
        <v>15434.9</v>
      </c>
      <c r="O216" s="43">
        <f>N216*'KiGa - PS'!L217</f>
        <v>0</v>
      </c>
      <c r="P216" s="42"/>
      <c r="Q216" s="43"/>
      <c r="R216" s="85"/>
      <c r="S216" s="365">
        <v>5535.2</v>
      </c>
      <c r="T216" s="365">
        <v>16097.8</v>
      </c>
      <c r="U216" s="43">
        <f>T216*'KiGa - PS'!L217</f>
        <v>0</v>
      </c>
      <c r="V216" s="42"/>
      <c r="W216" s="43"/>
      <c r="X216" s="365">
        <v>13517</v>
      </c>
      <c r="Y216" s="43">
        <f>X216*'KiGa - PS'!L217</f>
        <v>0</v>
      </c>
      <c r="Z216" s="91"/>
      <c r="AA216" s="365">
        <v>8571.85</v>
      </c>
      <c r="AB216" s="43">
        <f>AA216*'KiGa - PS'!L217</f>
        <v>0</v>
      </c>
      <c r="AC216" s="43"/>
      <c r="AD216" s="42"/>
      <c r="AE216" s="365">
        <v>8300</v>
      </c>
      <c r="AF216" s="43">
        <f>AE216*'KiGa - PS'!L217</f>
        <v>0</v>
      </c>
      <c r="AG216" s="42"/>
      <c r="AH216" s="42"/>
      <c r="AI216" s="97"/>
      <c r="AJ216" s="365">
        <v>13153</v>
      </c>
      <c r="AK216" s="43">
        <f>AJ216*'KiGa - PS'!$L217</f>
        <v>0</v>
      </c>
      <c r="AL216" s="365">
        <v>0</v>
      </c>
      <c r="AM216" s="43">
        <f>AL216*'KiGa - PS'!$L217</f>
        <v>0</v>
      </c>
      <c r="AN216" s="97"/>
    </row>
    <row r="217" spans="1:40" x14ac:dyDescent="0.25">
      <c r="A217" t="str">
        <f>Funktional!A217</f>
        <v>Romanshorn</v>
      </c>
      <c r="B217" t="str">
        <f>Funktional!B217</f>
        <v>KiGa</v>
      </c>
      <c r="C217" s="43">
        <f>Funktional!D217</f>
        <v>119</v>
      </c>
      <c r="D217" s="43">
        <f>Funktional!J217-'KiGa - PS'!H218</f>
        <v>3344534.5899999989</v>
      </c>
      <c r="E217" s="43">
        <f>'KiGa - PS'!C218+'KiGa - PS'!J218*Artengliederung!D217</f>
        <v>1002512.3100487511</v>
      </c>
      <c r="F217" s="365">
        <v>5357653.7</v>
      </c>
      <c r="G217" s="43">
        <f>F217*'KiGa - PS'!L218</f>
        <v>637958.93592578568</v>
      </c>
      <c r="H217" s="42">
        <f t="shared" si="201"/>
        <v>0.63636020179618791</v>
      </c>
      <c r="I217" s="85">
        <f t="shared" si="202"/>
        <v>5360.9994615612241</v>
      </c>
      <c r="J217" s="365">
        <v>952052.3</v>
      </c>
      <c r="K217" s="43">
        <f>J217*'KiGa - PS'!L218</f>
        <v>113364.97397241202</v>
      </c>
      <c r="L217" s="42">
        <f t="shared" si="203"/>
        <v>0.11308087974191479</v>
      </c>
      <c r="M217" s="43">
        <f t="shared" si="204"/>
        <v>952.64684010430267</v>
      </c>
      <c r="N217" s="365">
        <v>206215.05</v>
      </c>
      <c r="O217" s="43">
        <f>N217*'KiGa - PS'!L218</f>
        <v>24554.915497782673</v>
      </c>
      <c r="P217" s="42">
        <f t="shared" si="205"/>
        <v>2.4493380531744886E-2</v>
      </c>
      <c r="Q217" s="43">
        <f>O217/Funktional!C217</f>
        <v>4092.485916297112</v>
      </c>
      <c r="R217" s="85">
        <f t="shared" si="206"/>
        <v>206.34382771245944</v>
      </c>
      <c r="S217" s="365">
        <v>61744.1</v>
      </c>
      <c r="T217" s="365">
        <v>425725.75</v>
      </c>
      <c r="U217" s="43">
        <f>T217*'KiGa - PS'!L218</f>
        <v>50693.001390927348</v>
      </c>
      <c r="V217" s="42">
        <f t="shared" si="207"/>
        <v>5.0565964011416678E-2</v>
      </c>
      <c r="W217" s="43">
        <f t="shared" si="208"/>
        <v>425.99160832712056</v>
      </c>
      <c r="X217" s="365">
        <v>315396.3</v>
      </c>
      <c r="Y217" s="43">
        <f>X217*'KiGa - PS'!L218</f>
        <v>37555.597881014568</v>
      </c>
      <c r="Z217" s="91">
        <f t="shared" si="209"/>
        <v>3.7461483020780346E-2</v>
      </c>
      <c r="AA217" s="365">
        <v>601650.79</v>
      </c>
      <c r="AB217" s="43">
        <f>AA217*'KiGa - PS'!L218</f>
        <v>71641.154744157568</v>
      </c>
      <c r="AC217" s="43">
        <f t="shared" si="210"/>
        <v>602.02651045510561</v>
      </c>
      <c r="AD217" s="42">
        <f t="shared" si="211"/>
        <v>7.1461620995630207E-2</v>
      </c>
      <c r="AE217" s="365">
        <v>426194</v>
      </c>
      <c r="AF217" s="43">
        <f>AE217*'KiGa - PS'!L218</f>
        <v>50748.757938191171</v>
      </c>
      <c r="AG217" s="42">
        <f t="shared" si="212"/>
        <v>5.0621580831983315E-2</v>
      </c>
      <c r="AH217" s="42"/>
      <c r="AI217" s="97">
        <f t="shared" si="200"/>
        <v>0.12853133345485046</v>
      </c>
      <c r="AJ217" s="365">
        <v>335651.4</v>
      </c>
      <c r="AK217" s="43">
        <f>AJ217*'KiGa - PS'!$L218</f>
        <v>39967.460006980342</v>
      </c>
      <c r="AL217" s="365">
        <v>0</v>
      </c>
      <c r="AM217" s="43">
        <f>AL217*'KiGa - PS'!$L218</f>
        <v>0</v>
      </c>
      <c r="AN217" s="97">
        <f>(AK217+AM217)/Funktional!E217</f>
        <v>4.4091725597379935E-2</v>
      </c>
    </row>
    <row r="218" spans="1:40" x14ac:dyDescent="0.25">
      <c r="A218" t="str">
        <f>Funktional!A218</f>
        <v>Salenstein</v>
      </c>
      <c r="B218" t="str">
        <f>Funktional!B218</f>
        <v>KiGa</v>
      </c>
      <c r="C218" s="43">
        <f>Funktional!D218</f>
        <v>13</v>
      </c>
      <c r="D218" s="43">
        <f>Funktional!J218-'KiGa - PS'!H219</f>
        <v>869327.8</v>
      </c>
      <c r="E218" s="43">
        <f>'KiGa - PS'!C219+'KiGa - PS'!J219*Artengliederung!D218</f>
        <v>207142.41287102288</v>
      </c>
      <c r="F218" s="365">
        <v>708996.05</v>
      </c>
      <c r="G218" s="43">
        <f>F218*'KiGa - PS'!L219</f>
        <v>94473.914114804429</v>
      </c>
      <c r="H218" s="42">
        <f t="shared" si="201"/>
        <v>0.45608194287873127</v>
      </c>
      <c r="I218" s="85">
        <f t="shared" si="202"/>
        <v>7267.2241626772638</v>
      </c>
      <c r="J218" s="365">
        <v>186075.05</v>
      </c>
      <c r="K218" s="43">
        <f>J218*'KiGa - PS'!L219</f>
        <v>24794.550396448525</v>
      </c>
      <c r="L218" s="42">
        <f t="shared" si="203"/>
        <v>0.11969808622383306</v>
      </c>
      <c r="M218" s="43">
        <f t="shared" si="204"/>
        <v>1907.2731074191174</v>
      </c>
      <c r="N218" s="365">
        <v>33384.85</v>
      </c>
      <c r="O218" s="43">
        <f>N218*'KiGa - PS'!L219</f>
        <v>4448.5402304224808</v>
      </c>
      <c r="P218" s="42">
        <f t="shared" si="205"/>
        <v>2.147575751757011E-2</v>
      </c>
      <c r="Q218" s="43">
        <f>O218/Funktional!C218</f>
        <v>4448.5402304224808</v>
      </c>
      <c r="R218" s="85">
        <f t="shared" si="206"/>
        <v>342.19540234019081</v>
      </c>
      <c r="S218" s="365">
        <v>32252.9</v>
      </c>
      <c r="T218" s="365">
        <v>162810</v>
      </c>
      <c r="U218" s="43">
        <f>T218*'KiGa - PS'!L219</f>
        <v>21694.476234432208</v>
      </c>
      <c r="V218" s="42">
        <f t="shared" si="207"/>
        <v>0.10473217886063856</v>
      </c>
      <c r="W218" s="43">
        <f t="shared" si="208"/>
        <v>1668.805864187093</v>
      </c>
      <c r="X218" s="365">
        <v>162810</v>
      </c>
      <c r="Y218" s="43">
        <f>X218*'KiGa - PS'!L219</f>
        <v>21694.476234432208</v>
      </c>
      <c r="Z218" s="91">
        <f t="shared" si="209"/>
        <v>0.10473217886063856</v>
      </c>
      <c r="AA218" s="365">
        <v>400200</v>
      </c>
      <c r="AB218" s="43">
        <f>AA218*'KiGa - PS'!L219</f>
        <v>53326.757502731831</v>
      </c>
      <c r="AC218" s="43">
        <f t="shared" si="210"/>
        <v>4102.0582694409104</v>
      </c>
      <c r="AD218" s="42">
        <f t="shared" si="211"/>
        <v>0.25744007112602146</v>
      </c>
      <c r="AE218" s="365">
        <v>400200</v>
      </c>
      <c r="AF218" s="43">
        <f>AE218*'KiGa - PS'!L219</f>
        <v>53326.757502731831</v>
      </c>
      <c r="AG218" s="42">
        <f t="shared" si="212"/>
        <v>0.25744007112602146</v>
      </c>
      <c r="AH218" s="42"/>
      <c r="AI218" s="97">
        <f t="shared" si="200"/>
        <v>6.204772091077565E-2</v>
      </c>
      <c r="AJ218" s="365">
        <v>2944</v>
      </c>
      <c r="AK218" s="43">
        <f>AJ218*'KiGa - PS'!$L219</f>
        <v>392.28879082469393</v>
      </c>
      <c r="AL218" s="365">
        <v>0</v>
      </c>
      <c r="AM218" s="43">
        <f>AL218*'KiGa - PS'!$L219</f>
        <v>0</v>
      </c>
      <c r="AN218" s="97">
        <f>(AK218+AM218)/Funktional!E218</f>
        <v>1.9794291989137752E-3</v>
      </c>
    </row>
    <row r="219" spans="1:40" x14ac:dyDescent="0.25">
      <c r="A219" t="str">
        <f>Funktional!A219</f>
        <v>Salmsach-Hungerbühl</v>
      </c>
      <c r="B219" t="str">
        <f>Funktional!B219</f>
        <v>KiGa</v>
      </c>
      <c r="C219" s="43">
        <f>Funktional!D219</f>
        <v>36</v>
      </c>
      <c r="D219" s="43">
        <f>Funktional!J219-'KiGa - PS'!H220</f>
        <v>520821.55000000005</v>
      </c>
      <c r="E219" s="43">
        <f>'KiGa - PS'!C220+'KiGa - PS'!J220*Artengliederung!D219</f>
        <v>293093.43398826156</v>
      </c>
      <c r="F219" s="365">
        <v>1014568.6</v>
      </c>
      <c r="G219" s="43">
        <f>F219*'KiGa - PS'!L220</f>
        <v>204680.22744236089</v>
      </c>
      <c r="H219" s="42">
        <f t="shared" si="201"/>
        <v>0.69834463589709206</v>
      </c>
      <c r="I219" s="85">
        <f t="shared" si="202"/>
        <v>5685.561873398914</v>
      </c>
      <c r="J219" s="365">
        <v>203806.1</v>
      </c>
      <c r="K219" s="43">
        <f>J219*'KiGa - PS'!L220</f>
        <v>41116.075248278481</v>
      </c>
      <c r="L219" s="42">
        <f t="shared" si="203"/>
        <v>0.14028316734630494</v>
      </c>
      <c r="M219" s="43">
        <f t="shared" si="204"/>
        <v>1142.1132013410688</v>
      </c>
      <c r="N219" s="365">
        <v>53059.05</v>
      </c>
      <c r="O219" s="43">
        <f>N219*'KiGa - PS'!L220</f>
        <v>10704.193311202022</v>
      </c>
      <c r="P219" s="42">
        <f t="shared" si="205"/>
        <v>3.6521436749861566E-2</v>
      </c>
      <c r="Q219" s="43">
        <f>O219/Funktional!C219</f>
        <v>5352.0966556010108</v>
      </c>
      <c r="R219" s="85">
        <f t="shared" si="206"/>
        <v>297.33870308894507</v>
      </c>
      <c r="S219" s="365">
        <v>19655.3</v>
      </c>
      <c r="T219" s="365">
        <v>112833.3</v>
      </c>
      <c r="U219" s="43">
        <f>T219*'KiGa - PS'!L220</f>
        <v>22763.118735462678</v>
      </c>
      <c r="V219" s="42">
        <f t="shared" si="207"/>
        <v>7.766505863237573E-2</v>
      </c>
      <c r="W219" s="43">
        <f t="shared" si="208"/>
        <v>632.30885376285221</v>
      </c>
      <c r="X219" s="365">
        <v>110937.5</v>
      </c>
      <c r="Y219" s="43">
        <f>X219*'KiGa - PS'!L220</f>
        <v>22380.657879503575</v>
      </c>
      <c r="Z219" s="91">
        <f t="shared" si="209"/>
        <v>7.6360147598529701E-2</v>
      </c>
      <c r="AA219" s="365">
        <v>87486</v>
      </c>
      <c r="AB219" s="43">
        <f>AA219*'KiGa - PS'!L220</f>
        <v>17649.525500811265</v>
      </c>
      <c r="AC219" s="43">
        <f t="shared" si="210"/>
        <v>490.2645972447574</v>
      </c>
      <c r="AD219" s="42">
        <f t="shared" si="211"/>
        <v>6.0218085614016627E-2</v>
      </c>
      <c r="AE219" s="365">
        <v>87486</v>
      </c>
      <c r="AF219" s="43">
        <f>AE219*'KiGa - PS'!L220</f>
        <v>17649.525500811265</v>
      </c>
      <c r="AG219" s="42">
        <f t="shared" si="212"/>
        <v>6.0218085614016627E-2</v>
      </c>
      <c r="AH219" s="42"/>
      <c r="AI219" s="97">
        <f t="shared" si="200"/>
        <v>2.3489052510210641E-2</v>
      </c>
      <c r="AJ219" s="365">
        <v>328062</v>
      </c>
      <c r="AK219" s="43">
        <f>AJ219*'KiGa - PS'!$L220</f>
        <v>66183.602346057029</v>
      </c>
      <c r="AL219" s="365">
        <v>45480</v>
      </c>
      <c r="AM219" s="43">
        <f>AL219*'KiGa - PS'!$L220</f>
        <v>9175.1871131026255</v>
      </c>
      <c r="AN219" s="97">
        <f>(AK219+AM219)/Funktional!E219</f>
        <v>0.25797670452581489</v>
      </c>
    </row>
    <row r="220" spans="1:40" x14ac:dyDescent="0.25">
      <c r="A220" t="str">
        <f>Funktional!A220</f>
        <v>Scherzingen</v>
      </c>
      <c r="B220" t="str">
        <f>Funktional!B220</f>
        <v>KiGa</v>
      </c>
      <c r="C220" s="43">
        <f>Funktional!D220</f>
        <v>31</v>
      </c>
      <c r="D220" s="43">
        <f>Funktional!J220-'KiGa - PS'!H221</f>
        <v>575225.40000000014</v>
      </c>
      <c r="E220" s="43">
        <f>'KiGa - PS'!C221+'KiGa - PS'!J221*Artengliederung!D220</f>
        <v>249393.43476614857</v>
      </c>
      <c r="F220" s="365">
        <v>1140256.5</v>
      </c>
      <c r="G220" s="43">
        <f>F220*'KiGa - PS'!L221</f>
        <v>168978.4419627538</v>
      </c>
      <c r="H220" s="42">
        <f t="shared" si="201"/>
        <v>0.67755769962910872</v>
      </c>
      <c r="I220" s="85">
        <f t="shared" si="202"/>
        <v>5450.9174826694771</v>
      </c>
      <c r="J220" s="365">
        <v>187690.45</v>
      </c>
      <c r="K220" s="43">
        <f>J220*'KiGa - PS'!L221</f>
        <v>27814.478419801286</v>
      </c>
      <c r="L220" s="42">
        <f t="shared" si="203"/>
        <v>0.11152851094850347</v>
      </c>
      <c r="M220" s="43">
        <f t="shared" si="204"/>
        <v>897.24123934842862</v>
      </c>
      <c r="N220" s="365">
        <v>44482.75</v>
      </c>
      <c r="O220" s="43">
        <f>N220*'KiGa - PS'!L221</f>
        <v>6592.0481832102569</v>
      </c>
      <c r="P220" s="42">
        <f t="shared" si="205"/>
        <v>2.6432324449083808E-2</v>
      </c>
      <c r="Q220" s="43">
        <f>O220/Funktional!C220</f>
        <v>3296.0240916051284</v>
      </c>
      <c r="R220" s="85">
        <f t="shared" si="206"/>
        <v>212.64671558742765</v>
      </c>
      <c r="S220" s="365">
        <v>10965.5</v>
      </c>
      <c r="T220" s="365">
        <v>99444.65</v>
      </c>
      <c r="U220" s="43">
        <f>T220*'KiGa - PS'!L221</f>
        <v>14737.036814551255</v>
      </c>
      <c r="V220" s="42">
        <f t="shared" si="207"/>
        <v>5.909151870164462E-2</v>
      </c>
      <c r="W220" s="43">
        <f t="shared" si="208"/>
        <v>475.38828434036304</v>
      </c>
      <c r="X220" s="365">
        <v>88813.95</v>
      </c>
      <c r="Y220" s="43">
        <f>X220*'KiGa - PS'!L221</f>
        <v>13161.637662717045</v>
      </c>
      <c r="Z220" s="91">
        <f t="shared" si="209"/>
        <v>5.2774595590531319E-2</v>
      </c>
      <c r="AA220" s="365">
        <v>98409.7</v>
      </c>
      <c r="AB220" s="43">
        <f>AA220*'KiGa - PS'!L221</f>
        <v>14583.664096650195</v>
      </c>
      <c r="AC220" s="43">
        <f t="shared" si="210"/>
        <v>470.44077731129659</v>
      </c>
      <c r="AD220" s="42">
        <f t="shared" si="211"/>
        <v>5.8476535720858154E-2</v>
      </c>
      <c r="AE220" s="365">
        <v>91293.15</v>
      </c>
      <c r="AF220" s="43">
        <f>AE220*'KiGa - PS'!L221</f>
        <v>13529.038640754932</v>
      </c>
      <c r="AG220" s="42">
        <f t="shared" si="212"/>
        <v>5.4247773817465775E-2</v>
      </c>
      <c r="AH220" s="42"/>
      <c r="AI220" s="97">
        <f t="shared" si="200"/>
        <v>9.3345734999885049E-2</v>
      </c>
      <c r="AJ220" s="365">
        <v>108454</v>
      </c>
      <c r="AK220" s="43">
        <f>AJ220*'KiGa - PS'!$L221</f>
        <v>16072.162662197936</v>
      </c>
      <c r="AL220" s="365">
        <v>0</v>
      </c>
      <c r="AM220" s="43">
        <f>AL220*'KiGa - PS'!$L221</f>
        <v>0</v>
      </c>
      <c r="AN220" s="97">
        <f>(AK220+AM220)/Funktional!E220</f>
        <v>6.996934075279912E-2</v>
      </c>
    </row>
    <row r="221" spans="1:40" x14ac:dyDescent="0.25">
      <c r="A221" t="str">
        <f>Funktional!A221</f>
        <v>Schlatt</v>
      </c>
      <c r="B221" t="str">
        <f>Funktional!B221</f>
        <v>KiGa</v>
      </c>
      <c r="C221" s="43">
        <f>Funktional!D221</f>
        <v>57</v>
      </c>
      <c r="D221" s="43">
        <f>Funktional!J221-'KiGa - PS'!H222</f>
        <v>1080024.2000000002</v>
      </c>
      <c r="E221" s="43">
        <f>'KiGa - PS'!C222+'KiGa - PS'!J222*Artengliederung!D221</f>
        <v>473758.64545421628</v>
      </c>
      <c r="F221" s="365">
        <v>1108667.1000000001</v>
      </c>
      <c r="G221" s="43">
        <f>F221*'KiGa - PS'!L222</f>
        <v>257871.87835027601</v>
      </c>
      <c r="H221" s="42">
        <f t="shared" si="201"/>
        <v>0.54431065443257765</v>
      </c>
      <c r="I221" s="85">
        <f t="shared" si="202"/>
        <v>4524.068041232912</v>
      </c>
      <c r="J221" s="365">
        <v>271995.25</v>
      </c>
      <c r="K221" s="43">
        <f>J221*'KiGa - PS'!L222</f>
        <v>63265.091946764638</v>
      </c>
      <c r="L221" s="42">
        <f t="shared" si="203"/>
        <v>0.13353865423629199</v>
      </c>
      <c r="M221" s="43">
        <f t="shared" si="204"/>
        <v>1109.9138938028884</v>
      </c>
      <c r="N221" s="365">
        <v>62364.35</v>
      </c>
      <c r="O221" s="43">
        <f>N221*'KiGa - PS'!L222</f>
        <v>14505.71779084455</v>
      </c>
      <c r="P221" s="42">
        <f t="shared" si="205"/>
        <v>3.0618370619785076E-2</v>
      </c>
      <c r="Q221" s="43">
        <f>O221/Funktional!C221</f>
        <v>5802.2871163378204</v>
      </c>
      <c r="R221" s="85">
        <f t="shared" si="206"/>
        <v>254.48627703236053</v>
      </c>
      <c r="S221" s="365">
        <v>10557.7</v>
      </c>
      <c r="T221" s="365">
        <v>130159.7</v>
      </c>
      <c r="U221" s="43">
        <f>T221*'KiGa - PS'!L222</f>
        <v>30274.666150468805</v>
      </c>
      <c r="V221" s="42">
        <f t="shared" si="207"/>
        <v>6.3903142329873389E-2</v>
      </c>
      <c r="W221" s="43">
        <f t="shared" si="208"/>
        <v>531.13449386787374</v>
      </c>
      <c r="X221" s="365">
        <v>123389.55</v>
      </c>
      <c r="Y221" s="43">
        <f>X221*'KiGa - PS'!L222</f>
        <v>28699.954230891577</v>
      </c>
      <c r="Z221" s="91">
        <f t="shared" si="209"/>
        <v>6.0579272813851205E-2</v>
      </c>
      <c r="AA221" s="365">
        <v>347380.5</v>
      </c>
      <c r="AB221" s="43">
        <f>AA221*'KiGa - PS'!L222</f>
        <v>80799.423052472688</v>
      </c>
      <c r="AC221" s="43">
        <f t="shared" si="210"/>
        <v>1417.5337377626788</v>
      </c>
      <c r="AD221" s="42">
        <f t="shared" si="211"/>
        <v>0.17054975951944099</v>
      </c>
      <c r="AE221" s="365">
        <v>344062.75</v>
      </c>
      <c r="AF221" s="43">
        <f>AE221*'KiGa - PS'!L222</f>
        <v>80027.726639368499</v>
      </c>
      <c r="AG221" s="42">
        <f t="shared" si="212"/>
        <v>0.1689208786103352</v>
      </c>
      <c r="AH221" s="42"/>
      <c r="AI221" s="97">
        <f t="shared" si="200"/>
        <v>8.769778948181603E-2</v>
      </c>
      <c r="AJ221" s="365">
        <v>319427</v>
      </c>
      <c r="AK221" s="43">
        <f>AJ221*'KiGa - PS'!$L222</f>
        <v>74297.542053690966</v>
      </c>
      <c r="AL221" s="365">
        <v>0</v>
      </c>
      <c r="AM221" s="43">
        <f>AL221*'KiGa - PS'!$L222</f>
        <v>0</v>
      </c>
      <c r="AN221" s="97">
        <f>(AK221+AM221)/Funktional!E221</f>
        <v>0.16885006570138653</v>
      </c>
    </row>
    <row r="222" spans="1:40" x14ac:dyDescent="0.25">
      <c r="A222" t="str">
        <f>Funktional!A222</f>
        <v>Schlattingen</v>
      </c>
      <c r="B222" t="str">
        <f>Funktional!B222</f>
        <v>KiGa</v>
      </c>
      <c r="C222" s="43">
        <f>Funktional!D222</f>
        <v>17</v>
      </c>
      <c r="D222" s="43">
        <f>Funktional!J222-'KiGa - PS'!H223</f>
        <v>253389</v>
      </c>
      <c r="E222" s="43">
        <f>'KiGa - PS'!C223+'KiGa - PS'!J223*Artengliederung!D222</f>
        <v>137843.71629213355</v>
      </c>
      <c r="F222" s="365">
        <v>554529.25</v>
      </c>
      <c r="G222" s="43">
        <f>F222*'KiGa - PS'!L223</f>
        <v>96747.15889374484</v>
      </c>
      <c r="H222" s="42">
        <f t="shared" si="201"/>
        <v>0.70186122005523721</v>
      </c>
      <c r="I222" s="85">
        <f t="shared" si="202"/>
        <v>5691.0093466908729</v>
      </c>
      <c r="J222" s="365">
        <v>118652.25</v>
      </c>
      <c r="K222" s="43">
        <f>J222*'KiGa - PS'!L223</f>
        <v>20700.924403627647</v>
      </c>
      <c r="L222" s="42">
        <f t="shared" si="203"/>
        <v>0.15017677236556778</v>
      </c>
      <c r="M222" s="43">
        <f t="shared" si="204"/>
        <v>1217.7014355075087</v>
      </c>
      <c r="N222" s="365">
        <v>34841.9</v>
      </c>
      <c r="O222" s="43">
        <f>N222*'KiGa - PS'!L223</f>
        <v>6078.7683164773871</v>
      </c>
      <c r="P222" s="42">
        <f t="shared" si="205"/>
        <v>4.4098987461964487E-2</v>
      </c>
      <c r="Q222" s="43">
        <f>O222/Funktional!C222</f>
        <v>6078.7683164773871</v>
      </c>
      <c r="R222" s="85">
        <f t="shared" si="206"/>
        <v>357.57460685161101</v>
      </c>
      <c r="S222" s="365">
        <v>5022.5</v>
      </c>
      <c r="T222" s="365">
        <v>41538.9</v>
      </c>
      <c r="U222" s="43">
        <f>T222*'KiGa - PS'!L223</f>
        <v>7247.1750743019911</v>
      </c>
      <c r="V222" s="42">
        <f t="shared" si="207"/>
        <v>5.2575302445727605E-2</v>
      </c>
      <c r="W222" s="43">
        <f t="shared" si="208"/>
        <v>426.30441613541126</v>
      </c>
      <c r="X222" s="365">
        <v>41538.9</v>
      </c>
      <c r="Y222" s="43">
        <f>X222*'KiGa - PS'!L223</f>
        <v>7247.1750743019911</v>
      </c>
      <c r="Z222" s="91">
        <f t="shared" si="209"/>
        <v>5.2575302445727605E-2</v>
      </c>
      <c r="AA222" s="365">
        <v>55011</v>
      </c>
      <c r="AB222" s="43">
        <f>AA222*'KiGa - PS'!L223</f>
        <v>9597.6144773315336</v>
      </c>
      <c r="AC222" s="43">
        <f t="shared" si="210"/>
        <v>564.56555749009021</v>
      </c>
      <c r="AD222" s="42">
        <f t="shared" si="211"/>
        <v>6.9626782674599499E-2</v>
      </c>
      <c r="AE222" s="365">
        <v>51631</v>
      </c>
      <c r="AF222" s="43">
        <f>AE222*'KiGa - PS'!L223</f>
        <v>9007.9153819982257</v>
      </c>
      <c r="AG222" s="42">
        <f t="shared" si="212"/>
        <v>6.5348755999204644E-2</v>
      </c>
      <c r="AH222" s="42"/>
      <c r="AI222" s="97">
        <f t="shared" si="200"/>
        <v>2.5759922458867893E-2</v>
      </c>
      <c r="AJ222" s="365">
        <v>248379</v>
      </c>
      <c r="AK222" s="43">
        <f>AJ222*'KiGa - PS'!$L223</f>
        <v>43333.985680411715</v>
      </c>
      <c r="AL222" s="365">
        <v>84342</v>
      </c>
      <c r="AM222" s="43">
        <f>AL222*'KiGa - PS'!$L223</f>
        <v>14714.911567633677</v>
      </c>
      <c r="AN222" s="97">
        <f>(AK222+AM222)/Funktional!E222</f>
        <v>0.42537052970438172</v>
      </c>
    </row>
    <row r="223" spans="1:40" x14ac:dyDescent="0.25">
      <c r="A223" t="str">
        <f>Funktional!A223</f>
        <v>Schmidshof</v>
      </c>
      <c r="B223" t="str">
        <f>Funktional!B223</f>
        <v>KiGa</v>
      </c>
      <c r="C223" s="43">
        <f>Funktional!D223</f>
        <v>0</v>
      </c>
      <c r="D223" s="43">
        <f>Funktional!J223-'KiGa - PS'!H224</f>
        <v>-188340.24999999997</v>
      </c>
      <c r="E223" s="43">
        <f>'KiGa - PS'!C224+'KiGa - PS'!J224*Artengliederung!D223</f>
        <v>0</v>
      </c>
      <c r="F223" s="365">
        <v>168435.05</v>
      </c>
      <c r="G223" s="43">
        <f>F223*'KiGa - PS'!L224</f>
        <v>0</v>
      </c>
      <c r="H223" s="42"/>
      <c r="I223" s="85"/>
      <c r="J223" s="365">
        <v>32677.8</v>
      </c>
      <c r="K223" s="43">
        <f>J223*'KiGa - PS'!L224</f>
        <v>0</v>
      </c>
      <c r="L223" s="42"/>
      <c r="M223" s="43"/>
      <c r="N223" s="365">
        <v>5516.25</v>
      </c>
      <c r="O223" s="43">
        <f>N223*'KiGa - PS'!L224</f>
        <v>0</v>
      </c>
      <c r="P223" s="42"/>
      <c r="Q223" s="43"/>
      <c r="R223" s="85"/>
      <c r="S223" s="365">
        <v>5178.25</v>
      </c>
      <c r="T223" s="365">
        <v>34934.300000000003</v>
      </c>
      <c r="U223" s="43">
        <f>T223*'KiGa - PS'!L224</f>
        <v>0</v>
      </c>
      <c r="V223" s="42"/>
      <c r="W223" s="43"/>
      <c r="X223" s="365">
        <v>33785.15</v>
      </c>
      <c r="Y223" s="43">
        <f>X223*'KiGa - PS'!L224</f>
        <v>0</v>
      </c>
      <c r="Z223" s="91"/>
      <c r="AA223" s="365">
        <v>80331.350000000006</v>
      </c>
      <c r="AB223" s="43">
        <f>AA223*'KiGa - PS'!L224</f>
        <v>0</v>
      </c>
      <c r="AC223" s="43"/>
      <c r="AD223" s="42"/>
      <c r="AE223" s="365">
        <v>39500</v>
      </c>
      <c r="AF223" s="43">
        <f>AE223*'KiGa - PS'!L224</f>
        <v>0</v>
      </c>
      <c r="AG223" s="42"/>
      <c r="AH223" s="42"/>
      <c r="AI223" s="97"/>
      <c r="AJ223" s="365">
        <v>17302</v>
      </c>
      <c r="AK223" s="43">
        <f>AJ223*'KiGa - PS'!$L224</f>
        <v>0</v>
      </c>
      <c r="AL223" s="365">
        <v>128141</v>
      </c>
      <c r="AM223" s="43">
        <f>AL223*'KiGa - PS'!$L224</f>
        <v>0</v>
      </c>
      <c r="AN223" s="97"/>
    </row>
    <row r="224" spans="1:40" x14ac:dyDescent="0.25">
      <c r="A224" t="str">
        <f>Funktional!A224</f>
        <v>Schönenberg-Kradolf</v>
      </c>
      <c r="B224" t="str">
        <f>Funktional!B224</f>
        <v>KiGa</v>
      </c>
      <c r="C224" s="43">
        <f>Funktional!D224</f>
        <v>70</v>
      </c>
      <c r="D224" s="43">
        <f>Funktional!J224-'KiGa - PS'!H225</f>
        <v>1794344.2999999998</v>
      </c>
      <c r="E224" s="43">
        <f>'KiGa - PS'!C225+'KiGa - PS'!J225*Artengliederung!D224</f>
        <v>581709.86616475927</v>
      </c>
      <c r="F224" s="365">
        <v>2373995.4500000002</v>
      </c>
      <c r="G224" s="43">
        <f>F224*'KiGa - PS'!L225</f>
        <v>356748.36445996165</v>
      </c>
      <c r="H224" s="42">
        <f t="shared" si="201"/>
        <v>0.61327542338592356</v>
      </c>
      <c r="I224" s="85">
        <f t="shared" si="202"/>
        <v>5096.4052065708811</v>
      </c>
      <c r="J224" s="365">
        <v>391633.2</v>
      </c>
      <c r="K224" s="43">
        <f>J224*'KiGa - PS'!L225</f>
        <v>58852.051956637515</v>
      </c>
      <c r="L224" s="42">
        <f t="shared" si="203"/>
        <v>0.10117079901816327</v>
      </c>
      <c r="M224" s="43">
        <f t="shared" si="204"/>
        <v>840.7435993805359</v>
      </c>
      <c r="N224" s="365">
        <v>99364.1</v>
      </c>
      <c r="O224" s="43">
        <f>N224*'KiGa - PS'!L225</f>
        <v>14931.781002796815</v>
      </c>
      <c r="P224" s="42">
        <f t="shared" si="205"/>
        <v>2.5668777291406032E-2</v>
      </c>
      <c r="Q224" s="43">
        <f>O224/Funktional!C224</f>
        <v>3732.9452506992038</v>
      </c>
      <c r="R224" s="85">
        <f t="shared" si="206"/>
        <v>213.31115718281166</v>
      </c>
      <c r="S224" s="365">
        <v>13897.8</v>
      </c>
      <c r="T224" s="365">
        <v>245044.25</v>
      </c>
      <c r="U224" s="43">
        <f>T224*'KiGa - PS'!L225</f>
        <v>36823.632247407193</v>
      </c>
      <c r="V224" s="42">
        <f t="shared" si="207"/>
        <v>6.3302402777156153E-2</v>
      </c>
      <c r="W224" s="43">
        <f t="shared" si="208"/>
        <v>526.05188924867423</v>
      </c>
      <c r="X224" s="365">
        <v>244829.6</v>
      </c>
      <c r="Y224" s="43">
        <f>X224*'KiGa - PS'!L225</f>
        <v>36791.376062404262</v>
      </c>
      <c r="Z224" s="91">
        <f t="shared" si="209"/>
        <v>6.3246952136073523E-2</v>
      </c>
      <c r="AA224" s="365">
        <v>626807.30000000005</v>
      </c>
      <c r="AB224" s="43">
        <f>AA224*'KiGa - PS'!L225</f>
        <v>94192.463219154248</v>
      </c>
      <c r="AC224" s="43">
        <f t="shared" si="210"/>
        <v>1345.6066174164891</v>
      </c>
      <c r="AD224" s="42">
        <f t="shared" si="211"/>
        <v>0.16192344104487968</v>
      </c>
      <c r="AE224" s="365">
        <v>326878</v>
      </c>
      <c r="AF224" s="43">
        <f>AE224*'KiGa - PS'!L225</f>
        <v>49121.06797759168</v>
      </c>
      <c r="AG224" s="42">
        <f t="shared" si="212"/>
        <v>8.4442556048514722E-2</v>
      </c>
      <c r="AH224" s="42"/>
      <c r="AI224" s="97">
        <f t="shared" ref="AI224:AI238" si="213">1-H224-L224-V224-AD224</f>
        <v>6.0327933773877324E-2</v>
      </c>
      <c r="AJ224" s="365">
        <v>1143091.05</v>
      </c>
      <c r="AK224" s="43">
        <f>AJ224*'KiGa - PS'!$L225</f>
        <v>171776.1769578456</v>
      </c>
      <c r="AL224" s="365">
        <v>988702</v>
      </c>
      <c r="AM224" s="43">
        <f>AL224*'KiGa - PS'!$L225</f>
        <v>148575.60971243354</v>
      </c>
      <c r="AN224" s="97">
        <f>(AK224+AM224)/Funktional!E224</f>
        <v>0.57849480739652981</v>
      </c>
    </row>
    <row r="225" spans="1:40" x14ac:dyDescent="0.25">
      <c r="A225" t="str">
        <f>Funktional!A225</f>
        <v>Schönholzerswilen</v>
      </c>
      <c r="B225" t="str">
        <f>Funktional!B225</f>
        <v>KiGa</v>
      </c>
      <c r="C225" s="43">
        <f>Funktional!D225</f>
        <v>22</v>
      </c>
      <c r="D225" s="43">
        <f>Funktional!J225-'KiGa - PS'!H226</f>
        <v>485205.65</v>
      </c>
      <c r="E225" s="43">
        <f>'KiGa - PS'!C226+'KiGa - PS'!J226*Artengliederung!D225</f>
        <v>215405.21042037857</v>
      </c>
      <c r="F225" s="365">
        <v>586148.15</v>
      </c>
      <c r="G225" s="43">
        <f>F225*'KiGa - PS'!L226</f>
        <v>124610.07031115182</v>
      </c>
      <c r="H225" s="42">
        <f t="shared" si="201"/>
        <v>0.57849143977514017</v>
      </c>
      <c r="I225" s="85">
        <f t="shared" si="202"/>
        <v>5664.0941050523552</v>
      </c>
      <c r="J225" s="365">
        <v>141839.70000000001</v>
      </c>
      <c r="K225" s="43">
        <f>J225*'KiGa - PS'!L226</f>
        <v>30153.903906226918</v>
      </c>
      <c r="L225" s="42">
        <f t="shared" si="203"/>
        <v>0.13998688261708914</v>
      </c>
      <c r="M225" s="43">
        <f t="shared" si="204"/>
        <v>1370.6319957375872</v>
      </c>
      <c r="N225" s="365">
        <v>22361.3</v>
      </c>
      <c r="O225" s="43">
        <f>N225*'KiGa - PS'!L226</f>
        <v>4753.8206258072451</v>
      </c>
      <c r="P225" s="42">
        <f t="shared" si="205"/>
        <v>2.2069199795723728E-2</v>
      </c>
      <c r="Q225" s="43">
        <f>O225/Funktional!C225</f>
        <v>4753.8206258072451</v>
      </c>
      <c r="R225" s="85">
        <f t="shared" si="206"/>
        <v>216.08275571851115</v>
      </c>
      <c r="S225" s="365">
        <v>5683.5</v>
      </c>
      <c r="T225" s="365">
        <v>89221.4</v>
      </c>
      <c r="U225" s="43">
        <f>T225*'KiGa - PS'!L226</f>
        <v>18967.704542374486</v>
      </c>
      <c r="V225" s="42">
        <f t="shared" si="207"/>
        <v>8.8055922627673033E-2</v>
      </c>
      <c r="W225" s="43">
        <f t="shared" si="208"/>
        <v>862.16838828974937</v>
      </c>
      <c r="X225" s="365">
        <v>88267</v>
      </c>
      <c r="Y225" s="43">
        <f>X225*'KiGa - PS'!L226</f>
        <v>18764.807286612504</v>
      </c>
      <c r="Z225" s="91">
        <f t="shared" si="209"/>
        <v>8.7113989721936846E-2</v>
      </c>
      <c r="AA225" s="365">
        <v>145737</v>
      </c>
      <c r="AB225" s="43">
        <f>AA225*'KiGa - PS'!L226</f>
        <v>30982.436465825805</v>
      </c>
      <c r="AC225" s="43">
        <f t="shared" si="210"/>
        <v>1408.2925666284457</v>
      </c>
      <c r="AD225" s="42">
        <f t="shared" si="211"/>
        <v>0.14383327313838593</v>
      </c>
      <c r="AE225" s="365">
        <v>68345.5</v>
      </c>
      <c r="AF225" s="43">
        <f>AE225*'KiGa - PS'!L226</f>
        <v>14529.66721886067</v>
      </c>
      <c r="AG225" s="42">
        <f t="shared" si="212"/>
        <v>6.7452719414284323E-2</v>
      </c>
      <c r="AH225" s="42"/>
      <c r="AI225" s="97">
        <f t="shared" si="213"/>
        <v>4.9632481841711734E-2</v>
      </c>
      <c r="AJ225" s="365">
        <v>208171</v>
      </c>
      <c r="AK225" s="43">
        <f>AJ225*'KiGa - PS'!$L226</f>
        <v>44255.369477397115</v>
      </c>
      <c r="AL225" s="365">
        <v>350794</v>
      </c>
      <c r="AM225" s="43">
        <f>AL225*'KiGa - PS'!$L226</f>
        <v>74575.796246614773</v>
      </c>
      <c r="AN225" s="97">
        <f>(AK225+AM225)/Funktional!E225</f>
        <v>0.57554999098523141</v>
      </c>
    </row>
    <row r="226" spans="1:40" x14ac:dyDescent="0.25">
      <c r="A226" t="str">
        <f>Funktional!A226</f>
        <v>Schurten</v>
      </c>
      <c r="B226" t="str">
        <f>Funktional!B226</f>
        <v>KiGa</v>
      </c>
      <c r="C226" s="43">
        <f>Funktional!D226</f>
        <v>0</v>
      </c>
      <c r="D226" s="43">
        <f>Funktional!J226-'KiGa - PS'!H227</f>
        <v>-152729.95000000001</v>
      </c>
      <c r="E226" s="43">
        <f>'KiGa - PS'!C227+'KiGa - PS'!J227*Artengliederung!D226</f>
        <v>0</v>
      </c>
      <c r="F226" s="365">
        <v>175817.25</v>
      </c>
      <c r="G226" s="43">
        <f>F226*'KiGa - PS'!L227</f>
        <v>0</v>
      </c>
      <c r="H226" s="42"/>
      <c r="I226" s="85"/>
      <c r="J226" s="365">
        <v>23192</v>
      </c>
      <c r="K226" s="43">
        <f>J226*'KiGa - PS'!L227</f>
        <v>0</v>
      </c>
      <c r="L226" s="42"/>
      <c r="M226" s="43"/>
      <c r="N226" s="365">
        <v>6317.95</v>
      </c>
      <c r="O226" s="43">
        <f>N226*'KiGa - PS'!L227</f>
        <v>0</v>
      </c>
      <c r="P226" s="42"/>
      <c r="Q226" s="43"/>
      <c r="R226" s="85"/>
      <c r="S226" s="365">
        <v>905.6</v>
      </c>
      <c r="T226" s="365">
        <v>17504.3</v>
      </c>
      <c r="U226" s="43">
        <f>T226*'KiGa - PS'!L227</f>
        <v>0</v>
      </c>
      <c r="V226" s="42"/>
      <c r="W226" s="43"/>
      <c r="X226" s="365">
        <v>13218.95</v>
      </c>
      <c r="Y226" s="43">
        <f>X226*'KiGa - PS'!L227</f>
        <v>0</v>
      </c>
      <c r="Z226" s="91"/>
      <c r="AA226" s="365">
        <v>33453.75</v>
      </c>
      <c r="AB226" s="43">
        <f>AA226*'KiGa - PS'!L227</f>
        <v>0</v>
      </c>
      <c r="AC226" s="43"/>
      <c r="AD226" s="42"/>
      <c r="AE226" s="365">
        <v>20763</v>
      </c>
      <c r="AF226" s="43">
        <f>AE226*'KiGa - PS'!L227</f>
        <v>0</v>
      </c>
      <c r="AG226" s="42"/>
      <c r="AH226" s="42"/>
      <c r="AI226" s="97"/>
      <c r="AJ226" s="365">
        <v>67803</v>
      </c>
      <c r="AK226" s="43">
        <f>AJ226*'KiGa - PS'!$L227</f>
        <v>0</v>
      </c>
      <c r="AL226" s="365">
        <v>122394</v>
      </c>
      <c r="AM226" s="43">
        <f>AL226*'KiGa - PS'!$L227</f>
        <v>0</v>
      </c>
      <c r="AN226" s="97"/>
    </row>
    <row r="227" spans="1:40" x14ac:dyDescent="0.25">
      <c r="A227" t="str">
        <f>Funktional!A227</f>
        <v>Sirnach</v>
      </c>
      <c r="B227" t="str">
        <f>Funktional!B227</f>
        <v>KiGa</v>
      </c>
      <c r="C227" s="43">
        <f>Funktional!D227</f>
        <v>139</v>
      </c>
      <c r="D227" s="43">
        <f>Funktional!J227-'KiGa - PS'!H228</f>
        <v>2135004.3499999996</v>
      </c>
      <c r="E227" s="43">
        <f>'KiGa - PS'!C228+'KiGa - PS'!J228*Artengliederung!D227</f>
        <v>899078.2969234637</v>
      </c>
      <c r="F227" s="365">
        <v>3660021.25</v>
      </c>
      <c r="G227" s="43">
        <f>F227*'KiGa - PS'!L228</f>
        <v>609606.14918073791</v>
      </c>
      <c r="H227" s="42">
        <f t="shared" si="201"/>
        <v>0.67803455079133357</v>
      </c>
      <c r="I227" s="85">
        <f t="shared" si="202"/>
        <v>4385.6557495017114</v>
      </c>
      <c r="J227" s="365">
        <v>772708.3</v>
      </c>
      <c r="K227" s="43">
        <f>J227*'KiGa - PS'!L228</f>
        <v>128700.81866409777</v>
      </c>
      <c r="L227" s="42">
        <f t="shared" si="203"/>
        <v>0.14314750907067414</v>
      </c>
      <c r="M227" s="43">
        <f t="shared" si="204"/>
        <v>925.90517024530766</v>
      </c>
      <c r="N227" s="365">
        <v>114745.5</v>
      </c>
      <c r="O227" s="43">
        <f>N227*'KiGa - PS'!L228</f>
        <v>19111.791329303993</v>
      </c>
      <c r="P227" s="42">
        <f t="shared" si="205"/>
        <v>2.125709339742958E-2</v>
      </c>
      <c r="Q227" s="43">
        <f>O227/Funktional!C227</f>
        <v>3185.2985548839988</v>
      </c>
      <c r="R227" s="85">
        <f t="shared" si="206"/>
        <v>137.494901649669</v>
      </c>
      <c r="S227" s="365">
        <v>26935.35</v>
      </c>
      <c r="T227" s="365">
        <v>215553.55</v>
      </c>
      <c r="U227" s="43">
        <f>T227*'KiGa - PS'!L228</f>
        <v>35902.187605533072</v>
      </c>
      <c r="V227" s="42">
        <f t="shared" si="207"/>
        <v>3.993221472299574E-2</v>
      </c>
      <c r="W227" s="43">
        <f t="shared" si="208"/>
        <v>258.28911946426672</v>
      </c>
      <c r="X227" s="365">
        <v>211906.75</v>
      </c>
      <c r="Y227" s="43">
        <f>X227*'KiGa - PS'!L228</f>
        <v>35294.783562501267</v>
      </c>
      <c r="Z227" s="91">
        <f t="shared" si="209"/>
        <v>3.9256629465170848E-2</v>
      </c>
      <c r="AA227" s="365">
        <v>358265.25</v>
      </c>
      <c r="AB227" s="43">
        <f>AA227*'KiGa - PS'!L228</f>
        <v>59671.975794614409</v>
      </c>
      <c r="AC227" s="43">
        <f t="shared" si="210"/>
        <v>429.29478988931231</v>
      </c>
      <c r="AD227" s="42">
        <f t="shared" si="211"/>
        <v>6.6370165978652404E-2</v>
      </c>
      <c r="AE227" s="365">
        <v>311436</v>
      </c>
      <c r="AF227" s="43">
        <f>AE227*'KiGa - PS'!L228</f>
        <v>51872.185353091132</v>
      </c>
      <c r="AG227" s="42">
        <f t="shared" si="212"/>
        <v>5.7694847635174185E-2</v>
      </c>
      <c r="AH227" s="42"/>
      <c r="AI227" s="97">
        <f t="shared" si="213"/>
        <v>7.2515559436344149E-2</v>
      </c>
      <c r="AJ227" s="365">
        <v>510809.85</v>
      </c>
      <c r="AK227" s="43">
        <f>AJ227*'KiGa - PS'!$L228</f>
        <v>85079.513027988665</v>
      </c>
      <c r="AL227" s="365">
        <v>864533.4</v>
      </c>
      <c r="AM227" s="43">
        <f>AL227*'KiGa - PS'!$L228</f>
        <v>143995.03194472726</v>
      </c>
      <c r="AN227" s="97">
        <f>(AK227+AM227)/Funktional!E227</f>
        <v>0.26636146936502708</v>
      </c>
    </row>
    <row r="228" spans="1:40" x14ac:dyDescent="0.25">
      <c r="A228" t="str">
        <f>Funktional!A228</f>
        <v>Sitterdorf</v>
      </c>
      <c r="B228" t="str">
        <f>Funktional!B228</f>
        <v>KiGa</v>
      </c>
      <c r="C228" s="43">
        <f>Funktional!D228</f>
        <v>38</v>
      </c>
      <c r="D228" s="43">
        <f>Funktional!J228-'KiGa - PS'!H229</f>
        <v>684902.02999999991</v>
      </c>
      <c r="E228" s="43">
        <f>'KiGa - PS'!C229+'KiGa - PS'!J229*Artengliederung!D228</f>
        <v>314844.54577335296</v>
      </c>
      <c r="F228" s="365">
        <v>962977.95</v>
      </c>
      <c r="G228" s="43">
        <f>F228*'KiGa - PS'!L229</f>
        <v>191135.15478315507</v>
      </c>
      <c r="H228" s="42">
        <f t="shared" si="201"/>
        <v>0.60707786540709985</v>
      </c>
      <c r="I228" s="85">
        <f t="shared" si="202"/>
        <v>5029.8724942935542</v>
      </c>
      <c r="J228" s="365">
        <v>173786</v>
      </c>
      <c r="K228" s="43">
        <f>J228*'KiGa - PS'!L229</f>
        <v>34493.639245992483</v>
      </c>
      <c r="L228" s="42">
        <f t="shared" si="203"/>
        <v>0.10955768397151593</v>
      </c>
      <c r="M228" s="43">
        <f t="shared" si="204"/>
        <v>907.72734857874957</v>
      </c>
      <c r="N228" s="365">
        <v>47623.65</v>
      </c>
      <c r="O228" s="43">
        <f>N228*'KiGa - PS'!L229</f>
        <v>9452.5048201662394</v>
      </c>
      <c r="P228" s="42">
        <f t="shared" si="205"/>
        <v>3.0022768210730928E-2</v>
      </c>
      <c r="Q228" s="43">
        <f>O228/Funktional!C228</f>
        <v>4726.2524100831197</v>
      </c>
      <c r="R228" s="85">
        <f t="shared" si="206"/>
        <v>248.75012684647999</v>
      </c>
      <c r="S228" s="365">
        <v>8667.6</v>
      </c>
      <c r="T228" s="365">
        <v>157305.65</v>
      </c>
      <c r="U228" s="43">
        <f>T228*'KiGa - PS'!L229</f>
        <v>31222.563051433124</v>
      </c>
      <c r="V228" s="42">
        <f t="shared" si="207"/>
        <v>9.9168187826602208E-2</v>
      </c>
      <c r="W228" s="43">
        <f t="shared" si="208"/>
        <v>821.64639609034532</v>
      </c>
      <c r="X228" s="365">
        <v>155757.65</v>
      </c>
      <c r="Y228" s="43">
        <f>X228*'KiGa - PS'!L229</f>
        <v>30915.310720676927</v>
      </c>
      <c r="Z228" s="91">
        <f t="shared" si="209"/>
        <v>9.8192301996973208E-2</v>
      </c>
      <c r="AA228" s="365">
        <v>207096.23</v>
      </c>
      <c r="AB228" s="43">
        <f>AA228*'KiGa - PS'!L229</f>
        <v>41105.167544135234</v>
      </c>
      <c r="AC228" s="43">
        <f t="shared" si="210"/>
        <v>1081.7149353719799</v>
      </c>
      <c r="AD228" s="42">
        <f t="shared" si="211"/>
        <v>0.13055702598616906</v>
      </c>
      <c r="AE228" s="365">
        <v>143000</v>
      </c>
      <c r="AF228" s="43">
        <f>AE228*'KiGa - PS'!L229</f>
        <v>28383.128745565955</v>
      </c>
      <c r="AG228" s="42">
        <f t="shared" si="212"/>
        <v>9.0149659972188656E-2</v>
      </c>
      <c r="AH228" s="42"/>
      <c r="AI228" s="97">
        <f t="shared" si="213"/>
        <v>5.3639236808612961E-2</v>
      </c>
      <c r="AJ228" s="365">
        <v>435135</v>
      </c>
      <c r="AK228" s="43">
        <f>AJ228*'KiGa - PS'!$L229</f>
        <v>86367.082004907978</v>
      </c>
      <c r="AL228" s="365">
        <v>247877</v>
      </c>
      <c r="AM228" s="43">
        <f>AL228*'KiGa - PS'!$L229</f>
        <v>49199.474154298267</v>
      </c>
      <c r="AN228" s="97">
        <f>(AK228+AM228)/Funktional!E228</f>
        <v>0.45180371625907439</v>
      </c>
    </row>
    <row r="229" spans="1:40" x14ac:dyDescent="0.25">
      <c r="A229" t="str">
        <f>Funktional!A229</f>
        <v>Sommeri</v>
      </c>
      <c r="B229" t="str">
        <f>Funktional!B229</f>
        <v>KiGa</v>
      </c>
      <c r="C229" s="43">
        <f>Funktional!D229</f>
        <v>13</v>
      </c>
      <c r="D229" s="43">
        <f>Funktional!J229-'KiGa - PS'!H230</f>
        <v>288568.95</v>
      </c>
      <c r="E229" s="43">
        <f>'KiGa - PS'!C230+'KiGa - PS'!J230*Artengliederung!D229</f>
        <v>145891.94407864721</v>
      </c>
      <c r="F229" s="365">
        <v>377081.05</v>
      </c>
      <c r="G229" s="43">
        <f>F229*'KiGa - PS'!L230</f>
        <v>85809.405031068192</v>
      </c>
      <c r="H229" s="42">
        <f t="shared" si="201"/>
        <v>0.58817096154952997</v>
      </c>
      <c r="I229" s="85">
        <f t="shared" si="202"/>
        <v>6600.7234639283224</v>
      </c>
      <c r="J229" s="365">
        <v>83541.149999999994</v>
      </c>
      <c r="K229" s="43">
        <f>J229*'KiGa - PS'!L230</f>
        <v>19010.810479898744</v>
      </c>
      <c r="L229" s="42">
        <f t="shared" si="203"/>
        <v>0.13030747242390864</v>
      </c>
      <c r="M229" s="43">
        <f t="shared" si="204"/>
        <v>1462.370036915288</v>
      </c>
      <c r="N229" s="365">
        <v>12980.85</v>
      </c>
      <c r="O229" s="43">
        <f>N229*'KiGa - PS'!L230</f>
        <v>2953.9511871454206</v>
      </c>
      <c r="P229" s="42">
        <f t="shared" si="205"/>
        <v>2.0247527756248208E-2</v>
      </c>
      <c r="Q229" s="43">
        <f>O229/Funktional!C229</f>
        <v>5907.9023742908412</v>
      </c>
      <c r="R229" s="85">
        <f t="shared" si="206"/>
        <v>227.22701439580158</v>
      </c>
      <c r="S229" s="365">
        <v>6226.1</v>
      </c>
      <c r="T229" s="365">
        <v>75261.850000000006</v>
      </c>
      <c r="U229" s="43">
        <f>T229*'KiGa - PS'!L230</f>
        <v>17126.754500226147</v>
      </c>
      <c r="V229" s="42">
        <f t="shared" si="207"/>
        <v>0.11739342160656575</v>
      </c>
      <c r="W229" s="43">
        <f t="shared" si="208"/>
        <v>1317.4426538635498</v>
      </c>
      <c r="X229" s="365">
        <v>75215.95</v>
      </c>
      <c r="Y229" s="43">
        <f>X229*'KiGa - PS'!L230</f>
        <v>17116.309393820171</v>
      </c>
      <c r="Z229" s="91">
        <f t="shared" si="209"/>
        <v>0.11732182679389848</v>
      </c>
      <c r="AA229" s="365">
        <v>64047.1</v>
      </c>
      <c r="AB229" s="43">
        <f>AA229*'KiGa - PS'!L230</f>
        <v>14574.700969368067</v>
      </c>
      <c r="AC229" s="43">
        <f t="shared" si="210"/>
        <v>1121.1308437975435</v>
      </c>
      <c r="AD229" s="42">
        <f t="shared" si="211"/>
        <v>9.9900656348174771E-2</v>
      </c>
      <c r="AE229" s="365">
        <v>61280</v>
      </c>
      <c r="AF229" s="43">
        <f>AE229*'KiGa - PS'!L230</f>
        <v>13945.013519782708</v>
      </c>
      <c r="AG229" s="42">
        <f t="shared" si="212"/>
        <v>9.5584534210231997E-2</v>
      </c>
      <c r="AH229" s="42"/>
      <c r="AI229" s="97">
        <f t="shared" si="213"/>
        <v>6.422748807182091E-2</v>
      </c>
      <c r="AJ229" s="365">
        <v>119546</v>
      </c>
      <c r="AK229" s="43">
        <f>AJ229*'KiGa - PS'!$L230</f>
        <v>27204.154475129628</v>
      </c>
      <c r="AL229" s="365">
        <v>219282</v>
      </c>
      <c r="AM229" s="43">
        <f>AL229*'KiGa - PS'!$L230</f>
        <v>49900.301152822976</v>
      </c>
      <c r="AN229" s="97">
        <f>(AK229+AM229)/Funktional!E229</f>
        <v>0.55915722101032905</v>
      </c>
    </row>
    <row r="230" spans="1:40" x14ac:dyDescent="0.25">
      <c r="A230" t="str">
        <f>Funktional!A230</f>
        <v>Sonterswil</v>
      </c>
      <c r="B230" t="str">
        <f>Funktional!B230</f>
        <v>KiGa</v>
      </c>
      <c r="C230" s="43">
        <f>Funktional!D230</f>
        <v>18</v>
      </c>
      <c r="D230" s="43">
        <f>Funktional!J230-'KiGa - PS'!H231</f>
        <v>294922.84999999998</v>
      </c>
      <c r="E230" s="43">
        <f>'KiGa - PS'!C231+'KiGa - PS'!J231*Artengliederung!D230</f>
        <v>140230.6442509059</v>
      </c>
      <c r="F230" s="365">
        <v>551467.35</v>
      </c>
      <c r="G230" s="43">
        <f>F230*'KiGa - PS'!L231</f>
        <v>98793.909163836623</v>
      </c>
      <c r="H230" s="42">
        <f t="shared" ref="H230:H245" si="214">G230/$E230</f>
        <v>0.70451012823609993</v>
      </c>
      <c r="I230" s="85">
        <f t="shared" ref="I230:I245" si="215">G230/C230</f>
        <v>5488.550509102035</v>
      </c>
      <c r="J230" s="365">
        <v>114541.35</v>
      </c>
      <c r="K230" s="43">
        <f>J230*'KiGa - PS'!L231</f>
        <v>20519.778237828981</v>
      </c>
      <c r="L230" s="42">
        <f t="shared" ref="L230:L245" si="216">K230/$E230</f>
        <v>0.14632877390988969</v>
      </c>
      <c r="M230" s="43">
        <f t="shared" ref="M230:M245" si="217">K230/C230</f>
        <v>1139.9876798793878</v>
      </c>
      <c r="N230" s="365">
        <v>23079.85</v>
      </c>
      <c r="O230" s="43">
        <f>N230*'KiGa - PS'!L231</f>
        <v>4134.6937482608437</v>
      </c>
      <c r="P230" s="42">
        <f t="shared" ref="P230:P245" si="218">O230/$E230</f>
        <v>2.9484951526450205E-2</v>
      </c>
      <c r="Q230" s="43">
        <f>O230/Funktional!C230</f>
        <v>4134.6937482608437</v>
      </c>
      <c r="R230" s="85">
        <f t="shared" ref="R230:R245" si="219">O230/C230</f>
        <v>229.70520823671353</v>
      </c>
      <c r="S230" s="365">
        <v>18089.099999999999</v>
      </c>
      <c r="T230" s="365">
        <v>47082.25</v>
      </c>
      <c r="U230" s="43">
        <f>T230*'KiGa - PS'!L231</f>
        <v>8434.6598755647938</v>
      </c>
      <c r="V230" s="42">
        <f t="shared" ref="V230:V245" si="220">U230/$E230</f>
        <v>6.014847839159311E-2</v>
      </c>
      <c r="W230" s="43">
        <f t="shared" ref="W230:W245" si="221">U230/C230</f>
        <v>468.59221530915522</v>
      </c>
      <c r="X230" s="365">
        <v>3656.2</v>
      </c>
      <c r="Y230" s="43">
        <f>X230*'KiGa - PS'!L231</f>
        <v>654.99850659303661</v>
      </c>
      <c r="Z230" s="91">
        <f t="shared" ref="Z230:Z245" si="222">Y230/$E230</f>
        <v>4.6708657019437841E-3</v>
      </c>
      <c r="AA230" s="365">
        <v>58197.75</v>
      </c>
      <c r="AB230" s="43">
        <f>AA230*'KiGa - PS'!L231</f>
        <v>10425.972139673677</v>
      </c>
      <c r="AC230" s="43">
        <f t="shared" ref="AC230:AC245" si="223">AB230/C230</f>
        <v>579.22067442631533</v>
      </c>
      <c r="AD230" s="42">
        <f t="shared" ref="AD230:AD245" si="224">AB230/$E230</f>
        <v>7.4348743068021125E-2</v>
      </c>
      <c r="AE230" s="365">
        <v>56943</v>
      </c>
      <c r="AF230" s="43">
        <f>AE230*'KiGa - PS'!L231</f>
        <v>10201.187014093126</v>
      </c>
      <c r="AG230" s="42">
        <f t="shared" ref="AG230:AG245" si="225">AF230/$E230</f>
        <v>7.2745775850824604E-2</v>
      </c>
      <c r="AH230" s="42"/>
      <c r="AI230" s="97">
        <f t="shared" si="213"/>
        <v>1.4663876394396147E-2</v>
      </c>
      <c r="AJ230" s="365">
        <v>212221</v>
      </c>
      <c r="AK230" s="43">
        <f>AJ230*'KiGa - PS'!$L231</f>
        <v>38018.827763164169</v>
      </c>
      <c r="AL230" s="365">
        <v>12890</v>
      </c>
      <c r="AM230" s="43">
        <f>AL230*'KiGa - PS'!$L231</f>
        <v>2309.2092199508347</v>
      </c>
      <c r="AN230" s="97">
        <f>(AK230+AM230)/Funktional!E230</f>
        <v>0.29033609177835068</v>
      </c>
    </row>
    <row r="231" spans="1:40" x14ac:dyDescent="0.25">
      <c r="A231" t="str">
        <f>Funktional!A231</f>
        <v>Steckborn</v>
      </c>
      <c r="B231" t="str">
        <f>Funktional!B231</f>
        <v>KiGa</v>
      </c>
      <c r="C231" s="43">
        <f>Funktional!D231</f>
        <v>64</v>
      </c>
      <c r="D231" s="43">
        <f>Funktional!J231-'KiGa - PS'!H232</f>
        <v>1792859.6</v>
      </c>
      <c r="E231" s="43">
        <f>'KiGa - PS'!C232+'KiGa - PS'!J232*Artengliederung!D231</f>
        <v>676673.08280152024</v>
      </c>
      <c r="F231" s="365">
        <v>2775899.6</v>
      </c>
      <c r="G231" s="43">
        <f>F231*'KiGa - PS'!L232</f>
        <v>449058.10711623315</v>
      </c>
      <c r="H231" s="42">
        <f t="shared" si="214"/>
        <v>0.66362637812792913</v>
      </c>
      <c r="I231" s="85">
        <f t="shared" si="215"/>
        <v>7016.532923691143</v>
      </c>
      <c r="J231" s="365">
        <v>622223.6</v>
      </c>
      <c r="K231" s="43">
        <f>J231*'KiGa - PS'!L232</f>
        <v>100657.29755465515</v>
      </c>
      <c r="L231" s="42">
        <f t="shared" si="216"/>
        <v>0.14875321645412581</v>
      </c>
      <c r="M231" s="43">
        <f t="shared" si="217"/>
        <v>1572.7702742914867</v>
      </c>
      <c r="N231" s="365">
        <v>113487.45</v>
      </c>
      <c r="O231" s="43">
        <f>N231*'KiGa - PS'!L232</f>
        <v>18358.898671424624</v>
      </c>
      <c r="P231" s="42">
        <f t="shared" si="218"/>
        <v>2.7131120090393195E-2</v>
      </c>
      <c r="Q231" s="43">
        <f>O231/Funktional!C231</f>
        <v>3671.7797342849249</v>
      </c>
      <c r="R231" s="85">
        <f t="shared" si="219"/>
        <v>286.85779174100975</v>
      </c>
      <c r="S231" s="365">
        <v>96802.6</v>
      </c>
      <c r="T231" s="365">
        <v>153896.1</v>
      </c>
      <c r="U231" s="43">
        <f>T231*'KiGa - PS'!L232</f>
        <v>24895.818047083016</v>
      </c>
      <c r="V231" s="42">
        <f t="shared" si="220"/>
        <v>3.6791500474661828E-2</v>
      </c>
      <c r="W231" s="43">
        <f t="shared" si="221"/>
        <v>388.99715698567212</v>
      </c>
      <c r="X231" s="365">
        <v>133436.4</v>
      </c>
      <c r="Y231" s="43">
        <f>X231*'KiGa - PS'!L232</f>
        <v>21586.046269254308</v>
      </c>
      <c r="Z231" s="91">
        <f t="shared" si="222"/>
        <v>3.1900258511665766E-2</v>
      </c>
      <c r="AA231" s="365">
        <v>252813.55</v>
      </c>
      <c r="AB231" s="43">
        <f>AA231*'KiGa - PS'!L232</f>
        <v>40897.723468217351</v>
      </c>
      <c r="AC231" s="43">
        <f t="shared" si="223"/>
        <v>639.02692919089611</v>
      </c>
      <c r="AD231" s="42">
        <f t="shared" si="224"/>
        <v>6.0439412336153693E-2</v>
      </c>
      <c r="AE231" s="365">
        <v>237980</v>
      </c>
      <c r="AF231" s="43">
        <f>AE231*'KiGa - PS'!L232</f>
        <v>38498.095655736666</v>
      </c>
      <c r="AG231" s="42">
        <f t="shared" si="225"/>
        <v>5.6893197962521611E-2</v>
      </c>
      <c r="AH231" s="42"/>
      <c r="AI231" s="97">
        <f t="shared" si="213"/>
        <v>9.0389492607129529E-2</v>
      </c>
      <c r="AJ231" s="365">
        <v>301289.3</v>
      </c>
      <c r="AK231" s="43">
        <f>AJ231*'KiGa - PS'!$L232</f>
        <v>48739.660019539209</v>
      </c>
      <c r="AL231" s="365">
        <v>17549</v>
      </c>
      <c r="AM231" s="43">
        <f>AL231*'KiGa - PS'!$L232</f>
        <v>2838.9069697559576</v>
      </c>
      <c r="AN231" s="97">
        <f>(AK231+AM231)/Funktional!E231</f>
        <v>8.2288705671688431E-2</v>
      </c>
    </row>
    <row r="232" spans="1:40" x14ac:dyDescent="0.25">
      <c r="A232" t="str">
        <f>Funktional!A232</f>
        <v>Steinebrunn</v>
      </c>
      <c r="B232" t="str">
        <f>Funktional!B232</f>
        <v>KiGa</v>
      </c>
      <c r="C232" s="43">
        <f>Funktional!D232</f>
        <v>19</v>
      </c>
      <c r="D232" s="43">
        <f>Funktional!J232-'KiGa - PS'!H233</f>
        <v>258013.15000000002</v>
      </c>
      <c r="E232" s="43">
        <f>'KiGa - PS'!C233+'KiGa - PS'!J233*Artengliederung!D232</f>
        <v>134527.97180979216</v>
      </c>
      <c r="F232" s="365">
        <v>500989.95</v>
      </c>
      <c r="G232" s="43">
        <f>F232*'KiGa - PS'!L233</f>
        <v>87045.425186813853</v>
      </c>
      <c r="H232" s="42">
        <f t="shared" si="214"/>
        <v>0.64704331757774936</v>
      </c>
      <c r="I232" s="85">
        <f t="shared" si="215"/>
        <v>4581.3381677270445</v>
      </c>
      <c r="J232" s="365">
        <v>129296.2</v>
      </c>
      <c r="K232" s="43">
        <f>J232*'KiGa - PS'!L233</f>
        <v>22464.807336034028</v>
      </c>
      <c r="L232" s="42">
        <f t="shared" si="216"/>
        <v>0.16698986117026138</v>
      </c>
      <c r="M232" s="43">
        <f t="shared" si="217"/>
        <v>1182.3582808438962</v>
      </c>
      <c r="N232" s="365">
        <v>30730.25</v>
      </c>
      <c r="O232" s="43">
        <f>N232*'KiGa - PS'!L233</f>
        <v>5339.2841060925202</v>
      </c>
      <c r="P232" s="42">
        <f t="shared" si="218"/>
        <v>3.9689025518363452E-2</v>
      </c>
      <c r="Q232" s="43">
        <f>O232/Funktional!C232</f>
        <v>5339.2841060925202</v>
      </c>
      <c r="R232" s="85">
        <f t="shared" si="219"/>
        <v>281.01495295223793</v>
      </c>
      <c r="S232" s="365">
        <v>21117.85</v>
      </c>
      <c r="T232" s="365">
        <v>41659.199999999997</v>
      </c>
      <c r="U232" s="43">
        <f>T232*'KiGa - PS'!L233</f>
        <v>7238.1547313324654</v>
      </c>
      <c r="V232" s="42">
        <f t="shared" si="220"/>
        <v>5.3804087238945551E-2</v>
      </c>
      <c r="W232" s="43">
        <f t="shared" si="221"/>
        <v>380.95551217539293</v>
      </c>
      <c r="X232" s="365">
        <v>38687.65</v>
      </c>
      <c r="Y232" s="43">
        <f>X232*'KiGa - PS'!L233</f>
        <v>6721.8572822242022</v>
      </c>
      <c r="Z232" s="91">
        <f t="shared" si="222"/>
        <v>4.9966242646757308E-2</v>
      </c>
      <c r="AA232" s="365">
        <v>27825.05</v>
      </c>
      <c r="AB232" s="43">
        <f>AA232*'KiGa - PS'!L233</f>
        <v>4834.5147604145641</v>
      </c>
      <c r="AC232" s="43">
        <f t="shared" si="223"/>
        <v>254.44814528497704</v>
      </c>
      <c r="AD232" s="42">
        <f t="shared" si="224"/>
        <v>3.5936873910877354E-2</v>
      </c>
      <c r="AE232" s="365">
        <v>26450</v>
      </c>
      <c r="AF232" s="43">
        <f>AE232*'KiGa - PS'!L233</f>
        <v>4595.6041557145536</v>
      </c>
      <c r="AG232" s="42">
        <f t="shared" si="225"/>
        <v>3.4160956222637741E-2</v>
      </c>
      <c r="AH232" s="42"/>
      <c r="AI232" s="97">
        <f t="shared" si="213"/>
        <v>9.6225860102166355E-2</v>
      </c>
      <c r="AJ232" s="365">
        <v>211966</v>
      </c>
      <c r="AK232" s="43">
        <f>AJ232*'KiGa - PS'!$L233</f>
        <v>36828.424592445786</v>
      </c>
      <c r="AL232" s="365">
        <v>70692</v>
      </c>
      <c r="AM232" s="43">
        <f>AL232*'KiGa - PS'!$L233</f>
        <v>12282.512248611463</v>
      </c>
      <c r="AN232" s="97">
        <f>(AK232+AM232)/Funktional!E232</f>
        <v>0.38819009858293679</v>
      </c>
    </row>
    <row r="233" spans="1:40" x14ac:dyDescent="0.25">
      <c r="A233" t="str">
        <f>Funktional!A233</f>
        <v>Stettfurt</v>
      </c>
      <c r="B233" t="str">
        <f>Funktional!B233</f>
        <v>KiGa</v>
      </c>
      <c r="C233" s="43">
        <f>Funktional!D233</f>
        <v>30</v>
      </c>
      <c r="D233" s="43">
        <f>Funktional!J233-'KiGa - PS'!H234</f>
        <v>431656.5</v>
      </c>
      <c r="E233" s="43">
        <f>'KiGa - PS'!C234+'KiGa - PS'!J234*Artengliederung!D233</f>
        <v>273199.72019397235</v>
      </c>
      <c r="F233" s="365">
        <v>717332</v>
      </c>
      <c r="G233" s="43">
        <f>F233*'KiGa - PS'!L234</f>
        <v>174957.9392655562</v>
      </c>
      <c r="H233" s="42">
        <f t="shared" si="214"/>
        <v>0.64040306901242694</v>
      </c>
      <c r="I233" s="85">
        <f t="shared" si="215"/>
        <v>5831.9313088518729</v>
      </c>
      <c r="J233" s="365">
        <v>161298.35</v>
      </c>
      <c r="K233" s="43">
        <f>J233*'KiGa - PS'!L234</f>
        <v>39340.816975869508</v>
      </c>
      <c r="L233" s="42">
        <f t="shared" si="216"/>
        <v>0.14400020961931237</v>
      </c>
      <c r="M233" s="43">
        <f t="shared" si="217"/>
        <v>1311.3605658623169</v>
      </c>
      <c r="N233" s="365">
        <v>45797.05</v>
      </c>
      <c r="O233" s="43">
        <f>N233*'KiGa - PS'!L234</f>
        <v>11169.942916866445</v>
      </c>
      <c r="P233" s="42">
        <f t="shared" si="218"/>
        <v>4.0885630881817021E-2</v>
      </c>
      <c r="Q233" s="43">
        <f>O233/Funktional!C233</f>
        <v>11169.942916866445</v>
      </c>
      <c r="R233" s="85">
        <f t="shared" si="219"/>
        <v>372.33143056221485</v>
      </c>
      <c r="S233" s="365">
        <v>14859.4</v>
      </c>
      <c r="T233" s="365">
        <v>57175.8</v>
      </c>
      <c r="U233" s="43">
        <f>T233*'KiGa - PS'!L234</f>
        <v>13945.230582017237</v>
      </c>
      <c r="V233" s="42">
        <f t="shared" si="220"/>
        <v>5.104408808367774E-2</v>
      </c>
      <c r="W233" s="43">
        <f t="shared" si="221"/>
        <v>464.84101940057457</v>
      </c>
      <c r="X233" s="365">
        <v>57149.35</v>
      </c>
      <c r="Y233" s="43">
        <f>X233*'KiGa - PS'!L234</f>
        <v>13938.779402516566</v>
      </c>
      <c r="Z233" s="91">
        <f t="shared" si="222"/>
        <v>5.1020474664542133E-2</v>
      </c>
      <c r="AA233" s="365">
        <v>154208.04999999999</v>
      </c>
      <c r="AB233" s="43">
        <f>AA233*'KiGa - PS'!L234</f>
        <v>37611.486238115474</v>
      </c>
      <c r="AC233" s="43">
        <f t="shared" si="223"/>
        <v>1253.7162079371824</v>
      </c>
      <c r="AD233" s="42">
        <f t="shared" si="224"/>
        <v>0.13767029560429728</v>
      </c>
      <c r="AE233" s="365">
        <v>87817.1</v>
      </c>
      <c r="AF233" s="43">
        <f>AE233*'KiGa - PS'!L234</f>
        <v>21418.672035092921</v>
      </c>
      <c r="AG233" s="42">
        <f t="shared" si="225"/>
        <v>7.8399319076482288E-2</v>
      </c>
      <c r="AH233" s="42"/>
      <c r="AI233" s="97">
        <f t="shared" si="213"/>
        <v>2.6882337680285667E-2</v>
      </c>
      <c r="AJ233" s="365">
        <v>22631</v>
      </c>
      <c r="AK233" s="43">
        <f>AJ233*'KiGa - PS'!$L234</f>
        <v>5519.7218631244696</v>
      </c>
      <c r="AL233" s="365">
        <v>68713</v>
      </c>
      <c r="AM233" s="43">
        <f>AL233*'KiGa - PS'!$L234</f>
        <v>16759.164348940467</v>
      </c>
      <c r="AN233" s="97">
        <f>(AK233+AM233)/Funktional!E233</f>
        <v>8.365888945077285E-2</v>
      </c>
    </row>
    <row r="234" spans="1:40" x14ac:dyDescent="0.25">
      <c r="A234" t="str">
        <f>Funktional!A234</f>
        <v>Strohwilen-Wolfikon</v>
      </c>
      <c r="B234" t="str">
        <f>Funktional!B234</f>
        <v>KiGa</v>
      </c>
      <c r="C234" s="43">
        <f>Funktional!D234</f>
        <v>16</v>
      </c>
      <c r="D234" s="43">
        <f>Funktional!J234-'KiGa - PS'!H235</f>
        <v>114028.39999999997</v>
      </c>
      <c r="E234" s="43">
        <f>'KiGa - PS'!C235+'KiGa - PS'!J235*Artengliederung!D234</f>
        <v>93625.974441905535</v>
      </c>
      <c r="F234" s="365">
        <v>211865.1</v>
      </c>
      <c r="G234" s="43">
        <f>F234*'KiGa - PS'!L235</f>
        <v>57945.861135048486</v>
      </c>
      <c r="H234" s="42">
        <f t="shared" si="214"/>
        <v>0.61890796309953078</v>
      </c>
      <c r="I234" s="85">
        <f t="shared" si="215"/>
        <v>3621.6163209405304</v>
      </c>
      <c r="J234" s="365">
        <v>48086</v>
      </c>
      <c r="K234" s="43">
        <f>J234*'KiGa - PS'!L235</f>
        <v>13151.692650370172</v>
      </c>
      <c r="L234" s="42">
        <f t="shared" si="216"/>
        <v>0.14047055562055308</v>
      </c>
      <c r="M234" s="43">
        <f t="shared" si="217"/>
        <v>821.98079064813578</v>
      </c>
      <c r="N234" s="365">
        <v>17472</v>
      </c>
      <c r="O234" s="43">
        <f>N234*'KiGa - PS'!L235</f>
        <v>4778.6543689903019</v>
      </c>
      <c r="P234" s="42">
        <f t="shared" si="218"/>
        <v>5.1039835873275034E-2</v>
      </c>
      <c r="Q234" s="43">
        <f>O234/Funktional!C234</f>
        <v>9557.3087379806038</v>
      </c>
      <c r="R234" s="85">
        <f t="shared" si="219"/>
        <v>298.66589806189387</v>
      </c>
      <c r="S234" s="365">
        <v>1574.6</v>
      </c>
      <c r="T234" s="365">
        <v>25253.25</v>
      </c>
      <c r="U234" s="43">
        <f>T234*'KiGa - PS'!L235</f>
        <v>6906.8540203585353</v>
      </c>
      <c r="V234" s="42">
        <f t="shared" si="220"/>
        <v>7.3770703712613475E-2</v>
      </c>
      <c r="W234" s="43">
        <f t="shared" si="221"/>
        <v>431.67837627240846</v>
      </c>
      <c r="X234" s="365">
        <v>20451.7</v>
      </c>
      <c r="Y234" s="43">
        <f>X234*'KiGa - PS'!L235</f>
        <v>5593.6129554875779</v>
      </c>
      <c r="Z234" s="91">
        <f t="shared" si="222"/>
        <v>5.9744242864552377E-2</v>
      </c>
      <c r="AA234" s="365">
        <v>44943.45</v>
      </c>
      <c r="AB234" s="43">
        <f>AA234*'KiGa - PS'!L235</f>
        <v>12292.194007554783</v>
      </c>
      <c r="AC234" s="43">
        <f t="shared" si="223"/>
        <v>768.26212547217392</v>
      </c>
      <c r="AD234" s="42">
        <f t="shared" si="224"/>
        <v>0.13129042534218996</v>
      </c>
      <c r="AE234" s="365">
        <v>35570</v>
      </c>
      <c r="AF234" s="43">
        <f>AE234*'KiGa - PS'!L235</f>
        <v>9728.5219725838506</v>
      </c>
      <c r="AG234" s="42">
        <f t="shared" si="225"/>
        <v>0.10390836549979356</v>
      </c>
      <c r="AH234" s="42"/>
      <c r="AI234" s="97">
        <f t="shared" si="213"/>
        <v>3.5560352225112696E-2</v>
      </c>
      <c r="AJ234" s="365">
        <v>97910.1</v>
      </c>
      <c r="AK234" s="43">
        <f>AJ234*'KiGa - PS'!$L235</f>
        <v>26778.761855155528</v>
      </c>
      <c r="AL234" s="365">
        <v>112600</v>
      </c>
      <c r="AM234" s="43">
        <f>AL234*'KiGa - PS'!$L235</f>
        <v>30796.501943012132</v>
      </c>
      <c r="AN234" s="97">
        <f>(AK234+AM234)/Funktional!E234</f>
        <v>0.63319887401285513</v>
      </c>
    </row>
    <row r="235" spans="1:40" x14ac:dyDescent="0.25">
      <c r="A235" t="str">
        <f>Funktional!A235</f>
        <v>Sulgen</v>
      </c>
      <c r="B235" t="str">
        <f>Funktional!B235</f>
        <v>KiGa</v>
      </c>
      <c r="C235" s="43">
        <f>Funktional!D235</f>
        <v>98</v>
      </c>
      <c r="D235" s="43">
        <f>Funktional!J235-'KiGa - PS'!H236</f>
        <v>1486446.75</v>
      </c>
      <c r="E235" s="43">
        <f>'KiGa - PS'!C236+'KiGa - PS'!J236*Artengliederung!D235</f>
        <v>585553.14336447266</v>
      </c>
      <c r="F235" s="365">
        <v>2358078.15</v>
      </c>
      <c r="G235" s="43">
        <f>F235*'KiGa - PS'!L236</f>
        <v>361777.90915776533</v>
      </c>
      <c r="H235" s="42">
        <f t="shared" si="214"/>
        <v>0.61783958169716402</v>
      </c>
      <c r="I235" s="85">
        <f t="shared" si="215"/>
        <v>3691.6113179363811</v>
      </c>
      <c r="J235" s="365">
        <v>459674.65</v>
      </c>
      <c r="K235" s="43">
        <f>J235*'KiGa - PS'!L236</f>
        <v>70523.588783445361</v>
      </c>
      <c r="L235" s="42">
        <f t="shared" si="216"/>
        <v>0.12043926257184917</v>
      </c>
      <c r="M235" s="43">
        <f t="shared" si="217"/>
        <v>719.6284569739322</v>
      </c>
      <c r="N235" s="365">
        <v>111503.15</v>
      </c>
      <c r="O235" s="43">
        <f>N235*'KiGa - PS'!L236</f>
        <v>17106.887009450758</v>
      </c>
      <c r="P235" s="42">
        <f t="shared" si="218"/>
        <v>2.9214917899950062E-2</v>
      </c>
      <c r="Q235" s="43">
        <f>O235/Funktional!C235</f>
        <v>4276.7217523626896</v>
      </c>
      <c r="R235" s="85">
        <f t="shared" si="219"/>
        <v>174.56007152500774</v>
      </c>
      <c r="S235" s="365">
        <v>24036.15</v>
      </c>
      <c r="T235" s="365">
        <v>187310.95</v>
      </c>
      <c r="U235" s="43">
        <f>T235*'KiGa - PS'!L236</f>
        <v>28737.369816752987</v>
      </c>
      <c r="V235" s="42">
        <f t="shared" si="220"/>
        <v>4.9077304327381353E-2</v>
      </c>
      <c r="W235" s="43">
        <f t="shared" si="221"/>
        <v>293.23846751788761</v>
      </c>
      <c r="X235" s="365">
        <v>171250.95</v>
      </c>
      <c r="Y235" s="43">
        <f>X235*'KiGa - PS'!L236</f>
        <v>26273.433996358865</v>
      </c>
      <c r="Z235" s="91">
        <f t="shared" si="222"/>
        <v>4.4869426958237993E-2</v>
      </c>
      <c r="AA235" s="365">
        <v>411114</v>
      </c>
      <c r="AB235" s="43">
        <f>AA235*'KiGa - PS'!L236</f>
        <v>63073.38174754112</v>
      </c>
      <c r="AC235" s="43">
        <f t="shared" si="223"/>
        <v>643.60593619939914</v>
      </c>
      <c r="AD235" s="42">
        <f t="shared" si="224"/>
        <v>0.10771589643449599</v>
      </c>
      <c r="AE235" s="365">
        <v>204309</v>
      </c>
      <c r="AF235" s="43">
        <f>AE235*'KiGa - PS'!L236</f>
        <v>31345.221888474676</v>
      </c>
      <c r="AG235" s="42">
        <f t="shared" si="225"/>
        <v>5.3530959988313316E-2</v>
      </c>
      <c r="AH235" s="42"/>
      <c r="AI235" s="97">
        <f t="shared" si="213"/>
        <v>0.10492795496910946</v>
      </c>
      <c r="AJ235" s="365">
        <v>523023</v>
      </c>
      <c r="AK235" s="43">
        <f>AJ235*'KiGa - PS'!$L236</f>
        <v>80242.534532378369</v>
      </c>
      <c r="AL235" s="365">
        <v>662875</v>
      </c>
      <c r="AM235" s="43">
        <f>AL235*'KiGa - PS'!$L236</f>
        <v>101698.72085577558</v>
      </c>
      <c r="AN235" s="97">
        <f>(AK235+AM235)/Funktional!E235</f>
        <v>0.34314093349103553</v>
      </c>
    </row>
    <row r="236" spans="1:40" x14ac:dyDescent="0.25">
      <c r="A236" t="str">
        <f>Funktional!A236</f>
        <v>Tägerwilen</v>
      </c>
      <c r="B236" t="str">
        <f>Funktional!B236</f>
        <v>KiGa</v>
      </c>
      <c r="C236" s="43">
        <f>Funktional!D236</f>
        <v>93</v>
      </c>
      <c r="D236" s="43">
        <f>Funktional!J236-'KiGa - PS'!H237</f>
        <v>1490204.85</v>
      </c>
      <c r="E236" s="43">
        <f>'KiGa - PS'!C237+'KiGa - PS'!J237*Artengliederung!D236</f>
        <v>794558.53390908707</v>
      </c>
      <c r="F236" s="365">
        <v>2362484.2000000002</v>
      </c>
      <c r="G236" s="43">
        <f>F236*'KiGa - PS'!L237</f>
        <v>484620.52648972539</v>
      </c>
      <c r="H236" s="42">
        <f t="shared" si="214"/>
        <v>0.60992426084139872</v>
      </c>
      <c r="I236" s="85">
        <f t="shared" si="215"/>
        <v>5210.9734031153266</v>
      </c>
      <c r="J236" s="365">
        <v>514498.6</v>
      </c>
      <c r="K236" s="43">
        <f>J236*'KiGa - PS'!L237</f>
        <v>105539.99997554549</v>
      </c>
      <c r="L236" s="42">
        <f t="shared" si="216"/>
        <v>0.13282847703655942</v>
      </c>
      <c r="M236" s="43">
        <f t="shared" si="217"/>
        <v>1134.8387094144678</v>
      </c>
      <c r="N236" s="365">
        <v>123301.75</v>
      </c>
      <c r="O236" s="43">
        <f>N236*'KiGa - PS'!L237</f>
        <v>25293.104183344167</v>
      </c>
      <c r="P236" s="42">
        <f t="shared" si="218"/>
        <v>3.1832902302246481E-2</v>
      </c>
      <c r="Q236" s="43">
        <f>O236/Funktional!C236</f>
        <v>5058.6208366688334</v>
      </c>
      <c r="R236" s="85">
        <f t="shared" si="219"/>
        <v>271.96886218649644</v>
      </c>
      <c r="S236" s="365">
        <v>96311.4</v>
      </c>
      <c r="T236" s="365">
        <v>285208.15000000002</v>
      </c>
      <c r="U236" s="43">
        <f>T236*'KiGa - PS'!L237</f>
        <v>58505.247913260362</v>
      </c>
      <c r="V236" s="42">
        <f t="shared" si="220"/>
        <v>7.363239511811033E-2</v>
      </c>
      <c r="W236" s="43">
        <f t="shared" si="221"/>
        <v>629.08868723935871</v>
      </c>
      <c r="X236" s="365">
        <v>267740.25</v>
      </c>
      <c r="Y236" s="43">
        <f>X236*'KiGa - PS'!L237</f>
        <v>54922.026956832429</v>
      </c>
      <c r="Z236" s="91">
        <f t="shared" si="222"/>
        <v>6.9122694695160844E-2</v>
      </c>
      <c r="AA236" s="365">
        <v>349225.9</v>
      </c>
      <c r="AB236" s="43">
        <f>AA236*'KiGa - PS'!L237</f>
        <v>71637.321223925304</v>
      </c>
      <c r="AC236" s="43">
        <f t="shared" si="223"/>
        <v>770.2937766013473</v>
      </c>
      <c r="AD236" s="42">
        <f t="shared" si="224"/>
        <v>9.0159904106098254E-2</v>
      </c>
      <c r="AE236" s="365">
        <v>304602.95</v>
      </c>
      <c r="AF236" s="43">
        <f>AE236*'KiGa - PS'!L237</f>
        <v>62483.737245448458</v>
      </c>
      <c r="AG236" s="42">
        <f t="shared" si="225"/>
        <v>7.8639564712796622E-2</v>
      </c>
      <c r="AH236" s="42"/>
      <c r="AI236" s="97">
        <f t="shared" si="213"/>
        <v>9.3454962897833282E-2</v>
      </c>
      <c r="AJ236" s="365">
        <v>109766</v>
      </c>
      <c r="AK236" s="43">
        <f>AJ236*'KiGa - PS'!$L237</f>
        <v>22516.492051320893</v>
      </c>
      <c r="AL236" s="365">
        <v>0</v>
      </c>
      <c r="AM236" s="43">
        <f>AL236*'KiGa - PS'!$L237</f>
        <v>0</v>
      </c>
      <c r="AN236" s="97">
        <f>(AK236+AM236)/Funktional!E236</f>
        <v>3.0759459018441859E-2</v>
      </c>
    </row>
    <row r="237" spans="1:40" x14ac:dyDescent="0.25">
      <c r="A237" t="str">
        <f>Funktional!A237</f>
        <v>Thundorf</v>
      </c>
      <c r="B237" t="str">
        <f>Funktional!B237</f>
        <v>KiGa</v>
      </c>
      <c r="C237" s="43">
        <f>Funktional!D237</f>
        <v>38</v>
      </c>
      <c r="D237" s="43">
        <f>Funktional!J237-'KiGa - PS'!H238</f>
        <v>852163.06</v>
      </c>
      <c r="E237" s="43">
        <f>'KiGa - PS'!C238+'KiGa - PS'!J238*Artengliederung!D237</f>
        <v>276552.72425673879</v>
      </c>
      <c r="F237" s="365">
        <v>869217.4</v>
      </c>
      <c r="G237" s="43">
        <f>F237*'KiGa - PS'!L238</f>
        <v>143852.61124671306</v>
      </c>
      <c r="H237" s="42">
        <f t="shared" si="214"/>
        <v>0.52016342139941074</v>
      </c>
      <c r="I237" s="85">
        <f t="shared" si="215"/>
        <v>3785.5950328082386</v>
      </c>
      <c r="J237" s="365">
        <v>309185.21000000002</v>
      </c>
      <c r="K237" s="43">
        <f>J237*'KiGa - PS'!L238</f>
        <v>51169.131931048942</v>
      </c>
      <c r="L237" s="42">
        <f t="shared" si="216"/>
        <v>0.1850248702795127</v>
      </c>
      <c r="M237" s="43">
        <f t="shared" si="217"/>
        <v>1346.5561034486564</v>
      </c>
      <c r="N237" s="365">
        <v>41204.9</v>
      </c>
      <c r="O237" s="43">
        <f>N237*'KiGa - PS'!L238</f>
        <v>6819.2749721297423</v>
      </c>
      <c r="P237" s="42">
        <f t="shared" si="218"/>
        <v>2.4658137035016302E-2</v>
      </c>
      <c r="Q237" s="43">
        <f>O237/Funktional!C237</f>
        <v>4546.1833147531615</v>
      </c>
      <c r="R237" s="85">
        <f t="shared" si="219"/>
        <v>179.45460452973006</v>
      </c>
      <c r="S237" s="365">
        <v>17114.7</v>
      </c>
      <c r="T237" s="365">
        <v>155363.4</v>
      </c>
      <c r="U237" s="43">
        <f>T237*'KiGa - PS'!L238</f>
        <v>25712.129994369163</v>
      </c>
      <c r="V237" s="42">
        <f t="shared" si="220"/>
        <v>9.2973699910109037E-2</v>
      </c>
      <c r="W237" s="43">
        <f t="shared" si="221"/>
        <v>676.63499985182011</v>
      </c>
      <c r="X237" s="365">
        <v>153127.6</v>
      </c>
      <c r="Y237" s="43">
        <f>X237*'KiGa - PS'!L238</f>
        <v>25342.11247260142</v>
      </c>
      <c r="Z237" s="91">
        <f t="shared" si="222"/>
        <v>9.1635736153786618E-2</v>
      </c>
      <c r="AA237" s="365">
        <v>235727.65</v>
      </c>
      <c r="AB237" s="43">
        <f>AA237*'KiGa - PS'!L238</f>
        <v>39012.148164028054</v>
      </c>
      <c r="AC237" s="43">
        <f t="shared" si="223"/>
        <v>1026.6354780007382</v>
      </c>
      <c r="AD237" s="42">
        <f t="shared" si="224"/>
        <v>0.14106586101755764</v>
      </c>
      <c r="AE237" s="365">
        <v>173600</v>
      </c>
      <c r="AF237" s="43">
        <f>AE237*'KiGa - PS'!L238</f>
        <v>28730.227112836656</v>
      </c>
      <c r="AG237" s="42">
        <f t="shared" si="225"/>
        <v>0.10388697920098895</v>
      </c>
      <c r="AH237" s="42"/>
      <c r="AI237" s="97">
        <f t="shared" si="213"/>
        <v>6.0772147393409887E-2</v>
      </c>
      <c r="AJ237" s="365">
        <v>98016</v>
      </c>
      <c r="AK237" s="43">
        <f>AJ237*'KiGa - PS'!$L238</f>
        <v>16221.324543155517</v>
      </c>
      <c r="AL237" s="365">
        <v>570255</v>
      </c>
      <c r="AM237" s="43">
        <f>AL237*'KiGa - PS'!$L238</f>
        <v>94375.320634969292</v>
      </c>
      <c r="AN237" s="97">
        <f>(AK237+AM237)/Funktional!E237</f>
        <v>0.42235910265014126</v>
      </c>
    </row>
    <row r="238" spans="1:40" x14ac:dyDescent="0.25">
      <c r="A238" t="str">
        <f>Funktional!A238</f>
        <v>Tobel</v>
      </c>
      <c r="B238" t="str">
        <f>Funktional!B238</f>
        <v>KiGa</v>
      </c>
      <c r="C238" s="43">
        <f>Funktional!D238</f>
        <v>20</v>
      </c>
      <c r="D238" s="43">
        <f>Funktional!J238-'KiGa - PS'!H239</f>
        <v>602091.17999999993</v>
      </c>
      <c r="E238" s="43">
        <f>'KiGa - PS'!C239+'KiGa - PS'!J239*Artengliederung!D238</f>
        <v>135997.53170698503</v>
      </c>
      <c r="F238" s="365">
        <v>919415.1</v>
      </c>
      <c r="G238" s="43">
        <f>F238*'KiGa - PS'!L239</f>
        <v>85484.839609701361</v>
      </c>
      <c r="H238" s="42">
        <f t="shared" si="214"/>
        <v>0.62857640529744063</v>
      </c>
      <c r="I238" s="85">
        <f t="shared" si="215"/>
        <v>4274.2419804850679</v>
      </c>
      <c r="J238" s="365">
        <v>187471.01</v>
      </c>
      <c r="K238" s="43">
        <f>J238*'KiGa - PS'!L239</f>
        <v>17430.569958355831</v>
      </c>
      <c r="L238" s="42">
        <f t="shared" si="216"/>
        <v>0.12816828172963504</v>
      </c>
      <c r="M238" s="43">
        <f t="shared" si="217"/>
        <v>871.52849791779158</v>
      </c>
      <c r="N238" s="365">
        <v>55185.65</v>
      </c>
      <c r="O238" s="43">
        <f>N238*'KiGa - PS'!L239</f>
        <v>5131.0191000856039</v>
      </c>
      <c r="P238" s="42">
        <f t="shared" si="218"/>
        <v>3.7728766365706531E-2</v>
      </c>
      <c r="Q238" s="43">
        <f>O238/Funktional!C238</f>
        <v>5131.0191000856039</v>
      </c>
      <c r="R238" s="85">
        <f t="shared" si="219"/>
        <v>256.55095500428018</v>
      </c>
      <c r="S238" s="365">
        <v>15463.8</v>
      </c>
      <c r="T238" s="365">
        <v>174185</v>
      </c>
      <c r="U238" s="43">
        <f>T238*'KiGa - PS'!L239</f>
        <v>16195.271088560359</v>
      </c>
      <c r="V238" s="42">
        <f t="shared" si="220"/>
        <v>0.11908503695092097</v>
      </c>
      <c r="W238" s="43">
        <f t="shared" si="221"/>
        <v>809.76355442801798</v>
      </c>
      <c r="X238" s="365">
        <v>139514.6</v>
      </c>
      <c r="Y238" s="43">
        <f>X238*'KiGa - PS'!L239</f>
        <v>12971.7069082416</v>
      </c>
      <c r="Z238" s="91">
        <f t="shared" si="222"/>
        <v>9.5381928961695672E-2</v>
      </c>
      <c r="AA238" s="365">
        <v>71474.850000000006</v>
      </c>
      <c r="AB238" s="43">
        <f>AA238*'KiGa - PS'!L239</f>
        <v>6645.5468138139822</v>
      </c>
      <c r="AC238" s="43">
        <f t="shared" si="223"/>
        <v>332.27734069069913</v>
      </c>
      <c r="AD238" s="42">
        <f t="shared" si="224"/>
        <v>4.886520167242607E-2</v>
      </c>
      <c r="AE238" s="365">
        <v>60247</v>
      </c>
      <c r="AF238" s="43">
        <f>AE238*'KiGa - PS'!L239</f>
        <v>5601.6103411458844</v>
      </c>
      <c r="AG238" s="42">
        <f t="shared" si="225"/>
        <v>4.1189058880972157E-2</v>
      </c>
      <c r="AH238" s="42"/>
      <c r="AI238" s="97">
        <f t="shared" si="213"/>
        <v>7.5305074349577283E-2</v>
      </c>
      <c r="AJ238" s="365">
        <v>196333.6</v>
      </c>
      <c r="AK238" s="43">
        <f>AJ238*'KiGa - PS'!$L239</f>
        <v>18254.590669649937</v>
      </c>
      <c r="AL238" s="365">
        <v>183779</v>
      </c>
      <c r="AM238" s="43">
        <f>AL238*'KiGa - PS'!$L239</f>
        <v>17087.296411198062</v>
      </c>
      <c r="AN238" s="97">
        <f>(AK238+AM238)/Funktional!E238</f>
        <v>0.2762512452969349</v>
      </c>
    </row>
    <row r="239" spans="1:40" x14ac:dyDescent="0.25">
      <c r="A239" t="str">
        <f>Funktional!A239</f>
        <v>Uesslingen</v>
      </c>
      <c r="B239" t="str">
        <f>Funktional!B239</f>
        <v>KiGa</v>
      </c>
      <c r="C239" s="43">
        <f>Funktional!D239</f>
        <v>39</v>
      </c>
      <c r="D239" s="43">
        <f>Funktional!J239-'KiGa - PS'!H240</f>
        <v>360338.1</v>
      </c>
      <c r="E239" s="43">
        <f>'KiGa - PS'!C240+'KiGa - PS'!J240*Artengliederung!D239</f>
        <v>251504.56122251769</v>
      </c>
      <c r="F239" s="365">
        <v>672446.15</v>
      </c>
      <c r="G239" s="43">
        <f>F239*'KiGa - PS'!L240</f>
        <v>166889.64788764034</v>
      </c>
      <c r="H239" s="42">
        <f t="shared" si="214"/>
        <v>0.66356509431248589</v>
      </c>
      <c r="I239" s="85">
        <f t="shared" si="215"/>
        <v>4279.2217407087264</v>
      </c>
      <c r="J239" s="365">
        <v>127223.6</v>
      </c>
      <c r="K239" s="43">
        <f>J239*'KiGa - PS'!L240</f>
        <v>31574.724321044891</v>
      </c>
      <c r="L239" s="42">
        <f t="shared" si="216"/>
        <v>0.12554334667954303</v>
      </c>
      <c r="M239" s="43">
        <f t="shared" si="217"/>
        <v>809.60831592422801</v>
      </c>
      <c r="N239" s="365">
        <v>32218.1</v>
      </c>
      <c r="O239" s="43">
        <f>N239*'KiGa - PS'!L240</f>
        <v>7995.9820791728598</v>
      </c>
      <c r="P239" s="42">
        <f t="shared" si="218"/>
        <v>3.1792592708083912E-2</v>
      </c>
      <c r="Q239" s="43">
        <f>O239/Funktional!C239</f>
        <v>3997.9910395864299</v>
      </c>
      <c r="R239" s="85">
        <f t="shared" si="219"/>
        <v>205.0251815172528</v>
      </c>
      <c r="S239" s="365">
        <v>13670.95</v>
      </c>
      <c r="T239" s="365">
        <v>56504</v>
      </c>
      <c r="U239" s="43">
        <f>T239*'KiGa - PS'!L240</f>
        <v>14023.327614030104</v>
      </c>
      <c r="V239" s="42">
        <f t="shared" si="220"/>
        <v>5.5757746682069197E-2</v>
      </c>
      <c r="W239" s="43">
        <f t="shared" si="221"/>
        <v>359.57250292384884</v>
      </c>
      <c r="X239" s="365">
        <v>24375</v>
      </c>
      <c r="Y239" s="43">
        <f>X239*'KiGa - PS'!L240</f>
        <v>6049.4586328752621</v>
      </c>
      <c r="Z239" s="91">
        <f t="shared" si="222"/>
        <v>2.4053077222416761E-2</v>
      </c>
      <c r="AA239" s="365">
        <v>80870.8</v>
      </c>
      <c r="AB239" s="43">
        <f>AA239*'KiGa - PS'!L240</f>
        <v>20070.751146975537</v>
      </c>
      <c r="AC239" s="43">
        <f t="shared" si="223"/>
        <v>514.63464479424454</v>
      </c>
      <c r="AD239" s="42">
        <f t="shared" si="224"/>
        <v>7.980273220261011E-2</v>
      </c>
      <c r="AE239" s="365">
        <v>33500</v>
      </c>
      <c r="AF239" s="43">
        <f>AE239*'KiGa - PS'!L240</f>
        <v>8314.1277621054887</v>
      </c>
      <c r="AG239" s="42">
        <f t="shared" si="225"/>
        <v>3.3057562541577906E-2</v>
      </c>
      <c r="AH239" s="42"/>
      <c r="AI239" s="97">
        <f t="shared" ref="AI239:AI250" si="226">1-H239-L239-V239-AD239</f>
        <v>7.533108012329176E-2</v>
      </c>
      <c r="AJ239" s="365">
        <v>281292</v>
      </c>
      <c r="AK239" s="43">
        <f>AJ239*'KiGa - PS'!$L240</f>
        <v>69811.869446512748</v>
      </c>
      <c r="AL239" s="365">
        <v>0</v>
      </c>
      <c r="AM239" s="43">
        <f>AL239*'KiGa - PS'!$L240</f>
        <v>0</v>
      </c>
      <c r="AN239" s="97">
        <f>(AK239+AM239)/Funktional!E239</f>
        <v>0.28976516816489378</v>
      </c>
    </row>
    <row r="240" spans="1:40" x14ac:dyDescent="0.25">
      <c r="A240" t="str">
        <f>Funktional!A240</f>
        <v>Uttwil</v>
      </c>
      <c r="B240" t="str">
        <f>Funktional!B240</f>
        <v>KiGa</v>
      </c>
      <c r="C240" s="43">
        <f>Funktional!D240</f>
        <v>44</v>
      </c>
      <c r="D240" s="43">
        <f>Funktional!J240-'KiGa - PS'!H241</f>
        <v>572904.39999999991</v>
      </c>
      <c r="E240" s="43">
        <f>'KiGa - PS'!C241+'KiGa - PS'!J241*Artengliederung!D240</f>
        <v>206566.49427205359</v>
      </c>
      <c r="F240" s="365">
        <v>965040.3</v>
      </c>
      <c r="G240" s="43">
        <f>F240*'KiGa - PS'!L241</f>
        <v>132276.28529015643</v>
      </c>
      <c r="H240" s="42">
        <f t="shared" si="214"/>
        <v>0.64035692601698047</v>
      </c>
      <c r="I240" s="85">
        <f t="shared" si="215"/>
        <v>3006.279211139919</v>
      </c>
      <c r="J240" s="365">
        <v>182769.05</v>
      </c>
      <c r="K240" s="43">
        <f>J240*'KiGa - PS'!L241</f>
        <v>25051.81493457927</v>
      </c>
      <c r="L240" s="42">
        <f t="shared" si="216"/>
        <v>0.12127724306336612</v>
      </c>
      <c r="M240" s="43">
        <f t="shared" si="217"/>
        <v>569.35943033134708</v>
      </c>
      <c r="N240" s="365">
        <v>49217.65</v>
      </c>
      <c r="O240" s="43">
        <f>N240*'KiGa - PS'!L241</f>
        <v>6746.1720642247446</v>
      </c>
      <c r="P240" s="42">
        <f t="shared" si="218"/>
        <v>3.2658597842784007E-2</v>
      </c>
      <c r="Q240" s="43">
        <f>O240/Funktional!C240</f>
        <v>3373.0860321123723</v>
      </c>
      <c r="R240" s="85">
        <f t="shared" si="219"/>
        <v>153.32209236874419</v>
      </c>
      <c r="S240" s="365">
        <v>27935.25</v>
      </c>
      <c r="T240" s="365">
        <v>117431.25</v>
      </c>
      <c r="U240" s="43">
        <f>T240*'KiGa - PS'!L241</f>
        <v>16096.083787360672</v>
      </c>
      <c r="V240" s="42">
        <f t="shared" si="220"/>
        <v>7.7922045606107354E-2</v>
      </c>
      <c r="W240" s="43">
        <f t="shared" si="221"/>
        <v>365.82008607637891</v>
      </c>
      <c r="X240" s="365">
        <v>117431.25</v>
      </c>
      <c r="Y240" s="43">
        <f>X240*'KiGa - PS'!L241</f>
        <v>16096.083787360672</v>
      </c>
      <c r="Z240" s="91">
        <f t="shared" si="222"/>
        <v>7.7922045606107354E-2</v>
      </c>
      <c r="AA240" s="365">
        <v>173754.1</v>
      </c>
      <c r="AB240" s="43">
        <f>AA240*'KiGa - PS'!L241</f>
        <v>23816.152446622556</v>
      </c>
      <c r="AC240" s="43">
        <f t="shared" si="223"/>
        <v>541.27619196869443</v>
      </c>
      <c r="AD240" s="42">
        <f t="shared" si="224"/>
        <v>0.11529533156164255</v>
      </c>
      <c r="AE240" s="365">
        <v>159604.04999999999</v>
      </c>
      <c r="AF240" s="43">
        <f>AE240*'KiGa - PS'!L241</f>
        <v>21876.631319194013</v>
      </c>
      <c r="AG240" s="42">
        <f t="shared" si="225"/>
        <v>0.10590600085598541</v>
      </c>
      <c r="AH240" s="42"/>
      <c r="AI240" s="97">
        <f t="shared" si="226"/>
        <v>4.5148453751903503E-2</v>
      </c>
      <c r="AJ240" s="365">
        <v>65328</v>
      </c>
      <c r="AK240" s="43">
        <f>AJ240*'KiGa - PS'!$L241</f>
        <v>8954.387879382175</v>
      </c>
      <c r="AL240" s="365">
        <v>0</v>
      </c>
      <c r="AM240" s="43">
        <f>AL240*'KiGa - PS'!$L241</f>
        <v>0</v>
      </c>
      <c r="AN240" s="97">
        <f>(AK240+AM240)/Funktional!E240</f>
        <v>4.4168076949054655E-2</v>
      </c>
    </row>
    <row r="241" spans="1:40" x14ac:dyDescent="0.25">
      <c r="A241" t="str">
        <f>Funktional!A241</f>
        <v>Wagenhausen-Rheinklingen</v>
      </c>
      <c r="B241" t="str">
        <f>Funktional!B241</f>
        <v>KiGa</v>
      </c>
      <c r="C241" s="43">
        <f>Funktional!D241</f>
        <v>18</v>
      </c>
      <c r="D241" s="43">
        <f>Funktional!J241-'KiGa - PS'!H242</f>
        <v>309278.94999999995</v>
      </c>
      <c r="E241" s="43">
        <f>'KiGa - PS'!C242+'KiGa - PS'!J242*Artengliederung!D241</f>
        <v>134631.66968775782</v>
      </c>
      <c r="F241" s="365">
        <v>530152.65</v>
      </c>
      <c r="G241" s="43">
        <f>F241*'KiGa - PS'!L242</f>
        <v>82772.899902133606</v>
      </c>
      <c r="H241" s="42">
        <f t="shared" si="214"/>
        <v>0.61481002273910168</v>
      </c>
      <c r="I241" s="85">
        <f t="shared" si="215"/>
        <v>4598.4944390074224</v>
      </c>
      <c r="J241" s="365">
        <v>104990.3</v>
      </c>
      <c r="K241" s="43">
        <f>J241*'KiGa - PS'!L242</f>
        <v>16392.168543522279</v>
      </c>
      <c r="L241" s="42">
        <f t="shared" si="216"/>
        <v>0.12175566552460898</v>
      </c>
      <c r="M241" s="43">
        <f t="shared" si="217"/>
        <v>910.67603019568219</v>
      </c>
      <c r="N241" s="365">
        <v>21254.85</v>
      </c>
      <c r="O241" s="43">
        <f>N241*'KiGa - PS'!L242</f>
        <v>3318.5264121284013</v>
      </c>
      <c r="P241" s="42">
        <f t="shared" si="218"/>
        <v>2.4648928590314867E-2</v>
      </c>
      <c r="Q241" s="43">
        <f>O241/Funktional!C241</f>
        <v>3318.5264121284013</v>
      </c>
      <c r="R241" s="85">
        <f t="shared" si="219"/>
        <v>184.36257845157786</v>
      </c>
      <c r="S241" s="365">
        <v>7080.4</v>
      </c>
      <c r="T241" s="365">
        <v>27212.95</v>
      </c>
      <c r="U241" s="43">
        <f>T241*'KiGa - PS'!L242</f>
        <v>4248.7664381037548</v>
      </c>
      <c r="V241" s="42">
        <f t="shared" si="220"/>
        <v>3.1558447191196791E-2</v>
      </c>
      <c r="W241" s="43">
        <f t="shared" si="221"/>
        <v>236.04257989465304</v>
      </c>
      <c r="X241" s="365">
        <v>26462.5</v>
      </c>
      <c r="Y241" s="43">
        <f>X241*'KiGa - PS'!L242</f>
        <v>4131.5984436939252</v>
      </c>
      <c r="Z241" s="91">
        <f t="shared" si="222"/>
        <v>3.0688161658219523E-2</v>
      </c>
      <c r="AA241" s="365">
        <v>125952.2</v>
      </c>
      <c r="AB241" s="43">
        <f>AA241*'KiGa - PS'!L242</f>
        <v>19664.956580059556</v>
      </c>
      <c r="AC241" s="43">
        <f t="shared" si="223"/>
        <v>1092.4975877810864</v>
      </c>
      <c r="AD241" s="42">
        <f t="shared" si="224"/>
        <v>0.14606486442355776</v>
      </c>
      <c r="AE241" s="365">
        <v>71284</v>
      </c>
      <c r="AF241" s="43">
        <f>AE241*'KiGa - PS'!L242</f>
        <v>11129.593328683146</v>
      </c>
      <c r="AG241" s="42">
        <f t="shared" si="225"/>
        <v>8.2666978389967699E-2</v>
      </c>
      <c r="AH241" s="42"/>
      <c r="AI241" s="97">
        <f t="shared" si="226"/>
        <v>8.5811000121534781E-2</v>
      </c>
      <c r="AJ241" s="365">
        <v>140059.29999999999</v>
      </c>
      <c r="AK241" s="43">
        <f>AJ241*'KiGa - PS'!$L242</f>
        <v>21867.502537736818</v>
      </c>
      <c r="AL241" s="365">
        <v>45000</v>
      </c>
      <c r="AM241" s="43">
        <f>AL241*'KiGa - PS'!$L242</f>
        <v>7025.8641461020934</v>
      </c>
      <c r="AN241" s="97">
        <f>(AK241+AM241)/Funktional!E241</f>
        <v>0.23220356698450798</v>
      </c>
    </row>
    <row r="242" spans="1:40" x14ac:dyDescent="0.25">
      <c r="A242" t="str">
        <f>Funktional!A242</f>
        <v>Wäldi</v>
      </c>
      <c r="B242" t="str">
        <f>Funktional!B242</f>
        <v>KiGa</v>
      </c>
      <c r="C242" s="43">
        <f>Funktional!D242</f>
        <v>0</v>
      </c>
      <c r="D242" s="43">
        <f>Funktional!J242-'KiGa - PS'!H243</f>
        <v>-228640.65</v>
      </c>
      <c r="E242" s="43">
        <f>'KiGa - PS'!C243+'KiGa - PS'!J243*Artengliederung!D242</f>
        <v>0</v>
      </c>
      <c r="F242" s="365">
        <v>211070.75</v>
      </c>
      <c r="G242" s="43">
        <f>F242*'KiGa - PS'!L243</f>
        <v>0</v>
      </c>
      <c r="H242" s="42"/>
      <c r="I242" s="85"/>
      <c r="J242" s="365">
        <v>49118</v>
      </c>
      <c r="K242" s="43">
        <f>J242*'KiGa - PS'!L243</f>
        <v>0</v>
      </c>
      <c r="L242" s="42"/>
      <c r="M242" s="43"/>
      <c r="N242" s="365">
        <v>11816.85</v>
      </c>
      <c r="O242" s="43">
        <f>N242*'KiGa - PS'!L243</f>
        <v>0</v>
      </c>
      <c r="P242" s="42"/>
      <c r="Q242" s="43"/>
      <c r="R242" s="85"/>
      <c r="S242" s="365">
        <v>3160.4</v>
      </c>
      <c r="T242" s="365">
        <v>1004</v>
      </c>
      <c r="U242" s="43">
        <f>T242*'KiGa - PS'!L243</f>
        <v>0</v>
      </c>
      <c r="V242" s="42"/>
      <c r="W242" s="43"/>
      <c r="X242" s="365">
        <v>692.2</v>
      </c>
      <c r="Y242" s="43">
        <f>X242*'KiGa - PS'!L243</f>
        <v>0</v>
      </c>
      <c r="Z242" s="91"/>
      <c r="AA242" s="365">
        <v>8807.65</v>
      </c>
      <c r="AB242" s="43">
        <f>AA242*'KiGa - PS'!L243</f>
        <v>0</v>
      </c>
      <c r="AC242" s="43"/>
      <c r="AD242" s="42"/>
      <c r="AE242" s="365">
        <v>6725.3</v>
      </c>
      <c r="AF242" s="43">
        <f>AE242*'KiGa - PS'!L243</f>
        <v>0</v>
      </c>
      <c r="AG242" s="42"/>
      <c r="AH242" s="42"/>
      <c r="AI242" s="97"/>
      <c r="AJ242" s="365">
        <v>78282</v>
      </c>
      <c r="AK242" s="43">
        <f>AJ242*'KiGa - PS'!$L243</f>
        <v>0</v>
      </c>
      <c r="AL242" s="365">
        <v>0</v>
      </c>
      <c r="AM242" s="43">
        <f>AL242*'KiGa - PS'!$L243</f>
        <v>0</v>
      </c>
      <c r="AN242" s="97"/>
    </row>
    <row r="243" spans="1:40" x14ac:dyDescent="0.25">
      <c r="A243" t="str">
        <f>Funktional!A243</f>
        <v>Warth-Weiningen</v>
      </c>
      <c r="B243" t="str">
        <f>Funktional!B243</f>
        <v>KiGa</v>
      </c>
      <c r="C243" s="43">
        <f>Funktional!D243</f>
        <v>29</v>
      </c>
      <c r="D243" s="43">
        <f>Funktional!J243-'KiGa - PS'!H244</f>
        <v>519575.80000000005</v>
      </c>
      <c r="E243" s="43">
        <f>'KiGa - PS'!C244+'KiGa - PS'!J244*Artengliederung!D243</f>
        <v>150457.2849141036</v>
      </c>
      <c r="F243" s="365">
        <v>781598.2</v>
      </c>
      <c r="G243" s="43">
        <f>F243*'KiGa - PS'!L244</f>
        <v>93043.528193250182</v>
      </c>
      <c r="H243" s="42">
        <f t="shared" si="214"/>
        <v>0.61840493962368748</v>
      </c>
      <c r="I243" s="85">
        <f t="shared" si="215"/>
        <v>3208.3975239051788</v>
      </c>
      <c r="J243" s="365">
        <v>223980.6</v>
      </c>
      <c r="K243" s="43">
        <f>J243*'KiGa - PS'!L244</f>
        <v>26663.246244478418</v>
      </c>
      <c r="L243" s="42">
        <f t="shared" si="216"/>
        <v>0.17721472416374207</v>
      </c>
      <c r="M243" s="43">
        <f t="shared" si="217"/>
        <v>919.42228429235922</v>
      </c>
      <c r="N243" s="365">
        <v>31077.5</v>
      </c>
      <c r="O243" s="43">
        <f>N243*'KiGa - PS'!L244</f>
        <v>3699.5482428512919</v>
      </c>
      <c r="P243" s="42">
        <f t="shared" si="218"/>
        <v>2.4588694691409407E-2</v>
      </c>
      <c r="Q243" s="43">
        <f>O243/Funktional!C243</f>
        <v>3699.5482428512919</v>
      </c>
      <c r="R243" s="85">
        <f t="shared" si="219"/>
        <v>127.57062906383766</v>
      </c>
      <c r="S243" s="365">
        <v>33820.699999999997</v>
      </c>
      <c r="T243" s="365">
        <v>50840.25</v>
      </c>
      <c r="U243" s="43">
        <f>T243*'KiGa - PS'!L244</f>
        <v>6052.1585569502176</v>
      </c>
      <c r="V243" s="42">
        <f t="shared" si="220"/>
        <v>4.0225094852704597E-2</v>
      </c>
      <c r="W243" s="43">
        <f t="shared" si="221"/>
        <v>208.69512265345577</v>
      </c>
      <c r="X243" s="365">
        <v>50472.25</v>
      </c>
      <c r="Y243" s="43">
        <f>X243*'KiGa - PS'!L244</f>
        <v>6008.3508583461062</v>
      </c>
      <c r="Z243" s="91">
        <f t="shared" si="222"/>
        <v>3.9933931160437246E-2</v>
      </c>
      <c r="AA243" s="365">
        <v>105330.35</v>
      </c>
      <c r="AB243" s="43">
        <f>AA243*'KiGa - PS'!L244</f>
        <v>12538.804963765155</v>
      </c>
      <c r="AC243" s="43">
        <f t="shared" si="223"/>
        <v>432.37258495741912</v>
      </c>
      <c r="AD243" s="42">
        <f t="shared" si="224"/>
        <v>8.3337971776664632E-2</v>
      </c>
      <c r="AE243" s="365">
        <v>73468</v>
      </c>
      <c r="AF243" s="43">
        <f>AE243*'KiGa - PS'!L244</f>
        <v>8745.8260898012613</v>
      </c>
      <c r="AG243" s="42">
        <f t="shared" si="225"/>
        <v>5.812829930298339E-2</v>
      </c>
      <c r="AH243" s="42"/>
      <c r="AI243" s="97">
        <f t="shared" si="226"/>
        <v>8.0817269583201234E-2</v>
      </c>
      <c r="AJ243" s="365">
        <v>38383</v>
      </c>
      <c r="AK243" s="43">
        <f>AJ243*'KiGa - PS'!$L244</f>
        <v>4569.2143900043802</v>
      </c>
      <c r="AL243" s="365">
        <v>0</v>
      </c>
      <c r="AM243" s="43">
        <f>AL243*'KiGa - PS'!$L244</f>
        <v>0</v>
      </c>
      <c r="AN243" s="97">
        <f>(AK243+AM243)/Funktional!E243</f>
        <v>3.2378816376816097E-2</v>
      </c>
    </row>
    <row r="244" spans="1:40" x14ac:dyDescent="0.25">
      <c r="A244" t="str">
        <f>Funktional!A244</f>
        <v>Weinfelden</v>
      </c>
      <c r="B244" t="str">
        <f>Funktional!B244</f>
        <v>KiGa</v>
      </c>
      <c r="C244" s="43">
        <f>Funktional!D244</f>
        <v>222</v>
      </c>
      <c r="D244" s="43">
        <f>Funktional!J244-'KiGa - PS'!H245</f>
        <v>3090728.1000000006</v>
      </c>
      <c r="E244" s="43">
        <f>'KiGa - PS'!C245+'KiGa - PS'!J245*Artengliederung!D244</f>
        <v>1519848.4788752594</v>
      </c>
      <c r="F244" s="365">
        <v>6054534.9000000004</v>
      </c>
      <c r="G244" s="43">
        <f>F244*'KiGa - PS'!L245</f>
        <v>1035054.1040546143</v>
      </c>
      <c r="H244" s="42">
        <f t="shared" si="214"/>
        <v>0.68102453530143359</v>
      </c>
      <c r="I244" s="85">
        <f t="shared" si="215"/>
        <v>4662.4058741198842</v>
      </c>
      <c r="J244" s="365">
        <v>1153142</v>
      </c>
      <c r="K244" s="43">
        <f>J244*'KiGa - PS'!L245</f>
        <v>197135.59825342588</v>
      </c>
      <c r="L244" s="42">
        <f t="shared" si="216"/>
        <v>0.12970740241113579</v>
      </c>
      <c r="M244" s="43">
        <f t="shared" si="217"/>
        <v>887.99819033074721</v>
      </c>
      <c r="N244" s="365">
        <v>249396.9</v>
      </c>
      <c r="O244" s="43">
        <f>N244*'KiGa - PS'!L245</f>
        <v>42635.691947782514</v>
      </c>
      <c r="P244" s="42">
        <f t="shared" si="218"/>
        <v>2.8052593755486997E-2</v>
      </c>
      <c r="Q244" s="43">
        <f>O244/Funktional!C244</f>
        <v>4263.5691947782516</v>
      </c>
      <c r="R244" s="85">
        <f t="shared" si="219"/>
        <v>192.05266643145276</v>
      </c>
      <c r="S244" s="365">
        <v>112724.8</v>
      </c>
      <c r="T244" s="365">
        <v>21379.7</v>
      </c>
      <c r="U244" s="43">
        <f>T244*'KiGa - PS'!L245</f>
        <v>3654.9704632896637</v>
      </c>
      <c r="V244" s="42">
        <f t="shared" si="220"/>
        <v>2.404825556028104E-3</v>
      </c>
      <c r="W244" s="43">
        <f t="shared" si="221"/>
        <v>16.463830915719207</v>
      </c>
      <c r="X244" s="365">
        <v>0</v>
      </c>
      <c r="Y244" s="43">
        <f>X244*'KiGa - PS'!L245</f>
        <v>0</v>
      </c>
      <c r="Z244" s="91">
        <f t="shared" si="222"/>
        <v>0</v>
      </c>
      <c r="AA244" s="365">
        <v>132164.15</v>
      </c>
      <c r="AB244" s="43">
        <f>AA244*'KiGa - PS'!L245</f>
        <v>22594.146061721378</v>
      </c>
      <c r="AC244" s="43">
        <f t="shared" si="223"/>
        <v>101.77543271045666</v>
      </c>
      <c r="AD244" s="42">
        <f t="shared" si="224"/>
        <v>1.4866051699075839E-2</v>
      </c>
      <c r="AE244" s="365">
        <v>70000</v>
      </c>
      <c r="AF244" s="43">
        <f>AE244*'KiGa - PS'!L245</f>
        <v>11966.862604726748</v>
      </c>
      <c r="AG244" s="42">
        <f t="shared" si="225"/>
        <v>7.8737208156319915E-3</v>
      </c>
      <c r="AH244" s="42"/>
      <c r="AI244" s="97">
        <f t="shared" si="226"/>
        <v>0.17199718503232667</v>
      </c>
      <c r="AJ244" s="365">
        <v>154976.95000000001</v>
      </c>
      <c r="AK244" s="43">
        <f>AJ244*'KiGa - PS'!$L245</f>
        <v>26494.112393565814</v>
      </c>
      <c r="AL244" s="365">
        <v>0</v>
      </c>
      <c r="AM244" s="43">
        <f>AL244*'KiGa - PS'!$L245</f>
        <v>0</v>
      </c>
      <c r="AN244" s="97">
        <f>(AK244+AM244)/Funktional!E244</f>
        <v>2.0415659709334063E-2</v>
      </c>
    </row>
    <row r="245" spans="1:40" x14ac:dyDescent="0.25">
      <c r="A245" t="str">
        <f>Funktional!A245</f>
        <v>Wigoltingen</v>
      </c>
      <c r="B245" t="str">
        <f>Funktional!B245</f>
        <v>KiGa</v>
      </c>
      <c r="C245" s="43">
        <f>Funktional!D245</f>
        <v>51</v>
      </c>
      <c r="D245" s="43">
        <f>Funktional!J245-'KiGa - PS'!H246</f>
        <v>641050.70000000019</v>
      </c>
      <c r="E245" s="43">
        <f>'KiGa - PS'!C246+'KiGa - PS'!J246*Artengliederung!D245</f>
        <v>292581.87725016411</v>
      </c>
      <c r="F245" s="365">
        <v>1517112.25</v>
      </c>
      <c r="G245" s="43">
        <f>F245*'KiGa - PS'!L246</f>
        <v>216454.03435302817</v>
      </c>
      <c r="H245" s="42">
        <f t="shared" si="214"/>
        <v>0.73980670432282136</v>
      </c>
      <c r="I245" s="85">
        <f t="shared" si="215"/>
        <v>4244.1967520201606</v>
      </c>
      <c r="J245" s="365">
        <v>261589.8</v>
      </c>
      <c r="K245" s="43">
        <f>J245*'KiGa - PS'!L246</f>
        <v>37322.332316281652</v>
      </c>
      <c r="L245" s="42">
        <f t="shared" si="216"/>
        <v>0.12756200987927294</v>
      </c>
      <c r="M245" s="43">
        <f t="shared" si="217"/>
        <v>731.81043757415</v>
      </c>
      <c r="N245" s="365">
        <v>62344.9</v>
      </c>
      <c r="O245" s="43">
        <f>N245*'KiGa - PS'!L246</f>
        <v>8895.0604191193543</v>
      </c>
      <c r="P245" s="42">
        <f t="shared" si="218"/>
        <v>3.0401952789146529E-2</v>
      </c>
      <c r="Q245" s="43">
        <f>O245/Funktional!C245</f>
        <v>4447.5302095596771</v>
      </c>
      <c r="R245" s="85">
        <f t="shared" si="219"/>
        <v>174.41294939449713</v>
      </c>
      <c r="S245" s="365">
        <v>3114.25</v>
      </c>
      <c r="T245" s="365">
        <v>84668.25</v>
      </c>
      <c r="U245" s="43">
        <f>T245*'KiGa - PS'!L246</f>
        <v>12080.045029041705</v>
      </c>
      <c r="V245" s="42">
        <f t="shared" si="220"/>
        <v>4.1287741888104003E-2</v>
      </c>
      <c r="W245" s="43">
        <f t="shared" si="221"/>
        <v>236.86362802042558</v>
      </c>
      <c r="X245" s="365">
        <v>75912.5</v>
      </c>
      <c r="Y245" s="43">
        <f>X245*'KiGa - PS'!L246</f>
        <v>10830.818143366947</v>
      </c>
      <c r="Z245" s="91">
        <f t="shared" si="222"/>
        <v>3.701807591488776E-2</v>
      </c>
      <c r="AA245" s="365">
        <v>62832.55</v>
      </c>
      <c r="AB245" s="43">
        <f>AA245*'KiGa - PS'!L246</f>
        <v>8964.6358970394976</v>
      </c>
      <c r="AC245" s="43">
        <f t="shared" si="223"/>
        <v>175.77717445175486</v>
      </c>
      <c r="AD245" s="42">
        <f t="shared" si="224"/>
        <v>3.06397511058914E-2</v>
      </c>
      <c r="AE245" s="365">
        <v>50987</v>
      </c>
      <c r="AF245" s="43">
        <f>AE245*'KiGa - PS'!L246</f>
        <v>7274.5717065812678</v>
      </c>
      <c r="AG245" s="42">
        <f t="shared" si="225"/>
        <v>2.4863370810767425E-2</v>
      </c>
      <c r="AH245" s="42"/>
      <c r="AI245" s="97">
        <f t="shared" si="226"/>
        <v>6.0703792803910306E-2</v>
      </c>
      <c r="AJ245" s="365">
        <v>288228</v>
      </c>
      <c r="AK245" s="43">
        <f>AJ245*'KiGa - PS'!$L246</f>
        <v>41122.938275335</v>
      </c>
      <c r="AL245" s="365">
        <v>238360</v>
      </c>
      <c r="AM245" s="43">
        <f>AL245*'KiGa - PS'!$L246</f>
        <v>34008.019926269655</v>
      </c>
      <c r="AN245" s="97">
        <f>(AK245+AM245)/Funktional!E245</f>
        <v>0.27192855417906164</v>
      </c>
    </row>
    <row r="246" spans="1:40" x14ac:dyDescent="0.25">
      <c r="A246" t="str">
        <f>Funktional!A246</f>
        <v>Wilen bei Wil</v>
      </c>
      <c r="B246" t="str">
        <f>Funktional!B246</f>
        <v>KiGa</v>
      </c>
      <c r="C246" s="43">
        <f>Funktional!D246</f>
        <v>53</v>
      </c>
      <c r="D246" s="43">
        <f>Funktional!J246-'KiGa - PS'!H247</f>
        <v>704787.10000000009</v>
      </c>
      <c r="E246" s="43">
        <f>'KiGa - PS'!C247+'KiGa - PS'!J247*Artengliederung!D246</f>
        <v>293938.04912748031</v>
      </c>
      <c r="F246" s="365">
        <v>1279272.3999999999</v>
      </c>
      <c r="G246" s="43">
        <f>F246*'KiGa - PS'!L247</f>
        <v>198681.19107036668</v>
      </c>
      <c r="H246" s="42">
        <f t="shared" ref="H246:H250" si="227">G246/$E246</f>
        <v>0.67592879404394179</v>
      </c>
      <c r="I246" s="85">
        <f t="shared" ref="I246:I250" si="228">G246/C246</f>
        <v>3748.7017183088051</v>
      </c>
      <c r="J246" s="365">
        <v>247197.15</v>
      </c>
      <c r="K246" s="43">
        <f>J246*'KiGa - PS'!L247</f>
        <v>38391.685923342127</v>
      </c>
      <c r="L246" s="42">
        <f t="shared" ref="L246:L250" si="229">K246/$E246</f>
        <v>0.13061148781963827</v>
      </c>
      <c r="M246" s="43">
        <f t="shared" ref="M246:M250" si="230">K246/C246</f>
        <v>724.37143251588918</v>
      </c>
      <c r="N246" s="365">
        <v>51713.35</v>
      </c>
      <c r="O246" s="43">
        <f>N246*'KiGa - PS'!L247</f>
        <v>8031.4950687896871</v>
      </c>
      <c r="P246" s="42">
        <f t="shared" ref="P246:P250" si="231">O246/$E246</f>
        <v>2.7323768027413303E-2</v>
      </c>
      <c r="Q246" s="43">
        <f>O246/Funktional!C246</f>
        <v>2677.1650229298957</v>
      </c>
      <c r="R246" s="85">
        <f t="shared" ref="R246:R250" si="232">O246/C246</f>
        <v>151.5376428073526</v>
      </c>
      <c r="S246" s="365">
        <v>27144.799999999999</v>
      </c>
      <c r="T246" s="365">
        <v>89951.2</v>
      </c>
      <c r="U246" s="43">
        <f>T246*'KiGa - PS'!L247</f>
        <v>13970.137676861292</v>
      </c>
      <c r="V246" s="42">
        <f t="shared" ref="V246:V250" si="233">U246/$E246</f>
        <v>4.7527489953512185E-2</v>
      </c>
      <c r="W246" s="43">
        <f t="shared" ref="W246:W250" si="234">U246/C246</f>
        <v>263.5875033370055</v>
      </c>
      <c r="X246" s="365">
        <v>90407</v>
      </c>
      <c r="Y246" s="43">
        <f>X246*'KiGa - PS'!L247</f>
        <v>14040.927046576353</v>
      </c>
      <c r="Z246" s="91">
        <f t="shared" ref="Z246:Z250" si="235">Y246/$E246</f>
        <v>4.7768320869840272E-2</v>
      </c>
      <c r="AA246" s="365">
        <v>93403.8</v>
      </c>
      <c r="AB246" s="43">
        <f>AA246*'KiGa - PS'!L247</f>
        <v>14506.353951275989</v>
      </c>
      <c r="AC246" s="43">
        <f t="shared" ref="AC246:AC250" si="236">AB246/C246</f>
        <v>273.70479153350925</v>
      </c>
      <c r="AD246" s="42">
        <f t="shared" ref="AD246:AD250" si="237">AB246/$E246</f>
        <v>4.9351739233271616E-2</v>
      </c>
      <c r="AE246" s="365">
        <v>90031</v>
      </c>
      <c r="AF246" s="43">
        <f>AE246*'KiGa - PS'!L247</f>
        <v>13982.531252340146</v>
      </c>
      <c r="AG246" s="42">
        <f t="shared" ref="AG246:AG250" si="238">AF246/$E246</f>
        <v>4.7569653856809647E-2</v>
      </c>
      <c r="AH246" s="42"/>
      <c r="AI246" s="97">
        <f t="shared" si="226"/>
        <v>9.6580488949636126E-2</v>
      </c>
      <c r="AJ246" s="365">
        <v>343710</v>
      </c>
      <c r="AK246" s="43">
        <f>AJ246*'KiGa - PS'!$L247</f>
        <v>53380.900098208745</v>
      </c>
      <c r="AL246" s="365">
        <v>0</v>
      </c>
      <c r="AM246" s="43">
        <f>AL246*'KiGa - PS'!$L247</f>
        <v>0</v>
      </c>
      <c r="AN246" s="97">
        <f>(AK246+AM246)/Funktional!E246</f>
        <v>0.19743005474087311</v>
      </c>
    </row>
    <row r="247" spans="1:40" x14ac:dyDescent="0.25">
      <c r="A247" t="str">
        <f>Funktional!A247</f>
        <v>Wittenwil</v>
      </c>
      <c r="B247" t="str">
        <f>Funktional!B247</f>
        <v>KiGa</v>
      </c>
      <c r="C247" s="43">
        <f>Funktional!D247</f>
        <v>17</v>
      </c>
      <c r="D247" s="43">
        <f>Funktional!J247-'KiGa - PS'!H248</f>
        <v>132590.84999999998</v>
      </c>
      <c r="E247" s="43">
        <f>'KiGa - PS'!C248+'KiGa - PS'!J248*Artengliederung!D247</f>
        <v>87959.729780249996</v>
      </c>
      <c r="F247" s="365">
        <v>339613.9</v>
      </c>
      <c r="G247" s="43">
        <f>F247*'KiGa - PS'!L248</f>
        <v>63578.597625528804</v>
      </c>
      <c r="H247" s="42">
        <f t="shared" si="227"/>
        <v>0.72281483565680982</v>
      </c>
      <c r="I247" s="85">
        <f t="shared" si="228"/>
        <v>3739.9175073840474</v>
      </c>
      <c r="J247" s="365">
        <v>69852.05</v>
      </c>
      <c r="K247" s="43">
        <f>J247*'KiGa - PS'!L248</f>
        <v>13076.895204431619</v>
      </c>
      <c r="L247" s="42">
        <f t="shared" si="229"/>
        <v>0.14866911525423801</v>
      </c>
      <c r="M247" s="43">
        <f t="shared" si="230"/>
        <v>769.22912967244815</v>
      </c>
      <c r="N247" s="365">
        <v>14730.6</v>
      </c>
      <c r="O247" s="43">
        <f>N247*'KiGa - PS'!L248</f>
        <v>2757.693045492586</v>
      </c>
      <c r="P247" s="42">
        <f t="shared" si="231"/>
        <v>3.1351768046379146E-2</v>
      </c>
      <c r="Q247" s="43">
        <f>O247/Funktional!C247</f>
        <v>5515.3860909851719</v>
      </c>
      <c r="R247" s="85">
        <f t="shared" si="232"/>
        <v>162.21723797015213</v>
      </c>
      <c r="S247" s="365">
        <v>11771.55</v>
      </c>
      <c r="T247" s="365">
        <v>17967.650000000001</v>
      </c>
      <c r="U247" s="43">
        <f>T247*'KiGa - PS'!L248</f>
        <v>3363.6962139250859</v>
      </c>
      <c r="V247" s="42">
        <f t="shared" si="233"/>
        <v>3.824132045799386E-2</v>
      </c>
      <c r="W247" s="43">
        <f t="shared" si="234"/>
        <v>197.86448317206387</v>
      </c>
      <c r="X247" s="365">
        <v>17695.5</v>
      </c>
      <c r="Y247" s="43">
        <f>X247*'KiGa - PS'!L248</f>
        <v>3312.7474296032788</v>
      </c>
      <c r="Z247" s="91">
        <f t="shared" si="235"/>
        <v>3.7662091935474602E-2</v>
      </c>
      <c r="AA247" s="365">
        <v>27449.599999999999</v>
      </c>
      <c r="AB247" s="43">
        <f>AA247*'KiGa - PS'!L248</f>
        <v>5138.7975385628069</v>
      </c>
      <c r="AC247" s="43">
        <f t="shared" si="236"/>
        <v>302.28220815075338</v>
      </c>
      <c r="AD247" s="42">
        <f t="shared" si="237"/>
        <v>5.8422161498234218E-2</v>
      </c>
      <c r="AE247" s="365">
        <v>6500</v>
      </c>
      <c r="AF247" s="43">
        <f>AE247*'KiGa - PS'!L248</f>
        <v>1216.8550361629405</v>
      </c>
      <c r="AG247" s="42">
        <f t="shared" si="238"/>
        <v>1.3834228904556805E-2</v>
      </c>
      <c r="AH247" s="42"/>
      <c r="AI247" s="97">
        <f t="shared" si="226"/>
        <v>3.1852567132724094E-2</v>
      </c>
      <c r="AJ247" s="365">
        <v>91587</v>
      </c>
      <c r="AK247" s="43">
        <f>AJ247*'KiGa - PS'!$L248</f>
        <v>17145.861876470033</v>
      </c>
      <c r="AL247" s="365">
        <v>25618</v>
      </c>
      <c r="AM247" s="43">
        <f>AL247*'KiGa - PS'!$L248</f>
        <v>4795.9065102188006</v>
      </c>
      <c r="AN247" s="97">
        <f>(AK247+AM247)/Funktional!E247</f>
        <v>0.25550834617723933</v>
      </c>
    </row>
    <row r="248" spans="1:40" x14ac:dyDescent="0.25">
      <c r="A248" t="str">
        <f>Funktional!A248</f>
        <v>Wuppenau</v>
      </c>
      <c r="B248" t="str">
        <f>Funktional!B248</f>
        <v>KiGa</v>
      </c>
      <c r="C248" s="43">
        <f>Funktional!D248</f>
        <v>21</v>
      </c>
      <c r="D248" s="43">
        <f>Funktional!J248-'KiGa - PS'!H249</f>
        <v>556946.20000000019</v>
      </c>
      <c r="E248" s="43">
        <f>'KiGa - PS'!C249+'KiGa - PS'!J249*Artengliederung!D248</f>
        <v>104404.1739816935</v>
      </c>
      <c r="F248" s="365">
        <v>1167275.05</v>
      </c>
      <c r="G248" s="43">
        <f>F248*'KiGa - PS'!L249</f>
        <v>76657.398447143467</v>
      </c>
      <c r="H248" s="42">
        <f t="shared" si="227"/>
        <v>0.7342369133688541</v>
      </c>
      <c r="I248" s="85">
        <f t="shared" si="228"/>
        <v>3650.3523070068318</v>
      </c>
      <c r="J248" s="365">
        <v>243453.25</v>
      </c>
      <c r="K248" s="43">
        <f>J248*'KiGa - PS'!L249</f>
        <v>15988.085060587931</v>
      </c>
      <c r="L248" s="42">
        <f t="shared" si="229"/>
        <v>0.1531364547110092</v>
      </c>
      <c r="M248" s="43">
        <f t="shared" si="230"/>
        <v>761.33738383752052</v>
      </c>
      <c r="N248" s="365">
        <v>37840.800000000003</v>
      </c>
      <c r="O248" s="43">
        <f>N248*'KiGa - PS'!L249</f>
        <v>2485.0846277907394</v>
      </c>
      <c r="P248" s="42">
        <f t="shared" si="231"/>
        <v>2.3802540961882238E-2</v>
      </c>
      <c r="Q248" s="43">
        <f>O248/Funktional!C248</f>
        <v>4970.1692555814789</v>
      </c>
      <c r="R248" s="85">
        <f t="shared" si="232"/>
        <v>118.33736322813044</v>
      </c>
      <c r="S248" s="365">
        <v>20121.25</v>
      </c>
      <c r="T248" s="365">
        <v>37924.400000000001</v>
      </c>
      <c r="U248" s="43">
        <f>T248*'KiGa - PS'!L249</f>
        <v>2490.5748149665737</v>
      </c>
      <c r="V248" s="42">
        <f t="shared" si="233"/>
        <v>2.3855126859231485E-2</v>
      </c>
      <c r="W248" s="43">
        <f t="shared" si="234"/>
        <v>118.59880071269399</v>
      </c>
      <c r="X248" s="365">
        <v>29685.4</v>
      </c>
      <c r="Y248" s="43">
        <f>X248*'KiGa - PS'!L249</f>
        <v>1949.5024209271266</v>
      </c>
      <c r="Z248" s="91">
        <f t="shared" si="235"/>
        <v>1.8672648291522879E-2</v>
      </c>
      <c r="AA248" s="365">
        <v>75740</v>
      </c>
      <c r="AB248" s="43">
        <f>AA248*'KiGa - PS'!L249</f>
        <v>4974.0045059531139</v>
      </c>
      <c r="AC248" s="43">
        <f t="shared" si="236"/>
        <v>236.85735742633875</v>
      </c>
      <c r="AD248" s="42">
        <f t="shared" si="237"/>
        <v>4.7641816569759646E-2</v>
      </c>
      <c r="AE248" s="365">
        <v>75740</v>
      </c>
      <c r="AF248" s="43">
        <f>AE248*'KiGa - PS'!L249</f>
        <v>4974.0045059531139</v>
      </c>
      <c r="AG248" s="42">
        <f t="shared" si="238"/>
        <v>4.7641816569759646E-2</v>
      </c>
      <c r="AH248" s="42"/>
      <c r="AI248" s="97">
        <f t="shared" si="226"/>
        <v>4.1129688491145566E-2</v>
      </c>
      <c r="AJ248" s="365">
        <v>505614</v>
      </c>
      <c r="AK248" s="43">
        <f>AJ248*'KiGa - PS'!$L249</f>
        <v>33204.730845959566</v>
      </c>
      <c r="AL248" s="365">
        <v>266715</v>
      </c>
      <c r="AM248" s="43">
        <f>AL248*'KiGa - PS'!$L249</f>
        <v>17515.73292586856</v>
      </c>
      <c r="AN248" s="97">
        <f>(AK248+AM248)/Funktional!E248</f>
        <v>0.5012048940239352</v>
      </c>
    </row>
    <row r="249" spans="1:40" x14ac:dyDescent="0.25">
      <c r="A249" t="str">
        <f>Funktional!A249</f>
        <v>Zezikon</v>
      </c>
      <c r="B249" t="str">
        <f>Funktional!B249</f>
        <v>KiGa</v>
      </c>
      <c r="C249" s="43">
        <f>Funktional!D249</f>
        <v>0</v>
      </c>
      <c r="D249" s="43">
        <f>Funktional!J249-'KiGa - PS'!H250</f>
        <v>-290417.75</v>
      </c>
      <c r="E249" s="43">
        <f>'KiGa - PS'!C250+'KiGa - PS'!J250*Artengliederung!D249</f>
        <v>0</v>
      </c>
      <c r="F249" s="365">
        <v>283271</v>
      </c>
      <c r="G249" s="43">
        <f>F249*'KiGa - PS'!L250</f>
        <v>0</v>
      </c>
      <c r="H249" s="42"/>
      <c r="I249" s="85"/>
      <c r="J249" s="365">
        <v>96648.9</v>
      </c>
      <c r="K249" s="43">
        <f>J249*'KiGa - PS'!L250</f>
        <v>0</v>
      </c>
      <c r="L249" s="42"/>
      <c r="M249" s="43"/>
      <c r="N249" s="365">
        <v>16159.45</v>
      </c>
      <c r="O249" s="43">
        <f>N249*'KiGa - PS'!L250</f>
        <v>0</v>
      </c>
      <c r="P249" s="42"/>
      <c r="Q249" s="43"/>
      <c r="R249" s="85"/>
      <c r="S249" s="365">
        <v>1947</v>
      </c>
      <c r="T249" s="365">
        <v>34997.35</v>
      </c>
      <c r="U249" s="43">
        <f>T249*'KiGa - PS'!L250</f>
        <v>0</v>
      </c>
      <c r="V249" s="42"/>
      <c r="W249" s="43"/>
      <c r="X249" s="365">
        <v>23070</v>
      </c>
      <c r="Y249" s="43">
        <f>X249*'KiGa - PS'!L250</f>
        <v>0</v>
      </c>
      <c r="Z249" s="91"/>
      <c r="AA249" s="365">
        <v>34459.85</v>
      </c>
      <c r="AB249" s="43">
        <f>AA249*'KiGa - PS'!L250</f>
        <v>0</v>
      </c>
      <c r="AC249" s="43"/>
      <c r="AD249" s="42"/>
      <c r="AE249" s="365">
        <v>34771.25</v>
      </c>
      <c r="AF249" s="43">
        <f>AE249*'KiGa - PS'!L250</f>
        <v>0</v>
      </c>
      <c r="AG249" s="42"/>
      <c r="AH249" s="42"/>
      <c r="AI249" s="97"/>
      <c r="AJ249" s="365">
        <v>114925</v>
      </c>
      <c r="AK249" s="43">
        <f>AJ249*'KiGa - PS'!$L250</f>
        <v>0</v>
      </c>
      <c r="AL249" s="365">
        <v>138848</v>
      </c>
      <c r="AM249" s="43">
        <f>AL249*'KiGa - PS'!$L250</f>
        <v>0</v>
      </c>
      <c r="AN249" s="97"/>
    </row>
    <row r="250" spans="1:40" x14ac:dyDescent="0.25">
      <c r="A250" t="str">
        <f>Funktional!A250</f>
        <v>Zihlschlacht</v>
      </c>
      <c r="B250" t="str">
        <f>Funktional!B250</f>
        <v>KiGa</v>
      </c>
      <c r="C250" s="43">
        <f>Funktional!D250</f>
        <v>17</v>
      </c>
      <c r="D250" s="43">
        <f>Funktional!J250-'KiGa - PS'!H251</f>
        <v>476156.67000000004</v>
      </c>
      <c r="E250" s="43">
        <f>'KiGa - PS'!C251+'KiGa - PS'!J251*Artengliederung!D250</f>
        <v>176883.06830279378</v>
      </c>
      <c r="F250" s="365">
        <v>886113.85</v>
      </c>
      <c r="G250" s="43">
        <f>F250*'KiGa - PS'!L251</f>
        <v>116130.96430099166</v>
      </c>
      <c r="H250" s="42">
        <f t="shared" si="227"/>
        <v>0.65654087423560048</v>
      </c>
      <c r="I250" s="85">
        <f t="shared" si="228"/>
        <v>6831.2331941759803</v>
      </c>
      <c r="J250" s="365">
        <v>236627</v>
      </c>
      <c r="K250" s="43">
        <f>J250*'KiGa - PS'!L251</f>
        <v>31011.502291326058</v>
      </c>
      <c r="L250" s="42">
        <f t="shared" si="229"/>
        <v>0.1753220508264795</v>
      </c>
      <c r="M250" s="43">
        <f t="shared" si="230"/>
        <v>1824.2060171368269</v>
      </c>
      <c r="N250" s="365">
        <v>34415.75</v>
      </c>
      <c r="O250" s="43">
        <f>N250*'KiGa - PS'!L251</f>
        <v>4510.407138588178</v>
      </c>
      <c r="P250" s="42">
        <f t="shared" si="231"/>
        <v>2.5499371883730141E-2</v>
      </c>
      <c r="Q250" s="43">
        <f>O250/Funktional!C250</f>
        <v>4510.407138588178</v>
      </c>
      <c r="R250" s="85">
        <f t="shared" si="232"/>
        <v>265.3180669757752</v>
      </c>
      <c r="S250" s="365">
        <v>23092.5</v>
      </c>
      <c r="T250" s="365">
        <v>51910.95</v>
      </c>
      <c r="U250" s="43">
        <f>T250*'KiGa - PS'!L251</f>
        <v>6803.2665117248343</v>
      </c>
      <c r="V250" s="42">
        <f t="shared" si="233"/>
        <v>3.8461943118709346E-2</v>
      </c>
      <c r="W250" s="43">
        <f t="shared" si="234"/>
        <v>400.19214774851969</v>
      </c>
      <c r="X250" s="365">
        <v>47347.199999999997</v>
      </c>
      <c r="Y250" s="43">
        <f>X250*'KiGa - PS'!L251</f>
        <v>6205.1574895843378</v>
      </c>
      <c r="Z250" s="91">
        <f t="shared" si="235"/>
        <v>3.5080562255750569E-2</v>
      </c>
      <c r="AA250" s="365">
        <v>102250.85</v>
      </c>
      <c r="AB250" s="43">
        <f>AA250*'KiGa - PS'!L251</f>
        <v>13400.636736572907</v>
      </c>
      <c r="AC250" s="43">
        <f t="shared" si="236"/>
        <v>788.27274921017101</v>
      </c>
      <c r="AD250" s="42">
        <f t="shared" si="237"/>
        <v>7.5759861388390734E-2</v>
      </c>
      <c r="AE250" s="365">
        <v>87249</v>
      </c>
      <c r="AF250" s="43">
        <f>AE250*'KiGa - PS'!L251</f>
        <v>11434.547044149262</v>
      </c>
      <c r="AG250" s="42">
        <f t="shared" si="238"/>
        <v>6.464466697612492E-2</v>
      </c>
      <c r="AH250" s="42"/>
      <c r="AI250" s="97">
        <f t="shared" si="226"/>
        <v>5.3915270430819937E-2</v>
      </c>
      <c r="AJ250" s="365">
        <v>399154</v>
      </c>
      <c r="AK250" s="43">
        <f>AJ250*'KiGa - PS'!$L251</f>
        <v>52311.719227273141</v>
      </c>
      <c r="AL250" s="365">
        <v>150361</v>
      </c>
      <c r="AM250" s="43">
        <f>AL250*'KiGa - PS'!$L251</f>
        <v>19705.783769502541</v>
      </c>
      <c r="AN250" s="97">
        <f>(AK250+AM250)/Funktional!E250</f>
        <v>0.42665733507009324</v>
      </c>
    </row>
    <row r="251" spans="1:40" x14ac:dyDescent="0.25">
      <c r="A251" t="str">
        <f>Funktional!A251</f>
        <v>Zuben-Schönenbaumgarten</v>
      </c>
      <c r="B251" t="str">
        <f>Funktional!B251</f>
        <v>KiGa</v>
      </c>
      <c r="C251" s="43">
        <f>Funktional!D251</f>
        <v>0</v>
      </c>
      <c r="D251" s="43">
        <f>Funktional!J251-'KiGa - PS'!H252</f>
        <v>-373704.14999999997</v>
      </c>
      <c r="E251" s="43">
        <f>'KiGa - PS'!C252+'KiGa - PS'!J252*Artengliederung!D251</f>
        <v>0</v>
      </c>
      <c r="F251" s="365">
        <v>283315.84999999998</v>
      </c>
      <c r="G251" s="43">
        <f>F251*'KiGa - PS'!L252</f>
        <v>0</v>
      </c>
      <c r="H251" s="42"/>
      <c r="I251" s="85"/>
      <c r="J251" s="365">
        <v>86038.95</v>
      </c>
      <c r="K251" s="43">
        <f>J251*'KiGa - PS'!L252</f>
        <v>0</v>
      </c>
      <c r="L251" s="42"/>
      <c r="M251" s="43"/>
      <c r="N251" s="365">
        <v>15134.55</v>
      </c>
      <c r="O251" s="43">
        <f>N251*'KiGa - PS'!L252</f>
        <v>0</v>
      </c>
      <c r="P251" s="42"/>
      <c r="Q251" s="43"/>
      <c r="R251" s="85"/>
      <c r="S251" s="365">
        <v>32887.449999999997</v>
      </c>
      <c r="T251" s="365">
        <v>29494.5</v>
      </c>
      <c r="U251" s="43">
        <f>T251*'KiGa - PS'!L252</f>
        <v>0</v>
      </c>
      <c r="V251" s="42"/>
      <c r="W251" s="43"/>
      <c r="X251" s="365">
        <v>22816.95</v>
      </c>
      <c r="Y251" s="43">
        <f>X251*'KiGa - PS'!L252</f>
        <v>0</v>
      </c>
      <c r="Z251" s="91"/>
      <c r="AA251" s="365">
        <v>57054.35</v>
      </c>
      <c r="AB251" s="43">
        <f>AA251*'KiGa - PS'!L252</f>
        <v>0</v>
      </c>
      <c r="AC251" s="43"/>
      <c r="AD251" s="42"/>
      <c r="AE251" s="365">
        <v>23079.5</v>
      </c>
      <c r="AF251" s="43">
        <f>AE251*'KiGa - PS'!L252</f>
        <v>0</v>
      </c>
      <c r="AG251" s="42"/>
      <c r="AH251" s="42"/>
      <c r="AI251" s="97"/>
      <c r="AJ251" s="365">
        <v>125120</v>
      </c>
      <c r="AK251" s="43">
        <f>AJ251*'KiGa - PS'!$L252</f>
        <v>0</v>
      </c>
      <c r="AL251" s="365">
        <v>94495</v>
      </c>
      <c r="AM251" s="43">
        <f>AL251*'KiGa - PS'!$L252</f>
        <v>0</v>
      </c>
      <c r="AN251" s="97"/>
    </row>
    <row r="252" spans="1:40" x14ac:dyDescent="0.25">
      <c r="A252" t="str">
        <f>Funktional!A252</f>
        <v>Arbon</v>
      </c>
      <c r="B252" t="str">
        <f>Funktional!B252</f>
        <v>VSG</v>
      </c>
      <c r="C252" s="43">
        <f>Funktional!D252</f>
        <v>1775</v>
      </c>
      <c r="D252" s="43"/>
      <c r="E252" s="43">
        <f>Funktional!J252</f>
        <v>20710251</v>
      </c>
      <c r="F252" s="365">
        <v>14355036.75</v>
      </c>
      <c r="G252" s="43">
        <f t="shared" ref="G252:G257" si="239">F252</f>
        <v>14355036.75</v>
      </c>
      <c r="H252" s="42">
        <f t="shared" ref="H252:H258" si="240">G252/$E252</f>
        <v>0.69313678284246771</v>
      </c>
      <c r="I252" s="85">
        <f t="shared" ref="I252:I258" si="241">G252/C252</f>
        <v>8087.3446478873238</v>
      </c>
      <c r="J252" s="365">
        <v>1993740.45</v>
      </c>
      <c r="K252" s="43">
        <f t="shared" ref="K252:K257" si="242">J252</f>
        <v>1993740.45</v>
      </c>
      <c r="L252" s="42">
        <f t="shared" ref="L252:L258" si="243">K252/$E252</f>
        <v>9.6268290036658655E-2</v>
      </c>
      <c r="M252" s="43">
        <f t="shared" ref="M252:M258" si="244">K252/C252</f>
        <v>1123.234056338028</v>
      </c>
      <c r="N252" s="365">
        <v>634354.25</v>
      </c>
      <c r="O252" s="43">
        <f t="shared" ref="O252:O257" si="245">N252</f>
        <v>634354.25</v>
      </c>
      <c r="P252" s="42">
        <f t="shared" ref="P252:P258" si="246">O252/$E252</f>
        <v>3.0629964359195839E-2</v>
      </c>
      <c r="Q252" s="43">
        <f>O252/Funktional!C252</f>
        <v>7291.4281609195405</v>
      </c>
      <c r="R252" s="85">
        <f t="shared" ref="R252:R258" si="247">O252/C252</f>
        <v>357.38267605633803</v>
      </c>
      <c r="S252" s="365">
        <v>26122.9</v>
      </c>
      <c r="T252" s="365">
        <v>827602.15</v>
      </c>
      <c r="U252" s="43">
        <f t="shared" ref="U252:U257" si="248">T252</f>
        <v>827602.15</v>
      </c>
      <c r="V252" s="42">
        <f t="shared" ref="V252:V258" si="249">U252/$E252</f>
        <v>3.9960990815611074E-2</v>
      </c>
      <c r="W252" s="43">
        <f t="shared" ref="W252:W258" si="250">U252/C252</f>
        <v>466.25473239436621</v>
      </c>
      <c r="X252" s="365">
        <v>768152.85</v>
      </c>
      <c r="Y252" s="43">
        <f t="shared" ref="Y252:Y257" si="251">X252</f>
        <v>768152.85</v>
      </c>
      <c r="Z252" s="91">
        <f t="shared" ref="Z252:Z258" si="252">Y252/$E252</f>
        <v>3.7090465489771227E-2</v>
      </c>
      <c r="AA252" s="365">
        <v>344523.55</v>
      </c>
      <c r="AB252" s="43">
        <f t="shared" ref="AB252:AB257" si="253">AA252</f>
        <v>344523.55</v>
      </c>
      <c r="AC252" s="43">
        <f t="shared" ref="AC252:AC258" si="254">AB252/C252</f>
        <v>194.09777464788732</v>
      </c>
      <c r="AD252" s="42">
        <f t="shared" ref="AD252:AD258" si="255">AB252/$E252</f>
        <v>1.6635411613311689E-2</v>
      </c>
      <c r="AE252" s="365">
        <v>124418.25</v>
      </c>
      <c r="AF252" s="43">
        <f t="shared" ref="AF252:AF257" si="256">AE252</f>
        <v>124418.25</v>
      </c>
      <c r="AG252" s="42">
        <f t="shared" ref="AG252:AG258" si="257">AF252/$E252</f>
        <v>6.0075684258969145E-3</v>
      </c>
      <c r="AH252" s="42">
        <f>AE252/'Kennzahlen Revision'!F252</f>
        <v>6.0626420901475275E-3</v>
      </c>
      <c r="AI252" s="97">
        <f t="shared" ref="AI252:AI257" si="258">1-H252-L252-V252-AD252</f>
        <v>0.15399852469195086</v>
      </c>
      <c r="AJ252" s="365">
        <v>876801.4</v>
      </c>
      <c r="AK252" s="43">
        <f>AJ252*'KiGa - PS'!$L253</f>
        <v>876801.4</v>
      </c>
      <c r="AL252" s="365">
        <v>0</v>
      </c>
      <c r="AM252" s="43">
        <f>AL252*'KiGa - PS'!$L253</f>
        <v>0</v>
      </c>
      <c r="AN252" s="97">
        <f>(AK252+AM252)/Funktional!E252</f>
        <v>4.4816962015367313E-2</v>
      </c>
    </row>
    <row r="253" spans="1:40" x14ac:dyDescent="0.25">
      <c r="A253" t="str">
        <f>Funktional!A253</f>
        <v>Erlen-Riedt-Ennetaach</v>
      </c>
      <c r="B253" t="str">
        <f>Funktional!B253</f>
        <v>VSG</v>
      </c>
      <c r="C253" s="43">
        <f>Funktional!D253</f>
        <v>506</v>
      </c>
      <c r="D253" s="43"/>
      <c r="E253" s="43">
        <f>Funktional!J253</f>
        <v>5453981.5999999996</v>
      </c>
      <c r="F253" s="365">
        <v>3956244.6</v>
      </c>
      <c r="G253" s="43">
        <f t="shared" si="239"/>
        <v>3956244.6</v>
      </c>
      <c r="H253" s="42">
        <f t="shared" si="240"/>
        <v>0.72538649562000734</v>
      </c>
      <c r="I253" s="85">
        <f t="shared" si="241"/>
        <v>7818.6652173913044</v>
      </c>
      <c r="J253" s="365">
        <v>954798.75</v>
      </c>
      <c r="K253" s="43">
        <f t="shared" si="242"/>
        <v>954798.75</v>
      </c>
      <c r="L253" s="42">
        <f t="shared" si="243"/>
        <v>0.1750645345044802</v>
      </c>
      <c r="M253" s="43">
        <f t="shared" si="244"/>
        <v>1886.9540513833992</v>
      </c>
      <c r="N253" s="365">
        <v>185424.05</v>
      </c>
      <c r="O253" s="43">
        <f t="shared" si="245"/>
        <v>185424.05</v>
      </c>
      <c r="P253" s="42">
        <f t="shared" si="246"/>
        <v>3.3997923645360299E-2</v>
      </c>
      <c r="Q253" s="43">
        <f>O253/Funktional!C253</f>
        <v>7416.9619999999995</v>
      </c>
      <c r="R253" s="85">
        <f t="shared" si="247"/>
        <v>366.4506916996047</v>
      </c>
      <c r="S253" s="365">
        <v>93775.65</v>
      </c>
      <c r="T253" s="365">
        <v>101368.1</v>
      </c>
      <c r="U253" s="43">
        <f t="shared" si="248"/>
        <v>101368.1</v>
      </c>
      <c r="V253" s="42">
        <f t="shared" si="249"/>
        <v>1.8586072970983258E-2</v>
      </c>
      <c r="W253" s="43">
        <f t="shared" si="250"/>
        <v>200.33221343873518</v>
      </c>
      <c r="X253" s="365">
        <v>70505.55</v>
      </c>
      <c r="Y253" s="43">
        <f t="shared" si="251"/>
        <v>70505.55</v>
      </c>
      <c r="Z253" s="91">
        <f t="shared" si="252"/>
        <v>1.2927353843658E-2</v>
      </c>
      <c r="AA253" s="365">
        <v>158867.75</v>
      </c>
      <c r="AB253" s="43">
        <f t="shared" si="253"/>
        <v>158867.75</v>
      </c>
      <c r="AC253" s="43">
        <f t="shared" si="254"/>
        <v>313.96788537549406</v>
      </c>
      <c r="AD253" s="42">
        <f t="shared" si="255"/>
        <v>2.912876530423205E-2</v>
      </c>
      <c r="AE253" s="365">
        <v>121925</v>
      </c>
      <c r="AF253" s="43">
        <f t="shared" si="256"/>
        <v>121925</v>
      </c>
      <c r="AG253" s="42">
        <f t="shared" si="257"/>
        <v>2.2355227601061217E-2</v>
      </c>
      <c r="AH253" s="42">
        <f>AE253/'Kennzahlen Revision'!F253</f>
        <v>5.3430625202953115E-2</v>
      </c>
      <c r="AI253" s="97">
        <f t="shared" si="258"/>
        <v>5.1834131600297144E-2</v>
      </c>
      <c r="AJ253" s="365">
        <v>1051095.95</v>
      </c>
      <c r="AK253" s="43">
        <f>AJ253*'KiGa - PS'!$L254</f>
        <v>1051095.95</v>
      </c>
      <c r="AL253" s="365">
        <v>0</v>
      </c>
      <c r="AM253" s="43">
        <f>AL253*'KiGa - PS'!$L254</f>
        <v>0</v>
      </c>
      <c r="AN253" s="97">
        <f>(AK253+AM253)/Funktional!E253</f>
        <v>0.20122867512968831</v>
      </c>
    </row>
    <row r="254" spans="1:40" x14ac:dyDescent="0.25">
      <c r="A254" t="str">
        <f>Funktional!A254</f>
        <v>Eschlikon</v>
      </c>
      <c r="B254" t="str">
        <f>Funktional!B254</f>
        <v>VSG</v>
      </c>
      <c r="C254" s="43">
        <f>Funktional!D254</f>
        <v>444</v>
      </c>
      <c r="D254" s="43"/>
      <c r="E254" s="43">
        <f>Funktional!J254</f>
        <v>5663103.6500000004</v>
      </c>
      <c r="F254" s="365">
        <v>3664155</v>
      </c>
      <c r="G254" s="43">
        <f t="shared" si="239"/>
        <v>3664155</v>
      </c>
      <c r="H254" s="42">
        <f t="shared" si="240"/>
        <v>0.64702241499676594</v>
      </c>
      <c r="I254" s="85">
        <f t="shared" si="241"/>
        <v>8252.6013513513517</v>
      </c>
      <c r="J254" s="365">
        <v>531595.9</v>
      </c>
      <c r="K254" s="43">
        <f t="shared" si="242"/>
        <v>531595.9</v>
      </c>
      <c r="L254" s="42">
        <f t="shared" si="243"/>
        <v>9.3870063635511952E-2</v>
      </c>
      <c r="M254" s="43">
        <f t="shared" si="244"/>
        <v>1197.2880630630632</v>
      </c>
      <c r="N254" s="365">
        <v>137351.29999999999</v>
      </c>
      <c r="O254" s="43">
        <f t="shared" si="245"/>
        <v>137351.29999999999</v>
      </c>
      <c r="P254" s="42">
        <f t="shared" si="246"/>
        <v>2.4253714656979654E-2</v>
      </c>
      <c r="Q254" s="43">
        <f>O254/Funktional!C254</f>
        <v>5971.7956521739125</v>
      </c>
      <c r="R254" s="85">
        <f t="shared" si="247"/>
        <v>309.34977477477474</v>
      </c>
      <c r="S254" s="365">
        <v>39392.199999999997</v>
      </c>
      <c r="T254" s="365">
        <v>490582.75</v>
      </c>
      <c r="U254" s="43">
        <f t="shared" si="248"/>
        <v>490582.75</v>
      </c>
      <c r="V254" s="42">
        <f t="shared" si="249"/>
        <v>8.6627895288478418E-2</v>
      </c>
      <c r="W254" s="43">
        <f t="shared" si="250"/>
        <v>1104.9161036036037</v>
      </c>
      <c r="X254" s="365">
        <v>449353.1</v>
      </c>
      <c r="Y254" s="43">
        <f t="shared" si="251"/>
        <v>449353.1</v>
      </c>
      <c r="Z254" s="91">
        <f t="shared" si="252"/>
        <v>7.934749702135506E-2</v>
      </c>
      <c r="AA254" s="365">
        <v>691990.5</v>
      </c>
      <c r="AB254" s="43">
        <f t="shared" si="253"/>
        <v>691990.5</v>
      </c>
      <c r="AC254" s="43">
        <f t="shared" si="254"/>
        <v>1558.5371621621621</v>
      </c>
      <c r="AD254" s="42">
        <f t="shared" si="255"/>
        <v>0.12219280146850216</v>
      </c>
      <c r="AE254" s="365">
        <v>676603.1</v>
      </c>
      <c r="AF254" s="43">
        <f t="shared" si="256"/>
        <v>676603.1</v>
      </c>
      <c r="AG254" s="42">
        <f t="shared" si="257"/>
        <v>0.1194756694944123</v>
      </c>
      <c r="AH254" s="42">
        <f>AE254/'Kennzahlen Revision'!F254</f>
        <v>6.1595595361579783E-2</v>
      </c>
      <c r="AI254" s="97">
        <f t="shared" si="258"/>
        <v>5.0286824610741507E-2</v>
      </c>
      <c r="AJ254" s="365">
        <v>276649.55</v>
      </c>
      <c r="AK254" s="43">
        <f>AJ254*'KiGa - PS'!$L255</f>
        <v>276649.55</v>
      </c>
      <c r="AL254" s="365">
        <v>0</v>
      </c>
      <c r="AM254" s="43">
        <f>AL254*'KiGa - PS'!$L255</f>
        <v>0</v>
      </c>
      <c r="AN254" s="97">
        <f>(AK254+AM254)/Funktional!E254</f>
        <v>5.0766366945512377E-2</v>
      </c>
    </row>
    <row r="255" spans="1:40" x14ac:dyDescent="0.25">
      <c r="A255" t="str">
        <f>Funktional!A255</f>
        <v>Horn</v>
      </c>
      <c r="B255" t="str">
        <f>Funktional!B255</f>
        <v>VSG</v>
      </c>
      <c r="C255" s="43">
        <f>Funktional!D255</f>
        <v>300</v>
      </c>
      <c r="D255" s="43"/>
      <c r="E255" s="43">
        <f>Funktional!J255</f>
        <v>3853369.83</v>
      </c>
      <c r="F255" s="365">
        <v>2464441.0499999998</v>
      </c>
      <c r="G255" s="43">
        <f t="shared" si="239"/>
        <v>2464441.0499999998</v>
      </c>
      <c r="H255" s="42">
        <f t="shared" si="240"/>
        <v>0.63955476861145188</v>
      </c>
      <c r="I255" s="85">
        <f t="shared" si="241"/>
        <v>8214.8035</v>
      </c>
      <c r="J255" s="365">
        <v>570955.03</v>
      </c>
      <c r="K255" s="43">
        <f t="shared" si="242"/>
        <v>570955.03</v>
      </c>
      <c r="L255" s="42">
        <f t="shared" si="243"/>
        <v>0.1481703171999974</v>
      </c>
      <c r="M255" s="43">
        <f t="shared" si="244"/>
        <v>1903.1834333333334</v>
      </c>
      <c r="N255" s="365">
        <v>108152.8</v>
      </c>
      <c r="O255" s="43">
        <f t="shared" si="245"/>
        <v>108152.8</v>
      </c>
      <c r="P255" s="42">
        <f t="shared" si="246"/>
        <v>2.8067069804197851E-2</v>
      </c>
      <c r="Q255" s="43">
        <f>O255/Funktional!C255</f>
        <v>6759.55</v>
      </c>
      <c r="R255" s="85">
        <f t="shared" si="247"/>
        <v>360.50933333333336</v>
      </c>
      <c r="S255" s="365">
        <v>63003.25</v>
      </c>
      <c r="T255" s="365">
        <v>203658.35</v>
      </c>
      <c r="U255" s="43">
        <f t="shared" si="248"/>
        <v>203658.35</v>
      </c>
      <c r="V255" s="42">
        <f t="shared" si="249"/>
        <v>5.2852012390412054E-2</v>
      </c>
      <c r="W255" s="43">
        <f t="shared" si="250"/>
        <v>678.86116666666669</v>
      </c>
      <c r="X255" s="365">
        <v>177269.85</v>
      </c>
      <c r="Y255" s="43">
        <f t="shared" si="251"/>
        <v>177269.85</v>
      </c>
      <c r="Z255" s="91">
        <f t="shared" si="252"/>
        <v>4.6003850608857859E-2</v>
      </c>
      <c r="AA255" s="365">
        <v>232628.45</v>
      </c>
      <c r="AB255" s="43">
        <f t="shared" si="253"/>
        <v>232628.45</v>
      </c>
      <c r="AC255" s="43">
        <f t="shared" si="254"/>
        <v>775.4281666666667</v>
      </c>
      <c r="AD255" s="42">
        <f t="shared" si="255"/>
        <v>6.0370133224404265E-2</v>
      </c>
      <c r="AE255" s="365">
        <v>200000</v>
      </c>
      <c r="AF255" s="43">
        <f t="shared" si="256"/>
        <v>200000</v>
      </c>
      <c r="AG255" s="42">
        <f t="shared" si="257"/>
        <v>5.1902622593585829E-2</v>
      </c>
      <c r="AH255" s="42">
        <f>AE255/'Kennzahlen Revision'!F255</f>
        <v>4.3006255528655737E-2</v>
      </c>
      <c r="AI255" s="97">
        <f t="shared" si="258"/>
        <v>9.9052768573734407E-2</v>
      </c>
      <c r="AJ255" s="365">
        <v>82851.95</v>
      </c>
      <c r="AK255" s="43">
        <f>AJ255*'KiGa - PS'!$L256</f>
        <v>82851.95</v>
      </c>
      <c r="AL255" s="365">
        <v>0</v>
      </c>
      <c r="AM255" s="43">
        <f>AL255*'KiGa - PS'!$L256</f>
        <v>0</v>
      </c>
      <c r="AN255" s="97">
        <f>(AK255+AM255)/Funktional!E255</f>
        <v>2.3510270453316974E-2</v>
      </c>
    </row>
    <row r="256" spans="1:40" x14ac:dyDescent="0.25">
      <c r="A256" t="str">
        <f>Funktional!A256</f>
        <v>Münchwilen</v>
      </c>
      <c r="B256" t="str">
        <f>Funktional!B256</f>
        <v>VSG</v>
      </c>
      <c r="C256" s="43">
        <f>Funktional!D256</f>
        <v>666</v>
      </c>
      <c r="D256" s="43"/>
      <c r="E256" s="43">
        <f>Funktional!J256</f>
        <v>7552676.9500000002</v>
      </c>
      <c r="F256" s="365">
        <v>5295747.4000000004</v>
      </c>
      <c r="G256" s="43">
        <f t="shared" si="239"/>
        <v>5295747.4000000004</v>
      </c>
      <c r="H256" s="42">
        <f t="shared" si="240"/>
        <v>0.70117488607797529</v>
      </c>
      <c r="I256" s="85">
        <f t="shared" si="241"/>
        <v>7951.5726726726734</v>
      </c>
      <c r="J256" s="365">
        <v>977350.35</v>
      </c>
      <c r="K256" s="43">
        <f t="shared" si="242"/>
        <v>977350.35</v>
      </c>
      <c r="L256" s="42">
        <f t="shared" si="243"/>
        <v>0.1294044954484648</v>
      </c>
      <c r="M256" s="43">
        <f t="shared" si="244"/>
        <v>1467.4930180180179</v>
      </c>
      <c r="N256" s="365">
        <v>235586.45</v>
      </c>
      <c r="O256" s="43">
        <f t="shared" si="245"/>
        <v>235586.45</v>
      </c>
      <c r="P256" s="42">
        <f t="shared" si="246"/>
        <v>3.1192443627553804E-2</v>
      </c>
      <c r="Q256" s="43">
        <f>O256/Funktional!C256</f>
        <v>6731.0414285714287</v>
      </c>
      <c r="R256" s="85">
        <f t="shared" si="247"/>
        <v>353.73340840840842</v>
      </c>
      <c r="S256" s="365">
        <v>71691.75</v>
      </c>
      <c r="T256" s="365">
        <v>288188.59999999998</v>
      </c>
      <c r="U256" s="43">
        <f t="shared" si="248"/>
        <v>288188.59999999998</v>
      </c>
      <c r="V256" s="42">
        <f t="shared" si="249"/>
        <v>3.8157146387679135E-2</v>
      </c>
      <c r="W256" s="43">
        <f t="shared" si="250"/>
        <v>432.7156156156156</v>
      </c>
      <c r="X256" s="365">
        <v>258781.25</v>
      </c>
      <c r="Y256" s="43">
        <f t="shared" si="251"/>
        <v>258781.25</v>
      </c>
      <c r="Z256" s="91">
        <f t="shared" si="252"/>
        <v>3.4263513680404402E-2</v>
      </c>
      <c r="AA256" s="365">
        <v>567558.30000000005</v>
      </c>
      <c r="AB256" s="43">
        <f t="shared" si="253"/>
        <v>567558.30000000005</v>
      </c>
      <c r="AC256" s="43">
        <f t="shared" si="254"/>
        <v>852.18963963963972</v>
      </c>
      <c r="AD256" s="42">
        <f t="shared" si="255"/>
        <v>7.5146640556365912E-2</v>
      </c>
      <c r="AE256" s="365">
        <v>513000</v>
      </c>
      <c r="AF256" s="43">
        <f t="shared" si="256"/>
        <v>513000</v>
      </c>
      <c r="AG256" s="42">
        <f t="shared" si="257"/>
        <v>6.7922936913116613E-2</v>
      </c>
      <c r="AH256" s="42">
        <f>AE256/'Kennzahlen Revision'!F256</f>
        <v>6.4756227516776663E-2</v>
      </c>
      <c r="AI256" s="97">
        <f t="shared" si="258"/>
        <v>5.6116831529514855E-2</v>
      </c>
      <c r="AJ256" s="365">
        <v>244668.75</v>
      </c>
      <c r="AK256" s="43">
        <f>AJ256*'KiGa - PS'!$L257</f>
        <v>244668.75</v>
      </c>
      <c r="AL256" s="365">
        <v>0</v>
      </c>
      <c r="AM256" s="43">
        <f>AL256*'KiGa - PS'!$L257</f>
        <v>0</v>
      </c>
      <c r="AN256" s="97">
        <f>(AK256+AM256)/Funktional!E256</f>
        <v>3.3909707289209959E-2</v>
      </c>
    </row>
    <row r="257" spans="1:40" x14ac:dyDescent="0.25">
      <c r="A257" t="str">
        <f>Funktional!A257</f>
        <v>Wängi</v>
      </c>
      <c r="B257" t="str">
        <f>Funktional!B257</f>
        <v>VSG</v>
      </c>
      <c r="C257" s="43">
        <f>Funktional!D257</f>
        <v>692</v>
      </c>
      <c r="D257" s="43"/>
      <c r="E257" s="43">
        <f>Funktional!J257</f>
        <v>6987168.0599999996</v>
      </c>
      <c r="F257" s="365">
        <v>5251840.3499999996</v>
      </c>
      <c r="G257" s="43">
        <f t="shared" si="239"/>
        <v>5251840.3499999996</v>
      </c>
      <c r="H257" s="42">
        <f t="shared" si="240"/>
        <v>0.75164076560082049</v>
      </c>
      <c r="I257" s="85">
        <f t="shared" si="241"/>
        <v>7589.3646676300568</v>
      </c>
      <c r="J257" s="365">
        <v>822872.81</v>
      </c>
      <c r="K257" s="43">
        <f t="shared" si="242"/>
        <v>822872.81</v>
      </c>
      <c r="L257" s="42">
        <f t="shared" si="243"/>
        <v>0.11776914522934777</v>
      </c>
      <c r="M257" s="43">
        <f t="shared" si="244"/>
        <v>1189.1225578034682</v>
      </c>
      <c r="N257" s="365">
        <v>286147.15999999997</v>
      </c>
      <c r="O257" s="43">
        <f t="shared" si="245"/>
        <v>286147.15999999997</v>
      </c>
      <c r="P257" s="42">
        <f t="shared" si="246"/>
        <v>4.0953238499890895E-2</v>
      </c>
      <c r="Q257" s="43">
        <f>O257/Funktional!C257</f>
        <v>7733.707027027026</v>
      </c>
      <c r="R257" s="85">
        <f t="shared" si="247"/>
        <v>413.50745664739878</v>
      </c>
      <c r="S257" s="365">
        <v>82260</v>
      </c>
      <c r="T257" s="365">
        <v>200343.3</v>
      </c>
      <c r="U257" s="43">
        <f t="shared" si="248"/>
        <v>200343.3</v>
      </c>
      <c r="V257" s="42">
        <f t="shared" si="249"/>
        <v>2.8673032948344453E-2</v>
      </c>
      <c r="W257" s="43">
        <f t="shared" si="250"/>
        <v>289.51343930635835</v>
      </c>
      <c r="X257" s="365">
        <v>192586.1</v>
      </c>
      <c r="Y257" s="43">
        <f t="shared" si="251"/>
        <v>192586.1</v>
      </c>
      <c r="Z257" s="91">
        <f t="shared" si="252"/>
        <v>2.7562826362015402E-2</v>
      </c>
      <c r="AA257" s="365">
        <v>361055.6</v>
      </c>
      <c r="AB257" s="43">
        <f t="shared" si="253"/>
        <v>361055.6</v>
      </c>
      <c r="AC257" s="43">
        <f t="shared" si="254"/>
        <v>521.75664739884394</v>
      </c>
      <c r="AD257" s="42">
        <f t="shared" si="255"/>
        <v>5.1674096987442436E-2</v>
      </c>
      <c r="AE257" s="365">
        <v>340000</v>
      </c>
      <c r="AF257" s="43">
        <f t="shared" si="256"/>
        <v>340000</v>
      </c>
      <c r="AG257" s="42">
        <f t="shared" si="257"/>
        <v>4.866063004072068E-2</v>
      </c>
      <c r="AH257" s="42">
        <f>AE257/'Kennzahlen Revision'!F257</f>
        <v>6.6536247142158098E-2</v>
      </c>
      <c r="AI257" s="97">
        <f t="shared" si="258"/>
        <v>5.0242959234044843E-2</v>
      </c>
      <c r="AJ257" s="365">
        <v>633174.9</v>
      </c>
      <c r="AK257" s="43">
        <f>AJ257*'KiGa - PS'!$L258</f>
        <v>633174.9</v>
      </c>
      <c r="AL257" s="365">
        <v>0</v>
      </c>
      <c r="AM257" s="43">
        <f>AL257*'KiGa - PS'!$L258</f>
        <v>0</v>
      </c>
      <c r="AN257" s="97">
        <f>(AK257+AM257)/Funktional!E257</f>
        <v>9.3959005770199056E-2</v>
      </c>
    </row>
    <row r="258" spans="1:40" x14ac:dyDescent="0.25">
      <c r="A258" t="str">
        <f>Funktional!A258</f>
        <v>Andwil</v>
      </c>
      <c r="B258" t="str">
        <f>Funktional!B258</f>
        <v>VSG*</v>
      </c>
      <c r="C258" s="43">
        <f>Funktional!D258</f>
        <v>39</v>
      </c>
      <c r="D258" s="43">
        <f>Funktional!J258-'KiGa - PS'!H259</f>
        <v>593779.25</v>
      </c>
      <c r="E258" s="43">
        <f>'KiGa - PS'!F259+'KiGa - PS'!K259*Artengliederung!D258</f>
        <v>800147.00805669045</v>
      </c>
      <c r="F258" s="365">
        <v>390392.35</v>
      </c>
      <c r="G258" s="43">
        <f>F258*'KiGa - PS'!L259</f>
        <v>327252.43726300262</v>
      </c>
      <c r="H258" s="42">
        <f t="shared" si="240"/>
        <v>0.40899039047561714</v>
      </c>
      <c r="I258" s="85">
        <f t="shared" si="241"/>
        <v>8391.0881349487845</v>
      </c>
      <c r="J258" s="365">
        <v>140059.25</v>
      </c>
      <c r="K258" s="43">
        <f>J258*'KiGa - PS'!L259</f>
        <v>117406.83679823185</v>
      </c>
      <c r="L258" s="42">
        <f t="shared" si="243"/>
        <v>0.14673158259177491</v>
      </c>
      <c r="M258" s="43">
        <f t="shared" si="244"/>
        <v>3010.4317127751756</v>
      </c>
      <c r="N258" s="365">
        <v>17631.2</v>
      </c>
      <c r="O258" s="43">
        <f>N258*'KiGa - PS'!L259</f>
        <v>14779.626629137207</v>
      </c>
      <c r="P258" s="42">
        <f t="shared" si="246"/>
        <v>1.8471139028604689E-2</v>
      </c>
      <c r="Q258" s="43">
        <f>O258/Funktional!C258</f>
        <v>5911.8506516548823</v>
      </c>
      <c r="R258" s="85">
        <f t="shared" si="247"/>
        <v>378.96478536249248</v>
      </c>
      <c r="S258" s="365">
        <v>16544.349999999999</v>
      </c>
      <c r="T258" s="365">
        <v>38794.800000000003</v>
      </c>
      <c r="U258" s="43">
        <f>T258*'KiGa - PS'!L259</f>
        <v>32520.342299562828</v>
      </c>
      <c r="V258" s="42">
        <f t="shared" si="249"/>
        <v>4.0642959321368556E-2</v>
      </c>
      <c r="W258" s="43">
        <f t="shared" si="250"/>
        <v>833.85493075802128</v>
      </c>
      <c r="X258" s="365">
        <v>36420.1</v>
      </c>
      <c r="Y258" s="43">
        <f>X258*'KiGa - PS'!L259</f>
        <v>30529.713224048275</v>
      </c>
      <c r="Z258" s="91">
        <f t="shared" si="252"/>
        <v>3.815513014064191E-2</v>
      </c>
      <c r="AA258" s="365">
        <v>50885.65</v>
      </c>
      <c r="AB258" s="43">
        <f>AA258*'KiGa - PS'!L259</f>
        <v>42655.684682889179</v>
      </c>
      <c r="AC258" s="43">
        <f t="shared" si="254"/>
        <v>1093.7355046894661</v>
      </c>
      <c r="AD258" s="42">
        <f t="shared" si="255"/>
        <v>5.3309809639214473E-2</v>
      </c>
      <c r="AE258" s="365">
        <v>45243</v>
      </c>
      <c r="AF258" s="43">
        <f>AE258*'KiGa - PS'!L259</f>
        <v>37925.645876744333</v>
      </c>
      <c r="AG258" s="42">
        <f t="shared" si="257"/>
        <v>4.7398347422249312E-2</v>
      </c>
      <c r="AH258" s="42">
        <f>AE258/'Kennzahlen Revision'!F258</f>
        <v>6.6801471483908692E-2</v>
      </c>
      <c r="AI258" s="97">
        <f t="shared" ref="AI258:AI271" si="259">1-H258-L258-V258-AD258</f>
        <v>0.35032525797202496</v>
      </c>
      <c r="AJ258" s="365">
        <v>121867</v>
      </c>
      <c r="AK258" s="43">
        <f>AJ258*'KiGa - PS'!$L259</f>
        <v>102156.90131205272</v>
      </c>
      <c r="AL258" s="365">
        <v>47688</v>
      </c>
      <c r="AM258" s="43">
        <f>AL258*'KiGa - PS'!$L259</f>
        <v>39975.205016691725</v>
      </c>
      <c r="AN258" s="97">
        <f>(AK258+AM258)/Funktional!E258</f>
        <v>0.26899113846685913</v>
      </c>
    </row>
    <row r="259" spans="1:40" x14ac:dyDescent="0.25">
      <c r="A259" t="str">
        <f>Funktional!A259</f>
        <v>Frasnacht</v>
      </c>
      <c r="B259" t="str">
        <f>Funktional!B259</f>
        <v>VSG*</v>
      </c>
      <c r="C259" s="43">
        <f>Funktional!D259</f>
        <v>96</v>
      </c>
      <c r="D259" s="43">
        <f>Funktional!J259-'KiGa - PS'!H260</f>
        <v>1356052.8499999999</v>
      </c>
      <c r="E259" s="43">
        <f>'KiGa - PS'!F260+'KiGa - PS'!K260*Artengliederung!D259</f>
        <v>1674067.1171373122</v>
      </c>
      <c r="F259" s="365">
        <v>685654.95</v>
      </c>
      <c r="G259" s="43">
        <f>F259*'KiGa - PS'!L260</f>
        <v>551571.10579288658</v>
      </c>
      <c r="H259" s="42">
        <f t="shared" ref="H259:H274" si="260">G259/$E259</f>
        <v>0.32947968462344812</v>
      </c>
      <c r="I259" s="85">
        <f t="shared" ref="I259:I274" si="261">G259/C259</f>
        <v>5745.5323520092352</v>
      </c>
      <c r="J259" s="365">
        <v>242346.85</v>
      </c>
      <c r="K259" s="43">
        <f>J259*'KiGa - PS'!L260</f>
        <v>194954.50304839606</v>
      </c>
      <c r="L259" s="42">
        <f t="shared" ref="L259:L274" si="262">K259/$E259</f>
        <v>0.11645560745603324</v>
      </c>
      <c r="M259" s="43">
        <f t="shared" ref="M259:M274" si="263">K259/C259</f>
        <v>2030.7760734207923</v>
      </c>
      <c r="N259" s="365">
        <v>43178</v>
      </c>
      <c r="O259" s="43">
        <f>N259*'KiGa - PS'!L260</f>
        <v>34734.289026755017</v>
      </c>
      <c r="P259" s="42">
        <f t="shared" ref="P259:P274" si="264">O259/$E259</f>
        <v>2.0748444713585522E-2</v>
      </c>
      <c r="Q259" s="43">
        <f>O259/Funktional!C259</f>
        <v>6946.8578053510037</v>
      </c>
      <c r="R259" s="85">
        <f t="shared" ref="R259:R274" si="265">O259/C259</f>
        <v>361.81551069536476</v>
      </c>
      <c r="S259" s="365">
        <v>24424.45</v>
      </c>
      <c r="T259" s="365">
        <v>62432.800000000003</v>
      </c>
      <c r="U259" s="43">
        <f>T259*'KiGa - PS'!L260</f>
        <v>50223.700031256441</v>
      </c>
      <c r="V259" s="42">
        <f t="shared" ref="V259:V274" si="266">U259/$E259</f>
        <v>3.0001007436989718E-2</v>
      </c>
      <c r="W259" s="43">
        <f t="shared" ref="W259:W274" si="267">U259/C259</f>
        <v>523.16354199225464</v>
      </c>
      <c r="X259" s="365">
        <v>59373.3</v>
      </c>
      <c r="Y259" s="43">
        <f>X259*'KiGa - PS'!L260</f>
        <v>47762.503188481031</v>
      </c>
      <c r="Z259" s="91">
        <f t="shared" ref="Z259:Z274" si="268">Y259/$E259</f>
        <v>2.8530817372576945E-2</v>
      </c>
      <c r="AA259" s="365">
        <v>276261.90000000002</v>
      </c>
      <c r="AB259" s="43">
        <f>AA259*'KiGa - PS'!L260</f>
        <v>222237.26623929993</v>
      </c>
      <c r="AC259" s="43">
        <f t="shared" ref="AC259:AC274" si="269">AB259/C259</f>
        <v>2314.9715233260408</v>
      </c>
      <c r="AD259" s="42">
        <f t="shared" ref="AD259:AD274" si="270">AB259/$E259</f>
        <v>0.13275290098244691</v>
      </c>
      <c r="AE259" s="365">
        <v>260000</v>
      </c>
      <c r="AF259" s="43">
        <f>AE259*'KiGa - PS'!L260</f>
        <v>209155.47609792728</v>
      </c>
      <c r="AG259" s="42">
        <f t="shared" ref="AG259:AG274" si="271">AF259/$E259</f>
        <v>0.12493852483978496</v>
      </c>
      <c r="AH259" s="42">
        <f>AE259/'Kennzahlen Revision'!F259</f>
        <v>0.13989445501424772</v>
      </c>
      <c r="AI259" s="97">
        <f t="shared" si="259"/>
        <v>0.391310799501082</v>
      </c>
      <c r="AJ259" s="365">
        <v>0</v>
      </c>
      <c r="AK259" s="43">
        <f>AJ259*'KiGa - PS'!$L260</f>
        <v>0</v>
      </c>
      <c r="AL259" s="365">
        <v>0</v>
      </c>
      <c r="AM259" s="43">
        <f>AL259*'KiGa - PS'!$L260</f>
        <v>0</v>
      </c>
      <c r="AN259" s="97">
        <f>(AK259+AM259)/Funktional!E259</f>
        <v>0</v>
      </c>
    </row>
    <row r="260" spans="1:40" x14ac:dyDescent="0.25">
      <c r="A260" t="str">
        <f>Funktional!A260</f>
        <v>Freidorf-Watt</v>
      </c>
      <c r="B260" t="str">
        <f>Funktional!B260</f>
        <v>VSG*</v>
      </c>
      <c r="C260" s="43">
        <f>Funktional!D260</f>
        <v>106</v>
      </c>
      <c r="D260" s="43">
        <f>Funktional!J260-'KiGa - PS'!H261</f>
        <v>964410.75</v>
      </c>
      <c r="E260" s="43">
        <f>'KiGa - PS'!F261+'KiGa - PS'!K261*Artengliederung!D260</f>
        <v>1363184.3893674007</v>
      </c>
      <c r="F260" s="365">
        <v>654972.30000000005</v>
      </c>
      <c r="G260" s="43">
        <f>F260*'KiGa - PS'!L261</f>
        <v>546867.92228502431</v>
      </c>
      <c r="H260" s="42">
        <f t="shared" si="260"/>
        <v>0.40116944307057673</v>
      </c>
      <c r="I260" s="85">
        <f t="shared" si="261"/>
        <v>5159.1313423115498</v>
      </c>
      <c r="J260" s="365">
        <v>131361.15</v>
      </c>
      <c r="K260" s="43">
        <f>J260*'KiGa - PS'!L261</f>
        <v>109679.75160090192</v>
      </c>
      <c r="L260" s="42">
        <f t="shared" si="262"/>
        <v>8.0458485628492199E-2</v>
      </c>
      <c r="M260" s="43">
        <f t="shared" si="263"/>
        <v>1034.7146377443578</v>
      </c>
      <c r="N260" s="365">
        <v>39697.9</v>
      </c>
      <c r="O260" s="43">
        <f>N260*'KiGa - PS'!L261</f>
        <v>33145.688897192544</v>
      </c>
      <c r="P260" s="42">
        <f t="shared" si="264"/>
        <v>2.4314897643872031E-2</v>
      </c>
      <c r="Q260" s="43">
        <f>O260/Funktional!C260</f>
        <v>6026.4888903986439</v>
      </c>
      <c r="R260" s="85">
        <f t="shared" si="265"/>
        <v>312.69517827540136</v>
      </c>
      <c r="S260" s="365">
        <v>12193.4</v>
      </c>
      <c r="T260" s="365">
        <v>198347.6</v>
      </c>
      <c r="U260" s="43">
        <f>T260*'KiGa - PS'!L261</f>
        <v>165609.96534085652</v>
      </c>
      <c r="V260" s="42">
        <f t="shared" si="266"/>
        <v>0.12148757470565627</v>
      </c>
      <c r="W260" s="43">
        <f t="shared" si="267"/>
        <v>1562.3581635929861</v>
      </c>
      <c r="X260" s="365">
        <v>194059</v>
      </c>
      <c r="Y260" s="43">
        <f>X260*'KiGa - PS'!L261</f>
        <v>162029.20662554665</v>
      </c>
      <c r="Z260" s="91">
        <f t="shared" si="268"/>
        <v>0.118860814347161</v>
      </c>
      <c r="AA260" s="365">
        <v>210875.55</v>
      </c>
      <c r="AB260" s="43">
        <f>AA260*'KiGa - PS'!L261</f>
        <v>176070.15424806779</v>
      </c>
      <c r="AC260" s="43">
        <f t="shared" si="269"/>
        <v>1661.0391910195074</v>
      </c>
      <c r="AD260" s="42">
        <f t="shared" si="270"/>
        <v>0.12916092321873998</v>
      </c>
      <c r="AE260" s="365">
        <v>202000</v>
      </c>
      <c r="AF260" s="43">
        <f>AE260*'KiGa - PS'!L261</f>
        <v>168659.53003138438</v>
      </c>
      <c r="AG260" s="42">
        <f t="shared" si="271"/>
        <v>0.12372466362357078</v>
      </c>
      <c r="AH260" s="42">
        <f>AE260/'Kennzahlen Revision'!F260</f>
        <v>4.7540586599061754E-2</v>
      </c>
      <c r="AI260" s="97">
        <f t="shared" si="259"/>
        <v>0.26772357337653474</v>
      </c>
      <c r="AJ260" s="365">
        <v>52095</v>
      </c>
      <c r="AK260" s="43">
        <f>AJ260*'KiGa - PS'!$L261</f>
        <v>43496.624836559255</v>
      </c>
      <c r="AL260" s="365">
        <v>0</v>
      </c>
      <c r="AM260" s="43">
        <f>AL260*'KiGa - PS'!$L261</f>
        <v>0</v>
      </c>
      <c r="AN260" s="97">
        <f>(AK260+AM260)/Funktional!E260</f>
        <v>4.2889969711917643E-2</v>
      </c>
    </row>
    <row r="261" spans="1:40" x14ac:dyDescent="0.25">
      <c r="A261" t="str">
        <f>Funktional!A261</f>
        <v>Kümmertshausen</v>
      </c>
      <c r="B261" t="str">
        <f>Funktional!B261</f>
        <v>VSG*</v>
      </c>
      <c r="C261" s="43">
        <f>Funktional!D261</f>
        <v>58</v>
      </c>
      <c r="D261" s="43">
        <f>Funktional!J261-'KiGa - PS'!H262</f>
        <v>155949.90000000002</v>
      </c>
      <c r="E261" s="43">
        <f>'KiGa - PS'!F262+'KiGa - PS'!K262*Artengliederung!D261</f>
        <v>758501.62307922321</v>
      </c>
      <c r="F261" s="365">
        <v>503878.3</v>
      </c>
      <c r="G261" s="43">
        <f>F261*'KiGa - PS'!L262</f>
        <v>444268.19258043595</v>
      </c>
      <c r="H261" s="42">
        <f t="shared" si="260"/>
        <v>0.58571818314228374</v>
      </c>
      <c r="I261" s="85">
        <f t="shared" si="261"/>
        <v>7659.7964238006198</v>
      </c>
      <c r="J261" s="365">
        <v>91511.75</v>
      </c>
      <c r="K261" s="43">
        <f>J261*'KiGa - PS'!L262</f>
        <v>80685.673053141421</v>
      </c>
      <c r="L261" s="42">
        <f t="shared" si="262"/>
        <v>0.10637508292413245</v>
      </c>
      <c r="M261" s="43">
        <f t="shared" si="263"/>
        <v>1391.1322940196796</v>
      </c>
      <c r="N261" s="365">
        <v>20714.95</v>
      </c>
      <c r="O261" s="43">
        <f>N261*'KiGa - PS'!L262</f>
        <v>18264.317784461251</v>
      </c>
      <c r="P261" s="42">
        <f t="shared" si="264"/>
        <v>2.4079470931538928E-2</v>
      </c>
      <c r="Q261" s="43">
        <f>O261/Funktional!C261</f>
        <v>9132.1588922306255</v>
      </c>
      <c r="R261" s="85">
        <f t="shared" si="265"/>
        <v>314.90203076657332</v>
      </c>
      <c r="S261" s="365">
        <v>4758.5</v>
      </c>
      <c r="T261" s="365">
        <v>21088.799999999999</v>
      </c>
      <c r="U261" s="43">
        <f>T261*'KiGa - PS'!L262</f>
        <v>18593.940361572026</v>
      </c>
      <c r="V261" s="42">
        <f t="shared" si="266"/>
        <v>2.4514041626025558E-2</v>
      </c>
      <c r="W261" s="43">
        <f t="shared" si="267"/>
        <v>320.58517864779355</v>
      </c>
      <c r="X261" s="365">
        <v>20000</v>
      </c>
      <c r="Y261" s="43">
        <f>X261*'KiGa - PS'!L262</f>
        <v>17633.948220450689</v>
      </c>
      <c r="Z261" s="91">
        <f t="shared" si="268"/>
        <v>2.3248398795593449E-2</v>
      </c>
      <c r="AA261" s="365">
        <v>32510.35</v>
      </c>
      <c r="AB261" s="43">
        <f>AA261*'KiGa - PS'!L262</f>
        <v>28664.291426436455</v>
      </c>
      <c r="AC261" s="43">
        <f t="shared" si="269"/>
        <v>494.21192114545613</v>
      </c>
      <c r="AD261" s="42">
        <f t="shared" si="270"/>
        <v>3.779067908921608E-2</v>
      </c>
      <c r="AE261" s="365">
        <v>29806</v>
      </c>
      <c r="AF261" s="43">
        <f>AE261*'KiGa - PS'!L262</f>
        <v>26279.873032937663</v>
      </c>
      <c r="AG261" s="42">
        <f t="shared" si="271"/>
        <v>3.4647088725072918E-2</v>
      </c>
      <c r="AH261" s="42">
        <f>AE261/'Kennzahlen Revision'!F261</f>
        <v>6.3976749776770384E-2</v>
      </c>
      <c r="AI261" s="97">
        <f t="shared" si="259"/>
        <v>0.24560201321834219</v>
      </c>
      <c r="AJ261" s="365">
        <v>231250</v>
      </c>
      <c r="AK261" s="43">
        <f>AJ261*'KiGa - PS'!$L262</f>
        <v>203892.52629896111</v>
      </c>
      <c r="AL261" s="365">
        <v>125263</v>
      </c>
      <c r="AM261" s="43">
        <f>AL261*'KiGa - PS'!$L262</f>
        <v>110444.06279691574</v>
      </c>
      <c r="AN261" s="97">
        <f>(AK261+AM261)/Funktional!E261</f>
        <v>0.54276542526099558</v>
      </c>
    </row>
    <row r="262" spans="1:40" x14ac:dyDescent="0.25">
      <c r="A262" t="str">
        <f>Funktional!A262</f>
        <v>Neunforn</v>
      </c>
      <c r="B262" t="str">
        <f>Funktional!B262</f>
        <v>VSG*</v>
      </c>
      <c r="C262" s="43">
        <f>Funktional!D262</f>
        <v>120</v>
      </c>
      <c r="D262" s="43">
        <f>Funktional!J262-'KiGa - PS'!H263</f>
        <v>859256.05</v>
      </c>
      <c r="E262" s="43">
        <f>'KiGa - PS'!F263+'KiGa - PS'!K263*Artengliederung!D262</f>
        <v>1405922.4212508183</v>
      </c>
      <c r="F262" s="365">
        <v>996990.75</v>
      </c>
      <c r="G262" s="43">
        <f>F262*'KiGa - PS'!L263</f>
        <v>834241.20124108437</v>
      </c>
      <c r="H262" s="42">
        <f t="shared" si="260"/>
        <v>0.5933764115511283</v>
      </c>
      <c r="I262" s="85">
        <f t="shared" si="261"/>
        <v>6952.0100103423702</v>
      </c>
      <c r="J262" s="365">
        <v>245335.25</v>
      </c>
      <c r="K262" s="43">
        <f>J262*'KiGa - PS'!L263</f>
        <v>205286.53216369534</v>
      </c>
      <c r="L262" s="42">
        <f t="shared" si="262"/>
        <v>0.14601554755848933</v>
      </c>
      <c r="M262" s="43">
        <f t="shared" si="263"/>
        <v>1710.7211013641279</v>
      </c>
      <c r="N262" s="365">
        <v>48006.6</v>
      </c>
      <c r="O262" s="43">
        <f>N262*'KiGa - PS'!L263</f>
        <v>40169.965119034692</v>
      </c>
      <c r="P262" s="42">
        <f t="shared" si="264"/>
        <v>2.8571964222105766E-2</v>
      </c>
      <c r="Q262" s="43">
        <f>O262/Funktional!C262</f>
        <v>6694.9941865057817</v>
      </c>
      <c r="R262" s="85">
        <f t="shared" si="265"/>
        <v>334.74970932528907</v>
      </c>
      <c r="S262" s="365">
        <v>9951.7999999999993</v>
      </c>
      <c r="T262" s="365">
        <v>27785.95</v>
      </c>
      <c r="U262" s="43">
        <f>T262*'KiGa - PS'!L263</f>
        <v>23250.149818967435</v>
      </c>
      <c r="V262" s="42">
        <f t="shared" si="266"/>
        <v>1.6537292148938267E-2</v>
      </c>
      <c r="W262" s="43">
        <f t="shared" si="267"/>
        <v>193.7512484913953</v>
      </c>
      <c r="X262" s="365">
        <v>22416.65</v>
      </c>
      <c r="Y262" s="43">
        <f>X262*'KiGa - PS'!L263</f>
        <v>18757.338544816947</v>
      </c>
      <c r="Z262" s="91">
        <f t="shared" si="268"/>
        <v>1.3341659725526643E-2</v>
      </c>
      <c r="AA262" s="365">
        <v>107814</v>
      </c>
      <c r="AB262" s="43">
        <f>AA262*'KiGa - PS'!L263</f>
        <v>90214.358428707856</v>
      </c>
      <c r="AC262" s="43">
        <f t="shared" si="269"/>
        <v>751.78632023923217</v>
      </c>
      <c r="AD262" s="42">
        <f t="shared" si="270"/>
        <v>6.4167380123610326E-2</v>
      </c>
      <c r="AE262" s="365">
        <v>106028</v>
      </c>
      <c r="AF262" s="43">
        <f>AE262*'KiGa - PS'!L263</f>
        <v>88719.906463715626</v>
      </c>
      <c r="AG262" s="42">
        <f t="shared" si="271"/>
        <v>6.3104411113085082E-2</v>
      </c>
      <c r="AH262" s="42">
        <f>AE262/'Kennzahlen Revision'!F262</f>
        <v>8.6461573087216692E-2</v>
      </c>
      <c r="AI262" s="97">
        <f t="shared" si="259"/>
        <v>0.17990336861783379</v>
      </c>
      <c r="AJ262" s="365">
        <v>297485.05</v>
      </c>
      <c r="AK262" s="43">
        <f>AJ262*'KiGa - PS'!$L263</f>
        <v>248923.35807856193</v>
      </c>
      <c r="AL262" s="365">
        <v>0</v>
      </c>
      <c r="AM262" s="43">
        <f>AL262*'KiGa - PS'!$L263</f>
        <v>0</v>
      </c>
      <c r="AN262" s="97">
        <f>(AK262+AM262)/Funktional!E262</f>
        <v>0.21225248555691947</v>
      </c>
    </row>
    <row r="263" spans="1:40" x14ac:dyDescent="0.25">
      <c r="A263" t="str">
        <f>Funktional!A263</f>
        <v>Roggwil</v>
      </c>
      <c r="B263" t="str">
        <f>Funktional!B263</f>
        <v>VSG*</v>
      </c>
      <c r="C263" s="43">
        <f>Funktional!D263</f>
        <v>120</v>
      </c>
      <c r="D263" s="43">
        <f>Funktional!J263-'KiGa - PS'!H264</f>
        <v>931143.25</v>
      </c>
      <c r="E263" s="43">
        <f>'KiGa - PS'!F264+'KiGa - PS'!K264*Artengliederung!D263</f>
        <v>1680172.2798936265</v>
      </c>
      <c r="F263" s="365">
        <v>1050288.1000000001</v>
      </c>
      <c r="G263" s="43">
        <f>F263*'KiGa - PS'!L264</f>
        <v>876690.20717397681</v>
      </c>
      <c r="H263" s="42">
        <f t="shared" si="260"/>
        <v>0.52178590116335033</v>
      </c>
      <c r="I263" s="85">
        <f t="shared" si="261"/>
        <v>7305.7517264498065</v>
      </c>
      <c r="J263" s="365">
        <v>177239.3</v>
      </c>
      <c r="K263" s="43">
        <f>J263*'KiGa - PS'!L264</f>
        <v>147944.12945968882</v>
      </c>
      <c r="L263" s="42">
        <f t="shared" si="262"/>
        <v>8.8052952206219781E-2</v>
      </c>
      <c r="M263" s="43">
        <f t="shared" si="263"/>
        <v>1232.8677454974068</v>
      </c>
      <c r="N263" s="365">
        <v>41824.15</v>
      </c>
      <c r="O263" s="43">
        <f>N263*'KiGa - PS'!L264</f>
        <v>34911.204581272017</v>
      </c>
      <c r="P263" s="42">
        <f t="shared" si="264"/>
        <v>2.0778348148609072E-2</v>
      </c>
      <c r="Q263" s="43">
        <f>O263/Funktional!C263</f>
        <v>5818.5340968786695</v>
      </c>
      <c r="R263" s="85">
        <f t="shared" si="265"/>
        <v>290.92670484393346</v>
      </c>
      <c r="S263" s="365">
        <v>27130.3</v>
      </c>
      <c r="T263" s="365">
        <v>65105.25</v>
      </c>
      <c r="U263" s="43">
        <f>T263*'KiGa - PS'!L264</f>
        <v>54344.265264562695</v>
      </c>
      <c r="V263" s="42">
        <f t="shared" si="266"/>
        <v>3.2344460097867636E-2</v>
      </c>
      <c r="W263" s="43">
        <f t="shared" si="267"/>
        <v>452.86887720468911</v>
      </c>
      <c r="X263" s="365">
        <v>61100</v>
      </c>
      <c r="Y263" s="43">
        <f>X263*'KiGa - PS'!L264</f>
        <v>51001.026916643139</v>
      </c>
      <c r="Z263" s="91">
        <f t="shared" si="268"/>
        <v>3.0354641322776776E-2</v>
      </c>
      <c r="AA263" s="365">
        <v>117262.3</v>
      </c>
      <c r="AB263" s="43">
        <f>AA263*'KiGa - PS'!L264</f>
        <v>97880.486392921157</v>
      </c>
      <c r="AC263" s="43">
        <f t="shared" si="269"/>
        <v>815.67071994100968</v>
      </c>
      <c r="AD263" s="42">
        <f t="shared" si="270"/>
        <v>5.8256220248508135E-2</v>
      </c>
      <c r="AE263" s="365">
        <v>107371.25</v>
      </c>
      <c r="AF263" s="43">
        <f>AE263*'KiGa - PS'!L264</f>
        <v>89624.288237702451</v>
      </c>
      <c r="AG263" s="42">
        <f t="shared" si="271"/>
        <v>5.3342320493096493E-2</v>
      </c>
      <c r="AH263" s="42">
        <f>AE263/'Kennzahlen Revision'!F263</f>
        <v>6.7263081599310395E-2</v>
      </c>
      <c r="AI263" s="97">
        <f>1-H263-L263-V263-AD263</f>
        <v>0.29956046628405414</v>
      </c>
      <c r="AJ263" s="365">
        <v>144696.65</v>
      </c>
      <c r="AK263" s="43">
        <f>AJ263*'KiGa - PS'!$L264</f>
        <v>120780.32309980509</v>
      </c>
      <c r="AL263" s="365">
        <v>0</v>
      </c>
      <c r="AM263" s="43">
        <f>AL263*'KiGa - PS'!$L264</f>
        <v>0</v>
      </c>
      <c r="AN263" s="97">
        <f>(AK263+AM263)/Funktional!E263</f>
        <v>0.10049878276973417</v>
      </c>
    </row>
    <row r="264" spans="1:40" x14ac:dyDescent="0.25">
      <c r="A264" t="str">
        <f>Funktional!A264</f>
        <v>Speiserslehn</v>
      </c>
      <c r="B264" t="str">
        <f>Funktional!B264</f>
        <v>VSG*</v>
      </c>
      <c r="C264" s="43">
        <f>Funktional!D264</f>
        <v>27</v>
      </c>
      <c r="D264" s="43">
        <f>Funktional!J264-'KiGa - PS'!H265</f>
        <v>572662.35</v>
      </c>
      <c r="E264" s="43">
        <f>'KiGa - PS'!F265+'KiGa - PS'!K265*Artengliederung!D264</f>
        <v>719124.74731945409</v>
      </c>
      <c r="F264" s="365">
        <v>0</v>
      </c>
      <c r="G264" s="43">
        <f>F264*'KiGa - PS'!L265</f>
        <v>0</v>
      </c>
      <c r="H264" s="42">
        <f t="shared" si="260"/>
        <v>0</v>
      </c>
      <c r="I264" s="85">
        <f t="shared" si="261"/>
        <v>0</v>
      </c>
      <c r="J264" s="365">
        <v>0</v>
      </c>
      <c r="K264" s="43">
        <f>J264*'KiGa - PS'!L265</f>
        <v>0</v>
      </c>
      <c r="L264" s="42">
        <f t="shared" si="262"/>
        <v>0</v>
      </c>
      <c r="M264" s="43">
        <f t="shared" si="263"/>
        <v>0</v>
      </c>
      <c r="N264" s="365">
        <v>0</v>
      </c>
      <c r="O264" s="43">
        <f>N264*'KiGa - PS'!L265</f>
        <v>0</v>
      </c>
      <c r="P264" s="42">
        <f t="shared" si="264"/>
        <v>0</v>
      </c>
      <c r="Q264" s="43">
        <f>O264/Funktional!C264</f>
        <v>0</v>
      </c>
      <c r="R264" s="85">
        <f t="shared" si="265"/>
        <v>0</v>
      </c>
      <c r="S264" s="365">
        <v>0</v>
      </c>
      <c r="T264" s="365">
        <v>0</v>
      </c>
      <c r="U264" s="43">
        <f>T264*'KiGa - PS'!L265</f>
        <v>0</v>
      </c>
      <c r="V264" s="42">
        <f t="shared" si="266"/>
        <v>0</v>
      </c>
      <c r="W264" s="43">
        <f t="shared" si="267"/>
        <v>0</v>
      </c>
      <c r="X264" s="365">
        <v>0</v>
      </c>
      <c r="Y264" s="43">
        <f>X264*'KiGa - PS'!L265</f>
        <v>0</v>
      </c>
      <c r="Z264" s="91">
        <f t="shared" si="268"/>
        <v>0</v>
      </c>
      <c r="AA264" s="365">
        <v>0</v>
      </c>
      <c r="AB264" s="43">
        <f>AA264*'KiGa - PS'!L265</f>
        <v>0</v>
      </c>
      <c r="AC264" s="43">
        <f t="shared" si="269"/>
        <v>0</v>
      </c>
      <c r="AD264" s="42">
        <f t="shared" si="270"/>
        <v>0</v>
      </c>
      <c r="AE264" s="365">
        <v>0</v>
      </c>
      <c r="AF264" s="43">
        <f>AE264*'KiGa - PS'!L265</f>
        <v>0</v>
      </c>
      <c r="AG264" s="42">
        <f t="shared" si="271"/>
        <v>0</v>
      </c>
      <c r="AH264" s="42"/>
      <c r="AI264" s="97">
        <f t="shared" si="259"/>
        <v>1</v>
      </c>
      <c r="AJ264" s="365">
        <v>0</v>
      </c>
      <c r="AK264" s="43">
        <f>AJ264*'KiGa - PS'!$L265</f>
        <v>0</v>
      </c>
      <c r="AL264" s="365">
        <v>0</v>
      </c>
      <c r="AM264" s="43">
        <f>AL264*'KiGa - PS'!$L265</f>
        <v>0</v>
      </c>
      <c r="AN264" s="97">
        <f>(AK264+AM264)/Funktional!E264</f>
        <v>0</v>
      </c>
    </row>
    <row r="265" spans="1:40" x14ac:dyDescent="0.25">
      <c r="A265" t="str">
        <f>Funktional!A265</f>
        <v>Andwil</v>
      </c>
      <c r="B265" t="str">
        <f>Funktional!B265</f>
        <v>KiGa*</v>
      </c>
      <c r="C265" s="43">
        <f>Funktional!D265</f>
        <v>15</v>
      </c>
      <c r="D265" s="43">
        <f>Funktional!J265-'KiGa - PS'!H266</f>
        <v>593779.25</v>
      </c>
      <c r="E265" s="43">
        <f>'KiGa - PS'!C266+'KiGa - PS'!J266*Artengliederung!D265</f>
        <v>154379.94194330968</v>
      </c>
      <c r="F265" s="365">
        <v>390392.35</v>
      </c>
      <c r="G265" s="43">
        <f>F265*'KiGa - PS'!L266</f>
        <v>63139.912736997343</v>
      </c>
      <c r="H265" s="42">
        <f t="shared" si="260"/>
        <v>0.40899039047561725</v>
      </c>
      <c r="I265" s="85">
        <f t="shared" si="261"/>
        <v>4209.3275157998232</v>
      </c>
      <c r="J265" s="365">
        <v>140059.25</v>
      </c>
      <c r="K265" s="43">
        <f>J265*'KiGa - PS'!L266</f>
        <v>22652.413201768159</v>
      </c>
      <c r="L265" s="42">
        <f t="shared" si="262"/>
        <v>0.14673158259177491</v>
      </c>
      <c r="M265" s="43">
        <f t="shared" si="263"/>
        <v>1510.1608801178772</v>
      </c>
      <c r="N265" s="365">
        <v>17631.2</v>
      </c>
      <c r="O265" s="43">
        <f>N265*'KiGa - PS'!L266</f>
        <v>2851.573370862794</v>
      </c>
      <c r="P265" s="42">
        <f t="shared" si="264"/>
        <v>1.8471139028604693E-2</v>
      </c>
      <c r="Q265" s="43">
        <f>O265/Funktional!C265</f>
        <v>5703.1467417255881</v>
      </c>
      <c r="R265" s="85">
        <f t="shared" si="265"/>
        <v>190.10489139085294</v>
      </c>
      <c r="S265" s="365">
        <v>16544.349999999999</v>
      </c>
      <c r="T265" s="365">
        <v>38794.800000000003</v>
      </c>
      <c r="U265" s="43">
        <f>T265*'KiGa - PS'!L266</f>
        <v>6274.4577004371758</v>
      </c>
      <c r="V265" s="42">
        <f t="shared" si="266"/>
        <v>4.0642959321368563E-2</v>
      </c>
      <c r="W265" s="43">
        <f t="shared" si="267"/>
        <v>418.29718002914507</v>
      </c>
      <c r="X265" s="365">
        <v>36420.1</v>
      </c>
      <c r="Y265" s="43">
        <f>X265*'KiGa - PS'!L266</f>
        <v>5890.3867759517243</v>
      </c>
      <c r="Z265" s="91">
        <f t="shared" si="268"/>
        <v>3.8155130140641917E-2</v>
      </c>
      <c r="AA265" s="365">
        <v>50885.65</v>
      </c>
      <c r="AB265" s="43">
        <f>AA265*'KiGa - PS'!L266</f>
        <v>8229.9653171108221</v>
      </c>
      <c r="AC265" s="43">
        <f t="shared" si="269"/>
        <v>548.66435447405479</v>
      </c>
      <c r="AD265" s="42">
        <f t="shared" si="270"/>
        <v>5.330980963921448E-2</v>
      </c>
      <c r="AE265" s="365">
        <v>45243</v>
      </c>
      <c r="AF265" s="43">
        <f>AE265*'KiGa - PS'!L266</f>
        <v>7317.3541232556709</v>
      </c>
      <c r="AG265" s="42">
        <f t="shared" si="271"/>
        <v>4.7398347422249312E-2</v>
      </c>
      <c r="AH265" s="42">
        <f>AE265/'Kennzahlen Revision'!F265</f>
        <v>6.6801471483908692E-2</v>
      </c>
      <c r="AI265" s="97">
        <f t="shared" si="259"/>
        <v>0.3503252579720248</v>
      </c>
      <c r="AJ265" s="365">
        <v>121867</v>
      </c>
      <c r="AK265" s="43">
        <f>AJ265*'KiGa - PS'!$L266</f>
        <v>19710.09868794728</v>
      </c>
      <c r="AL265" s="365">
        <v>47688</v>
      </c>
      <c r="AM265" s="43">
        <f>AL265*'KiGa - PS'!$L266</f>
        <v>7712.7949833082785</v>
      </c>
      <c r="AN265" s="97">
        <f>(AK265+AM265)/Funktional!E265</f>
        <v>0.26899113846685913</v>
      </c>
    </row>
    <row r="266" spans="1:40" x14ac:dyDescent="0.25">
      <c r="A266" t="str">
        <f>Funktional!A266</f>
        <v>Frasnacht</v>
      </c>
      <c r="B266" t="str">
        <f>Funktional!B266</f>
        <v>KiGa*</v>
      </c>
      <c r="C266" s="43">
        <f>Funktional!D266</f>
        <v>42</v>
      </c>
      <c r="D266" s="43">
        <f>Funktional!J266-'KiGa - PS'!H267</f>
        <v>1356052.8499999999</v>
      </c>
      <c r="E266" s="43">
        <f>'KiGa - PS'!C267+'KiGa - PS'!J267*Artengliederung!D266</f>
        <v>406956.33286268776</v>
      </c>
      <c r="F266" s="365">
        <v>685654.95</v>
      </c>
      <c r="G266" s="43">
        <f>F266*'KiGa - PS'!L267</f>
        <v>134083.84420711332</v>
      </c>
      <c r="H266" s="42">
        <f t="shared" si="260"/>
        <v>0.32947968462344807</v>
      </c>
      <c r="I266" s="85">
        <f t="shared" si="261"/>
        <v>3192.4724811217457</v>
      </c>
      <c r="J266" s="365">
        <v>242346.85</v>
      </c>
      <c r="K266" s="43">
        <f>J266*'KiGa - PS'!L267</f>
        <v>47392.346951603962</v>
      </c>
      <c r="L266" s="42">
        <f t="shared" si="262"/>
        <v>0.11645560745603323</v>
      </c>
      <c r="M266" s="43">
        <f t="shared" si="263"/>
        <v>1128.3892131334276</v>
      </c>
      <c r="N266" s="365">
        <v>43178</v>
      </c>
      <c r="O266" s="43">
        <f>N266*'KiGa - PS'!L267</f>
        <v>8443.7109732449826</v>
      </c>
      <c r="P266" s="42">
        <f t="shared" si="264"/>
        <v>2.0748444713585518E-2</v>
      </c>
      <c r="Q266" s="43">
        <f>O266/Funktional!C266</f>
        <v>4221.8554866224913</v>
      </c>
      <c r="R266" s="85">
        <f t="shared" si="265"/>
        <v>201.04073745821387</v>
      </c>
      <c r="S266" s="365">
        <v>24424.45</v>
      </c>
      <c r="T266" s="365">
        <v>62432.800000000003</v>
      </c>
      <c r="U266" s="43">
        <f>T266*'KiGa - PS'!L267</f>
        <v>12209.099968743558</v>
      </c>
      <c r="V266" s="42">
        <f t="shared" si="266"/>
        <v>3.0001007436989715E-2</v>
      </c>
      <c r="W266" s="43">
        <f t="shared" si="267"/>
        <v>290.69285639865615</v>
      </c>
      <c r="X266" s="365">
        <v>59373.3</v>
      </c>
      <c r="Y266" s="43">
        <f>X266*'KiGa - PS'!L267</f>
        <v>11610.796811518976</v>
      </c>
      <c r="Z266" s="91">
        <f t="shared" si="268"/>
        <v>2.8530817372576942E-2</v>
      </c>
      <c r="AA266" s="365">
        <v>276261.90000000002</v>
      </c>
      <c r="AB266" s="43">
        <f>AA266*'KiGa - PS'!L267</f>
        <v>54024.633760700082</v>
      </c>
      <c r="AC266" s="43">
        <f t="shared" si="269"/>
        <v>1286.3008038261924</v>
      </c>
      <c r="AD266" s="42">
        <f t="shared" si="270"/>
        <v>0.13275290098244688</v>
      </c>
      <c r="AE266" s="365">
        <v>260000</v>
      </c>
      <c r="AF266" s="43">
        <f>AE266*'KiGa - PS'!L267</f>
        <v>50844.523902072709</v>
      </c>
      <c r="AG266" s="42">
        <f t="shared" si="271"/>
        <v>0.12493852483978496</v>
      </c>
      <c r="AH266" s="42">
        <f>AE266/'Kennzahlen Revision'!F266</f>
        <v>0.13989445501424772</v>
      </c>
      <c r="AI266" s="97">
        <f t="shared" si="259"/>
        <v>0.39131079950108216</v>
      </c>
      <c r="AJ266" s="365">
        <v>0</v>
      </c>
      <c r="AK266" s="43">
        <f>AJ266*'KiGa - PS'!$L267</f>
        <v>0</v>
      </c>
      <c r="AL266" s="365">
        <v>0</v>
      </c>
      <c r="AM266" s="43">
        <f>AL266*'KiGa - PS'!$L267</f>
        <v>0</v>
      </c>
      <c r="AN266" s="97">
        <f>(AK266+AM266)/Funktional!E266</f>
        <v>0</v>
      </c>
    </row>
    <row r="267" spans="1:40" x14ac:dyDescent="0.25">
      <c r="A267" t="str">
        <f>Funktional!A267</f>
        <v>Freidorf-Watt</v>
      </c>
      <c r="B267" t="str">
        <f>Funktional!B267</f>
        <v>KiGa*</v>
      </c>
      <c r="C267" s="43">
        <f>Funktional!D267</f>
        <v>26</v>
      </c>
      <c r="D267" s="43">
        <f>Funktional!J267-'KiGa - PS'!H268</f>
        <v>964410.75</v>
      </c>
      <c r="E267" s="43">
        <f>'KiGa - PS'!C268+'KiGa - PS'!J268*Artengliederung!D267</f>
        <v>269473.11063259945</v>
      </c>
      <c r="F267" s="365">
        <v>654972.30000000005</v>
      </c>
      <c r="G267" s="43">
        <f>F267*'KiGa - PS'!L268</f>
        <v>108104.3777149758</v>
      </c>
      <c r="H267" s="42">
        <f t="shared" si="260"/>
        <v>0.40116944307057661</v>
      </c>
      <c r="I267" s="85">
        <f t="shared" si="261"/>
        <v>4157.8606813452225</v>
      </c>
      <c r="J267" s="365">
        <v>131361.15</v>
      </c>
      <c r="K267" s="43">
        <f>J267*'KiGa - PS'!L268</f>
        <v>21681.398399098089</v>
      </c>
      <c r="L267" s="42">
        <f t="shared" si="262"/>
        <v>8.0458485628492185E-2</v>
      </c>
      <c r="M267" s="43">
        <f t="shared" si="263"/>
        <v>833.89993842684953</v>
      </c>
      <c r="N267" s="365">
        <v>39697.9</v>
      </c>
      <c r="O267" s="43">
        <f>N267*'KiGa - PS'!L268</f>
        <v>6552.2111028074587</v>
      </c>
      <c r="P267" s="42">
        <f t="shared" si="264"/>
        <v>2.4314897643872027E-2</v>
      </c>
      <c r="Q267" s="43">
        <f>O267/Funktional!C267</f>
        <v>3276.1055514037294</v>
      </c>
      <c r="R267" s="85">
        <f t="shared" si="265"/>
        <v>252.0081193387484</v>
      </c>
      <c r="S267" s="365">
        <v>12193.4</v>
      </c>
      <c r="T267" s="365">
        <v>198347.6</v>
      </c>
      <c r="U267" s="43">
        <f>T267*'KiGa - PS'!L268</f>
        <v>32737.634659143499</v>
      </c>
      <c r="V267" s="42">
        <f t="shared" si="266"/>
        <v>0.12148757470565626</v>
      </c>
      <c r="W267" s="43">
        <f t="shared" si="267"/>
        <v>1259.1397945824424</v>
      </c>
      <c r="X267" s="365">
        <v>194059</v>
      </c>
      <c r="Y267" s="43">
        <f>X267*'KiGa - PS'!L268</f>
        <v>32029.793374453373</v>
      </c>
      <c r="Z267" s="91">
        <f t="shared" si="268"/>
        <v>0.11886081434716098</v>
      </c>
      <c r="AA267" s="365">
        <v>210875.55</v>
      </c>
      <c r="AB267" s="43">
        <f>AA267*'KiGa - PS'!L268</f>
        <v>34805.395751932199</v>
      </c>
      <c r="AC267" s="43">
        <f t="shared" si="269"/>
        <v>1338.6690673820076</v>
      </c>
      <c r="AD267" s="42">
        <f t="shared" si="270"/>
        <v>0.12916092321873998</v>
      </c>
      <c r="AE267" s="365">
        <v>202000</v>
      </c>
      <c r="AF267" s="43">
        <f>AE267*'KiGa - PS'!L268</f>
        <v>33340.469968615638</v>
      </c>
      <c r="AG267" s="42">
        <f t="shared" si="271"/>
        <v>0.12372466362357076</v>
      </c>
      <c r="AH267" s="42">
        <f>AE267/'Kennzahlen Revision'!F267</f>
        <v>4.7540586599061754E-2</v>
      </c>
      <c r="AI267" s="97">
        <f t="shared" si="259"/>
        <v>0.26772357337653496</v>
      </c>
      <c r="AJ267" s="365">
        <v>52095</v>
      </c>
      <c r="AK267" s="43">
        <f>AJ267*'KiGa - PS'!$L268</f>
        <v>8598.3751634407508</v>
      </c>
      <c r="AL267" s="365">
        <v>0</v>
      </c>
      <c r="AM267" s="43">
        <f>AL267*'KiGa - PS'!$L268</f>
        <v>0</v>
      </c>
      <c r="AN267" s="97">
        <f>(AK267+AM267)/Funktional!E267</f>
        <v>4.2889969711917643E-2</v>
      </c>
    </row>
    <row r="268" spans="1:40" x14ac:dyDescent="0.25">
      <c r="A268" t="str">
        <f>Funktional!A268</f>
        <v>Kümmertshausen</v>
      </c>
      <c r="B268" t="str">
        <f>Funktional!B268</f>
        <v>KiGa*</v>
      </c>
      <c r="C268" s="43">
        <f>Funktional!D268</f>
        <v>12</v>
      </c>
      <c r="D268" s="43">
        <f>Funktional!J268-'KiGa - PS'!H269</f>
        <v>155949.90000000002</v>
      </c>
      <c r="E268" s="43">
        <f>'KiGa - PS'!C269+'KiGa - PS'!J269*Artengliederung!D268</f>
        <v>101772.67692077684</v>
      </c>
      <c r="F268" s="365">
        <v>503878.3</v>
      </c>
      <c r="G268" s="43">
        <f>F268*'KiGa - PS'!L269</f>
        <v>59610.107419564047</v>
      </c>
      <c r="H268" s="42">
        <f t="shared" si="260"/>
        <v>0.58571818314228374</v>
      </c>
      <c r="I268" s="85">
        <f t="shared" si="261"/>
        <v>4967.5089516303369</v>
      </c>
      <c r="J268" s="365">
        <v>91511.75</v>
      </c>
      <c r="K268" s="43">
        <f>J268*'KiGa - PS'!L269</f>
        <v>10826.076946858577</v>
      </c>
      <c r="L268" s="42">
        <f t="shared" si="262"/>
        <v>0.10637508292413245</v>
      </c>
      <c r="M268" s="43">
        <f t="shared" si="263"/>
        <v>902.17307890488144</v>
      </c>
      <c r="N268" s="365">
        <v>20714.95</v>
      </c>
      <c r="O268" s="43">
        <f>N268*'KiGa - PS'!L269</f>
        <v>2450.6322155387488</v>
      </c>
      <c r="P268" s="42">
        <f t="shared" si="264"/>
        <v>2.4079470931538931E-2</v>
      </c>
      <c r="Q268" s="43">
        <f>O268/Funktional!C268</f>
        <v>4901.2644310774976</v>
      </c>
      <c r="R268" s="85">
        <f t="shared" si="265"/>
        <v>204.21935129489574</v>
      </c>
      <c r="S268" s="365">
        <v>4758.5</v>
      </c>
      <c r="T268" s="365">
        <v>21088.799999999999</v>
      </c>
      <c r="U268" s="43">
        <f>T268*'KiGa - PS'!L269</f>
        <v>2494.859638427974</v>
      </c>
      <c r="V268" s="42">
        <f t="shared" si="266"/>
        <v>2.4514041626025558E-2</v>
      </c>
      <c r="W268" s="43">
        <f t="shared" si="267"/>
        <v>207.90496986899782</v>
      </c>
      <c r="X268" s="365">
        <v>20000</v>
      </c>
      <c r="Y268" s="43">
        <f>X268*'KiGa - PS'!L269</f>
        <v>2366.0517795493097</v>
      </c>
      <c r="Z268" s="91">
        <f t="shared" si="268"/>
        <v>2.3248398795593452E-2</v>
      </c>
      <c r="AA268" s="365">
        <v>32510.35</v>
      </c>
      <c r="AB268" s="43">
        <f>AA268*'KiGa - PS'!L269</f>
        <v>3846.058573563545</v>
      </c>
      <c r="AC268" s="43">
        <f t="shared" si="269"/>
        <v>320.50488113029542</v>
      </c>
      <c r="AD268" s="42">
        <f t="shared" si="270"/>
        <v>3.779067908921608E-2</v>
      </c>
      <c r="AE268" s="365">
        <v>29806</v>
      </c>
      <c r="AF268" s="43">
        <f>AE268*'KiGa - PS'!L269</f>
        <v>3526.126967062336</v>
      </c>
      <c r="AG268" s="42">
        <f t="shared" si="271"/>
        <v>3.4647088725072918E-2</v>
      </c>
      <c r="AH268" s="42">
        <f>AE268/'Kennzahlen Revision'!F268</f>
        <v>6.3976749776770384E-2</v>
      </c>
      <c r="AI268" s="97">
        <f t="shared" si="259"/>
        <v>0.24560201321834219</v>
      </c>
      <c r="AJ268" s="365">
        <v>231250</v>
      </c>
      <c r="AK268" s="43">
        <f>AJ268*'KiGa - PS'!$L269</f>
        <v>27357.473701038893</v>
      </c>
      <c r="AL268" s="365">
        <v>125263</v>
      </c>
      <c r="AM268" s="43">
        <f>AL268*'KiGa - PS'!$L269</f>
        <v>14818.937203084259</v>
      </c>
      <c r="AN268" s="97">
        <f>(AK268+AM268)/Funktional!E268</f>
        <v>0.54276542526099558</v>
      </c>
    </row>
    <row r="269" spans="1:40" x14ac:dyDescent="0.25">
      <c r="A269" t="str">
        <f>Funktional!A269</f>
        <v>Neunforn</v>
      </c>
      <c r="B269" t="str">
        <f>Funktional!B269</f>
        <v>KiGa*</v>
      </c>
      <c r="C269" s="43">
        <f>Funktional!D269</f>
        <v>32</v>
      </c>
      <c r="D269" s="43">
        <f>Funktional!J269-'KiGa - PS'!H270</f>
        <v>859256.05</v>
      </c>
      <c r="E269" s="43">
        <f>'KiGa - PS'!C270+'KiGa - PS'!J270*Artengliederung!D269</f>
        <v>274277.07874918182</v>
      </c>
      <c r="F269" s="365">
        <v>996990.75</v>
      </c>
      <c r="G269" s="43">
        <f>F269*'KiGa - PS'!L270</f>
        <v>162749.54875891574</v>
      </c>
      <c r="H269" s="42">
        <f t="shared" si="260"/>
        <v>0.5933764115511283</v>
      </c>
      <c r="I269" s="85">
        <f t="shared" si="261"/>
        <v>5085.9233987161169</v>
      </c>
      <c r="J269" s="365">
        <v>245335.25</v>
      </c>
      <c r="K269" s="43">
        <f>J269*'KiGa - PS'!L270</f>
        <v>40048.717836304684</v>
      </c>
      <c r="L269" s="42">
        <f t="shared" si="262"/>
        <v>0.14601554755848933</v>
      </c>
      <c r="M269" s="43">
        <f t="shared" si="263"/>
        <v>1251.5224323845214</v>
      </c>
      <c r="N269" s="365">
        <v>48006.6</v>
      </c>
      <c r="O269" s="43">
        <f>N269*'KiGa - PS'!L270</f>
        <v>7836.6348809653091</v>
      </c>
      <c r="P269" s="42">
        <f t="shared" si="264"/>
        <v>2.8571964222105766E-2</v>
      </c>
      <c r="Q269" s="43">
        <f>O269/Funktional!C269</f>
        <v>3918.3174404826545</v>
      </c>
      <c r="R269" s="85">
        <f t="shared" si="265"/>
        <v>244.89484003016591</v>
      </c>
      <c r="S269" s="365">
        <v>9951.7999999999993</v>
      </c>
      <c r="T269" s="365">
        <v>27785.95</v>
      </c>
      <c r="U269" s="43">
        <f>T269*'KiGa - PS'!L270</f>
        <v>4535.8001810325677</v>
      </c>
      <c r="V269" s="42">
        <f t="shared" si="266"/>
        <v>1.653729214893827E-2</v>
      </c>
      <c r="W269" s="43">
        <f t="shared" si="267"/>
        <v>141.74375565726774</v>
      </c>
      <c r="X269" s="365">
        <v>22416.65</v>
      </c>
      <c r="Y269" s="43">
        <f>X269*'KiGa - PS'!L270</f>
        <v>3659.3114551830586</v>
      </c>
      <c r="Z269" s="91">
        <f t="shared" si="268"/>
        <v>1.3341659725526643E-2</v>
      </c>
      <c r="AA269" s="365">
        <v>107814</v>
      </c>
      <c r="AB269" s="43">
        <f>AA269*'KiGa - PS'!L270</f>
        <v>17599.641571292152</v>
      </c>
      <c r="AC269" s="43">
        <f t="shared" si="269"/>
        <v>549.98879910287974</v>
      </c>
      <c r="AD269" s="42">
        <f t="shared" si="270"/>
        <v>6.4167380123610313E-2</v>
      </c>
      <c r="AE269" s="365">
        <v>106028</v>
      </c>
      <c r="AF269" s="43">
        <f>AE269*'KiGa - PS'!L270</f>
        <v>17308.093536284381</v>
      </c>
      <c r="AG269" s="42">
        <f t="shared" si="271"/>
        <v>6.3104411113085082E-2</v>
      </c>
      <c r="AH269" s="42">
        <f>AE269/'Kennzahlen Revision'!F269</f>
        <v>8.6461573087216692E-2</v>
      </c>
      <c r="AI269" s="97">
        <f t="shared" si="259"/>
        <v>0.17990336861783379</v>
      </c>
      <c r="AJ269" s="365">
        <v>297485.05</v>
      </c>
      <c r="AK269" s="43">
        <f>AJ269*'KiGa - PS'!$L270</f>
        <v>48561.691921438076</v>
      </c>
      <c r="AL269" s="365">
        <v>0</v>
      </c>
      <c r="AM269" s="43">
        <f>AL269*'KiGa - PS'!$L270</f>
        <v>0</v>
      </c>
      <c r="AN269" s="97">
        <f>(AK269+AM269)/Funktional!E269</f>
        <v>0.21225248555691947</v>
      </c>
    </row>
    <row r="270" spans="1:40" x14ac:dyDescent="0.25">
      <c r="A270" t="str">
        <f>Funktional!A270</f>
        <v>Roggwil</v>
      </c>
      <c r="B270" t="str">
        <f>Funktional!B270</f>
        <v>KiGa*</v>
      </c>
      <c r="C270" s="43">
        <f>Funktional!D270</f>
        <v>32</v>
      </c>
      <c r="D270" s="43">
        <f>Funktional!J270-'KiGa - PS'!H271</f>
        <v>931143.25</v>
      </c>
      <c r="E270" s="43">
        <f>'KiGa - PS'!C271+'KiGa - PS'!J271*Artengliederung!D270</f>
        <v>332699.47010637372</v>
      </c>
      <c r="F270" s="365">
        <v>1050288.1000000001</v>
      </c>
      <c r="G270" s="43">
        <f>F270*'KiGa - PS'!L271</f>
        <v>173597.89282602337</v>
      </c>
      <c r="H270" s="42">
        <f t="shared" si="260"/>
        <v>0.52178590116335044</v>
      </c>
      <c r="I270" s="85">
        <f t="shared" si="261"/>
        <v>5424.9341508132302</v>
      </c>
      <c r="J270" s="365">
        <v>177239.3</v>
      </c>
      <c r="K270" s="43">
        <f>J270*'KiGa - PS'!L271</f>
        <v>29295.170540311174</v>
      </c>
      <c r="L270" s="42">
        <f t="shared" si="262"/>
        <v>8.8052952206219781E-2</v>
      </c>
      <c r="M270" s="43">
        <f t="shared" si="263"/>
        <v>915.47407938472418</v>
      </c>
      <c r="N270" s="365">
        <v>41824.15</v>
      </c>
      <c r="O270" s="43">
        <f>N270*'KiGa - PS'!L271</f>
        <v>6912.9454187279898</v>
      </c>
      <c r="P270" s="42">
        <f t="shared" si="264"/>
        <v>2.0778348148609072E-2</v>
      </c>
      <c r="Q270" s="43">
        <f>O270/Funktional!C270</f>
        <v>3456.4727093639949</v>
      </c>
      <c r="R270" s="85">
        <f t="shared" si="265"/>
        <v>216.02954433524968</v>
      </c>
      <c r="S270" s="365">
        <v>27130.3</v>
      </c>
      <c r="T270" s="365">
        <v>65105.25</v>
      </c>
      <c r="U270" s="43">
        <f>T270*'KiGa - PS'!L271</f>
        <v>10760.984735437311</v>
      </c>
      <c r="V270" s="42">
        <f t="shared" si="266"/>
        <v>3.2344460097867636E-2</v>
      </c>
      <c r="W270" s="43">
        <f t="shared" si="267"/>
        <v>336.28077298241595</v>
      </c>
      <c r="X270" s="365">
        <v>61100</v>
      </c>
      <c r="Y270" s="43">
        <f>X270*'KiGa - PS'!L271</f>
        <v>10098.973083356868</v>
      </c>
      <c r="Z270" s="91">
        <f t="shared" si="268"/>
        <v>3.0354641322776776E-2</v>
      </c>
      <c r="AA270" s="365">
        <v>117262.3</v>
      </c>
      <c r="AB270" s="43">
        <f>AA270*'KiGa - PS'!L271</f>
        <v>19381.813607078857</v>
      </c>
      <c r="AC270" s="43">
        <f t="shared" si="269"/>
        <v>605.68167522121428</v>
      </c>
      <c r="AD270" s="42">
        <f t="shared" si="270"/>
        <v>5.8256220248508142E-2</v>
      </c>
      <c r="AE270" s="365">
        <v>107371.25</v>
      </c>
      <c r="AF270" s="43">
        <f>AE270*'KiGa - PS'!L271</f>
        <v>17746.961762297564</v>
      </c>
      <c r="AG270" s="42">
        <f t="shared" si="271"/>
        <v>5.33423204930965E-2</v>
      </c>
      <c r="AH270" s="42">
        <f>AE270/'Kennzahlen Revision'!F270</f>
        <v>6.7263081599310395E-2</v>
      </c>
      <c r="AI270" s="97">
        <f>1-H270-L270-V270-AD270</f>
        <v>0.29956046628405403</v>
      </c>
      <c r="AJ270" s="365">
        <v>144696.65</v>
      </c>
      <c r="AK270" s="43">
        <f>AJ270*'KiGa - PS'!$L271</f>
        <v>23916.326900194916</v>
      </c>
      <c r="AL270" s="365">
        <v>0</v>
      </c>
      <c r="AM270" s="43">
        <f>AL270*'KiGa - PS'!$L271</f>
        <v>0</v>
      </c>
      <c r="AN270" s="97">
        <f>(AK270+AM270)/Funktional!E270</f>
        <v>0.10049878276973416</v>
      </c>
    </row>
    <row r="271" spans="1:40" x14ac:dyDescent="0.25">
      <c r="A271" t="str">
        <f>Funktional!A271</f>
        <v>Speiserslehn</v>
      </c>
      <c r="B271" t="str">
        <f>Funktional!B271</f>
        <v>KiGa*</v>
      </c>
      <c r="C271" s="43">
        <f>Funktional!D271</f>
        <v>20</v>
      </c>
      <c r="D271" s="43">
        <f>Funktional!J271-'KiGa - PS'!H272</f>
        <v>572662.35</v>
      </c>
      <c r="E271" s="43">
        <f>'KiGa - PS'!C272+'KiGa - PS'!J272*Artengliederung!D271</f>
        <v>197448.90268054581</v>
      </c>
      <c r="F271" s="365">
        <v>0</v>
      </c>
      <c r="G271" s="43">
        <f>F271*'KiGa - PS'!L272</f>
        <v>0</v>
      </c>
      <c r="H271" s="42">
        <f t="shared" si="260"/>
        <v>0</v>
      </c>
      <c r="I271" s="85">
        <f t="shared" si="261"/>
        <v>0</v>
      </c>
      <c r="J271" s="365">
        <v>0</v>
      </c>
      <c r="K271" s="43">
        <f>J271*'KiGa - PS'!L272</f>
        <v>0</v>
      </c>
      <c r="L271" s="42">
        <f t="shared" si="262"/>
        <v>0</v>
      </c>
      <c r="M271" s="43">
        <f t="shared" si="263"/>
        <v>0</v>
      </c>
      <c r="N271" s="365">
        <v>0</v>
      </c>
      <c r="O271" s="43">
        <f>N271*'KiGa - PS'!L272</f>
        <v>0</v>
      </c>
      <c r="P271" s="42">
        <f t="shared" si="264"/>
        <v>0</v>
      </c>
      <c r="Q271" s="43">
        <f>O271/Funktional!C271</f>
        <v>0</v>
      </c>
      <c r="R271" s="85">
        <f t="shared" si="265"/>
        <v>0</v>
      </c>
      <c r="S271" s="365">
        <v>0</v>
      </c>
      <c r="T271" s="365">
        <v>0</v>
      </c>
      <c r="U271" s="43">
        <f>T271*'KiGa - PS'!L272</f>
        <v>0</v>
      </c>
      <c r="V271" s="42">
        <f t="shared" si="266"/>
        <v>0</v>
      </c>
      <c r="W271" s="43">
        <f t="shared" si="267"/>
        <v>0</v>
      </c>
      <c r="X271" s="365">
        <v>0</v>
      </c>
      <c r="Y271" s="43">
        <f>X271*'KiGa - PS'!L272</f>
        <v>0</v>
      </c>
      <c r="Z271" s="91">
        <f t="shared" si="268"/>
        <v>0</v>
      </c>
      <c r="AA271" s="365">
        <v>0</v>
      </c>
      <c r="AB271" s="43">
        <f>AA271*'KiGa - PS'!L272</f>
        <v>0</v>
      </c>
      <c r="AC271" s="43">
        <f t="shared" si="269"/>
        <v>0</v>
      </c>
      <c r="AD271" s="42">
        <f t="shared" si="270"/>
        <v>0</v>
      </c>
      <c r="AE271" s="365">
        <v>0</v>
      </c>
      <c r="AF271" s="43">
        <f>AE271*'KiGa - PS'!L272</f>
        <v>0</v>
      </c>
      <c r="AG271" s="42">
        <f t="shared" si="271"/>
        <v>0</v>
      </c>
      <c r="AH271" s="42"/>
      <c r="AI271" s="97">
        <f t="shared" si="259"/>
        <v>1</v>
      </c>
      <c r="AJ271" s="365">
        <v>0</v>
      </c>
      <c r="AK271" s="43">
        <f>AJ271*'KiGa - PS'!$L272</f>
        <v>0</v>
      </c>
      <c r="AL271" s="365">
        <v>0</v>
      </c>
      <c r="AM271" s="43">
        <f>AL271*'KiGa - PS'!$L272</f>
        <v>0</v>
      </c>
      <c r="AN271" s="97">
        <f>(AK271+AM271)/Funktional!E271</f>
        <v>0</v>
      </c>
    </row>
    <row r="272" spans="1:40" x14ac:dyDescent="0.25">
      <c r="A272" t="str">
        <f>Funktional!A272</f>
        <v>Aadorf</v>
      </c>
      <c r="B272" t="str">
        <f>Funktional!B272</f>
        <v>OSG</v>
      </c>
      <c r="C272" s="43">
        <f>Funktional!D272</f>
        <v>321</v>
      </c>
      <c r="D272" s="43"/>
      <c r="E272" s="43">
        <f>Funktional!J272</f>
        <v>6888198.1500000004</v>
      </c>
      <c r="F272" s="365">
        <v>4403513.6500000004</v>
      </c>
      <c r="G272" s="43">
        <f t="shared" ref="G272:G300" si="272">F272</f>
        <v>4403513.6500000004</v>
      </c>
      <c r="H272" s="42">
        <f t="shared" si="260"/>
        <v>0.63928382344808132</v>
      </c>
      <c r="I272" s="85">
        <f t="shared" si="261"/>
        <v>13718.111059190032</v>
      </c>
      <c r="J272" s="365">
        <v>1348089.55</v>
      </c>
      <c r="K272" s="43">
        <f t="shared" ref="K272:K300" si="273">J272</f>
        <v>1348089.55</v>
      </c>
      <c r="L272" s="42">
        <f t="shared" si="262"/>
        <v>0.19571004211021426</v>
      </c>
      <c r="M272" s="43">
        <f t="shared" si="263"/>
        <v>4199.6559190031157</v>
      </c>
      <c r="N272" s="365">
        <v>239316.35</v>
      </c>
      <c r="O272" s="43">
        <f t="shared" ref="O272:O300" si="274">N272</f>
        <v>239316.35</v>
      </c>
      <c r="P272" s="42">
        <f t="shared" si="264"/>
        <v>3.474295378683321E-2</v>
      </c>
      <c r="Q272" s="43">
        <f>O272/Funktional!C272</f>
        <v>11965.817500000001</v>
      </c>
      <c r="R272" s="85">
        <f t="shared" si="265"/>
        <v>745.53380062305303</v>
      </c>
      <c r="S272" s="365">
        <v>71560.649999999994</v>
      </c>
      <c r="T272" s="365">
        <v>312520.8</v>
      </c>
      <c r="U272" s="43">
        <f t="shared" ref="U272:U300" si="275">T272</f>
        <v>312520.8</v>
      </c>
      <c r="V272" s="42">
        <f t="shared" si="266"/>
        <v>4.5370471811993385E-2</v>
      </c>
      <c r="W272" s="43">
        <f t="shared" si="267"/>
        <v>973.58504672897197</v>
      </c>
      <c r="X272" s="365">
        <v>287175.3</v>
      </c>
      <c r="Y272" s="43">
        <f t="shared" ref="Y272:Y300" si="276">X272</f>
        <v>287175.3</v>
      </c>
      <c r="Z272" s="91">
        <f t="shared" si="268"/>
        <v>4.1690917384541261E-2</v>
      </c>
      <c r="AA272" s="365">
        <v>698012.5</v>
      </c>
      <c r="AB272" s="43">
        <f t="shared" ref="AB272:AB300" si="277">AA272</f>
        <v>698012.5</v>
      </c>
      <c r="AC272" s="43">
        <f t="shared" si="269"/>
        <v>2174.4937694704049</v>
      </c>
      <c r="AD272" s="42">
        <f t="shared" si="270"/>
        <v>0.10133455583010485</v>
      </c>
      <c r="AE272" s="365">
        <v>604910</v>
      </c>
      <c r="AF272" s="43">
        <f t="shared" ref="AF272:AF300" si="278">AE272</f>
        <v>604910</v>
      </c>
      <c r="AG272" s="42">
        <f t="shared" si="271"/>
        <v>8.7818321544655326E-2</v>
      </c>
      <c r="AH272" s="42">
        <f>AE272/'Kennzahlen Revision'!F272</f>
        <v>6.4473575985947912E-2</v>
      </c>
      <c r="AI272" s="97">
        <f t="shared" ref="AI272:AI278" si="279">1-H272-L272-V272-AD272</f>
        <v>1.8301106799606184E-2</v>
      </c>
      <c r="AJ272" s="365">
        <v>553425.69999999995</v>
      </c>
      <c r="AK272" s="43">
        <f>AJ272*'KiGa - PS'!$L273</f>
        <v>553425.69999999995</v>
      </c>
      <c r="AL272" s="365">
        <v>0</v>
      </c>
      <c r="AM272" s="43">
        <f>AL272*'KiGa - PS'!$L273</f>
        <v>0</v>
      </c>
      <c r="AN272" s="97">
        <f>(AK272+AM272)/Funktional!E272</f>
        <v>8.0921643310363847E-2</v>
      </c>
    </row>
    <row r="273" spans="1:40" x14ac:dyDescent="0.25">
      <c r="A273" t="str">
        <f>Funktional!A273</f>
        <v>Affeltrangen</v>
      </c>
      <c r="B273" t="str">
        <f>Funktional!B273</f>
        <v>OSG</v>
      </c>
      <c r="C273" s="43">
        <f>Funktional!D273</f>
        <v>309</v>
      </c>
      <c r="D273" s="43"/>
      <c r="E273" s="43">
        <f>Funktional!J273</f>
        <v>5245200.8499999996</v>
      </c>
      <c r="F273" s="365">
        <v>3655038.15</v>
      </c>
      <c r="G273" s="43">
        <f t="shared" si="272"/>
        <v>3655038.15</v>
      </c>
      <c r="H273" s="42">
        <f t="shared" si="260"/>
        <v>0.69683473608069746</v>
      </c>
      <c r="I273" s="85">
        <f t="shared" si="261"/>
        <v>11828.602427184465</v>
      </c>
      <c r="J273" s="365">
        <v>653125.44999999995</v>
      </c>
      <c r="K273" s="43">
        <f t="shared" si="273"/>
        <v>653125.44999999995</v>
      </c>
      <c r="L273" s="42">
        <f t="shared" si="262"/>
        <v>0.12451867310286126</v>
      </c>
      <c r="M273" s="43">
        <f t="shared" si="263"/>
        <v>2113.6745954692556</v>
      </c>
      <c r="N273" s="365">
        <v>242703.55</v>
      </c>
      <c r="O273" s="43">
        <f t="shared" si="274"/>
        <v>242703.55</v>
      </c>
      <c r="P273" s="42">
        <f t="shared" si="264"/>
        <v>4.6271545540529681E-2</v>
      </c>
      <c r="Q273" s="43">
        <f>O273/Funktional!C273</f>
        <v>14276.679411764706</v>
      </c>
      <c r="R273" s="85">
        <f t="shared" si="265"/>
        <v>785.4483818770226</v>
      </c>
      <c r="S273" s="365">
        <v>46961.2</v>
      </c>
      <c r="T273" s="365">
        <v>497919.15</v>
      </c>
      <c r="U273" s="43">
        <f t="shared" si="275"/>
        <v>497919.15</v>
      </c>
      <c r="V273" s="42">
        <f t="shared" si="266"/>
        <v>9.4928519276816642E-2</v>
      </c>
      <c r="W273" s="43">
        <f t="shared" si="267"/>
        <v>1611.3888349514564</v>
      </c>
      <c r="X273" s="365">
        <v>488343.75</v>
      </c>
      <c r="Y273" s="43">
        <f t="shared" si="276"/>
        <v>488343.75</v>
      </c>
      <c r="Z273" s="91">
        <f t="shared" si="268"/>
        <v>9.3102964779699524E-2</v>
      </c>
      <c r="AA273" s="365">
        <v>172952.35</v>
      </c>
      <c r="AB273" s="43">
        <f t="shared" si="277"/>
        <v>172952.35</v>
      </c>
      <c r="AC273" s="43">
        <f t="shared" si="269"/>
        <v>559.71634304207123</v>
      </c>
      <c r="AD273" s="42">
        <f t="shared" si="270"/>
        <v>3.2973446574500576E-2</v>
      </c>
      <c r="AE273" s="365">
        <v>136339.65</v>
      </c>
      <c r="AF273" s="43">
        <f t="shared" si="278"/>
        <v>136339.65</v>
      </c>
      <c r="AG273" s="42">
        <f t="shared" si="271"/>
        <v>2.5993218162465598E-2</v>
      </c>
      <c r="AH273" s="42">
        <f>AE273/'Kennzahlen Revision'!F273</f>
        <v>2.811399480889858E-2</v>
      </c>
      <c r="AI273" s="97">
        <f t="shared" si="279"/>
        <v>5.074462496512408E-2</v>
      </c>
      <c r="AJ273" s="365">
        <v>1763106</v>
      </c>
      <c r="AK273" s="43">
        <f>AJ273*'KiGa - PS'!$L274</f>
        <v>1763106</v>
      </c>
      <c r="AL273" s="365">
        <v>0</v>
      </c>
      <c r="AM273" s="43">
        <f>AL273*'KiGa - PS'!$L274</f>
        <v>0</v>
      </c>
      <c r="AN273" s="97">
        <f>(AK273+AM273)/Funktional!E273</f>
        <v>0.34968898789867203</v>
      </c>
    </row>
    <row r="274" spans="1:40" x14ac:dyDescent="0.25">
      <c r="A274" t="str">
        <f>Funktional!A274</f>
        <v>Alterswilen</v>
      </c>
      <c r="B274" t="str">
        <f>Funktional!B274</f>
        <v>OSG</v>
      </c>
      <c r="C274" s="43">
        <f>Funktional!D274</f>
        <v>106</v>
      </c>
      <c r="D274" s="43"/>
      <c r="E274" s="43">
        <f>Funktional!J274</f>
        <v>1764840</v>
      </c>
      <c r="F274" s="365">
        <v>1115821.05</v>
      </c>
      <c r="G274" s="43">
        <f t="shared" si="272"/>
        <v>1115821.05</v>
      </c>
      <c r="H274" s="42">
        <f t="shared" si="260"/>
        <v>0.63225054395865921</v>
      </c>
      <c r="I274" s="85">
        <f t="shared" si="261"/>
        <v>10526.613679245283</v>
      </c>
      <c r="J274" s="365">
        <v>491285.85</v>
      </c>
      <c r="K274" s="43">
        <f t="shared" si="273"/>
        <v>491285.85</v>
      </c>
      <c r="L274" s="42">
        <f t="shared" si="262"/>
        <v>0.27837415856394915</v>
      </c>
      <c r="M274" s="43">
        <f t="shared" si="263"/>
        <v>4634.772169811321</v>
      </c>
      <c r="N274" s="365">
        <v>96995.1</v>
      </c>
      <c r="O274" s="43">
        <f t="shared" si="274"/>
        <v>96995.1</v>
      </c>
      <c r="P274" s="42">
        <f t="shared" si="264"/>
        <v>5.4959713061807303E-2</v>
      </c>
      <c r="Q274" s="43">
        <f>O274/Funktional!C274</f>
        <v>16165.85</v>
      </c>
      <c r="R274" s="85">
        <f t="shared" si="265"/>
        <v>915.0481132075472</v>
      </c>
      <c r="S274" s="365">
        <v>33858.800000000003</v>
      </c>
      <c r="T274" s="365">
        <v>22.5</v>
      </c>
      <c r="U274" s="43">
        <f t="shared" si="275"/>
        <v>22.5</v>
      </c>
      <c r="V274" s="42">
        <f t="shared" si="266"/>
        <v>1.2749031073638404E-5</v>
      </c>
      <c r="W274" s="43">
        <f t="shared" si="267"/>
        <v>0.21226415094339623</v>
      </c>
      <c r="X274" s="365">
        <v>0</v>
      </c>
      <c r="Y274" s="43">
        <f t="shared" si="276"/>
        <v>0</v>
      </c>
      <c r="Z274" s="91">
        <f t="shared" si="268"/>
        <v>0</v>
      </c>
      <c r="AA274" s="365">
        <v>38436.25</v>
      </c>
      <c r="AB274" s="43">
        <f t="shared" si="277"/>
        <v>38436.25</v>
      </c>
      <c r="AC274" s="43">
        <f t="shared" si="269"/>
        <v>362.60613207547169</v>
      </c>
      <c r="AD274" s="42">
        <f t="shared" si="270"/>
        <v>2.1778886471294848E-2</v>
      </c>
      <c r="AE274" s="365">
        <v>20523.900000000001</v>
      </c>
      <c r="AF274" s="43">
        <f t="shared" si="278"/>
        <v>20523.900000000001</v>
      </c>
      <c r="AG274" s="42">
        <f t="shared" si="271"/>
        <v>1.1629326171210989E-2</v>
      </c>
      <c r="AH274" s="42">
        <v>0</v>
      </c>
      <c r="AI274" s="97">
        <f t="shared" si="279"/>
        <v>6.7583661975023163E-2</v>
      </c>
      <c r="AJ274" s="365">
        <v>535595</v>
      </c>
      <c r="AK274" s="43">
        <f>AJ274*'KiGa - PS'!$L275</f>
        <v>535595</v>
      </c>
      <c r="AL274" s="365">
        <v>0</v>
      </c>
      <c r="AM274" s="43">
        <f>AL274*'KiGa - PS'!$L275</f>
        <v>0</v>
      </c>
      <c r="AN274" s="97">
        <f>(AK274+AM274)/Funktional!E274</f>
        <v>0.32131471498350817</v>
      </c>
    </row>
    <row r="275" spans="1:40" x14ac:dyDescent="0.25">
      <c r="A275" t="str">
        <f>Funktional!A275</f>
        <v>Altnau</v>
      </c>
      <c r="B275" t="str">
        <f>Funktional!B275</f>
        <v>OSG</v>
      </c>
      <c r="C275" s="43">
        <f>Funktional!D275</f>
        <v>286</v>
      </c>
      <c r="D275" s="43"/>
      <c r="E275" s="43">
        <f>Funktional!J275</f>
        <v>5108972.5999999996</v>
      </c>
      <c r="F275" s="365">
        <v>2973215.05</v>
      </c>
      <c r="G275" s="43">
        <f t="shared" si="272"/>
        <v>2973215.05</v>
      </c>
      <c r="H275" s="42">
        <f t="shared" ref="H275:H290" si="280">G275/$E275</f>
        <v>0.5819594824211819</v>
      </c>
      <c r="I275" s="85">
        <f t="shared" ref="I275:I290" si="281">G275/C275</f>
        <v>10395.856818181817</v>
      </c>
      <c r="J275" s="365">
        <v>1179424.8</v>
      </c>
      <c r="K275" s="43">
        <f t="shared" si="273"/>
        <v>1179424.8</v>
      </c>
      <c r="L275" s="42">
        <f t="shared" ref="L275:L290" si="282">K275/$E275</f>
        <v>0.23085361624370429</v>
      </c>
      <c r="M275" s="43">
        <f t="shared" ref="M275:M290" si="283">K275/C275</f>
        <v>4123.8629370629369</v>
      </c>
      <c r="N275" s="365">
        <v>208271.8</v>
      </c>
      <c r="O275" s="43">
        <f t="shared" si="274"/>
        <v>208271.8</v>
      </c>
      <c r="P275" s="42">
        <f t="shared" ref="P275:P290" si="284">O275/$E275</f>
        <v>4.0765887059171155E-2</v>
      </c>
      <c r="Q275" s="43">
        <f>O275/Funktional!C275</f>
        <v>11570.655555555555</v>
      </c>
      <c r="R275" s="85">
        <f t="shared" ref="R275:R290" si="285">O275/C275</f>
        <v>728.22307692307686</v>
      </c>
      <c r="S275" s="365">
        <v>75533.5</v>
      </c>
      <c r="T275" s="365">
        <v>250743.5</v>
      </c>
      <c r="U275" s="43">
        <f t="shared" si="275"/>
        <v>250743.5</v>
      </c>
      <c r="V275" s="42">
        <f t="shared" ref="V275:V290" si="286">U275/$E275</f>
        <v>4.9079045755696563E-2</v>
      </c>
      <c r="W275" s="43">
        <f t="shared" ref="W275:W290" si="287">U275/C275</f>
        <v>876.72552447552448</v>
      </c>
      <c r="X275" s="365">
        <v>228391.9</v>
      </c>
      <c r="Y275" s="43">
        <f t="shared" si="276"/>
        <v>228391.9</v>
      </c>
      <c r="Z275" s="91">
        <f t="shared" ref="Z275:Z290" si="288">Y275/$E275</f>
        <v>4.4704076118944149E-2</v>
      </c>
      <c r="AA275" s="365">
        <v>498641.95</v>
      </c>
      <c r="AB275" s="43">
        <f t="shared" si="277"/>
        <v>498641.95</v>
      </c>
      <c r="AC275" s="43">
        <f t="shared" ref="AC275:AC290" si="289">AB275/C275</f>
        <v>1743.5033216783218</v>
      </c>
      <c r="AD275" s="42">
        <f t="shared" ref="AD275:AD290" si="290">AB275/$E275</f>
        <v>9.7601218295827241E-2</v>
      </c>
      <c r="AE275" s="365">
        <v>458112.65</v>
      </c>
      <c r="AF275" s="43">
        <f t="shared" si="278"/>
        <v>458112.65</v>
      </c>
      <c r="AG275" s="42">
        <f t="shared" ref="AG275:AG290" si="291">AF275/$E275</f>
        <v>8.9668253456673466E-2</v>
      </c>
      <c r="AH275" s="42">
        <f>AE275/'Kennzahlen Revision'!F275</f>
        <v>5.4384940462480984E-2</v>
      </c>
      <c r="AI275" s="97">
        <f t="shared" si="279"/>
        <v>4.0506637283589997E-2</v>
      </c>
      <c r="AJ275" s="365">
        <v>317089</v>
      </c>
      <c r="AK275" s="43">
        <f>AJ275*'KiGa - PS'!$L276</f>
        <v>317089</v>
      </c>
      <c r="AL275" s="365">
        <v>0</v>
      </c>
      <c r="AM275" s="43">
        <f>AL275*'KiGa - PS'!$L276</f>
        <v>0</v>
      </c>
      <c r="AN275" s="97">
        <f>(AK275+AM275)/Funktional!E275</f>
        <v>6.3791838340764004E-2</v>
      </c>
    </row>
    <row r="276" spans="1:40" x14ac:dyDescent="0.25">
      <c r="A276" t="str">
        <f>Funktional!A276</f>
        <v>Amriswil</v>
      </c>
      <c r="B276" t="str">
        <f>Funktional!B276</f>
        <v>OSG</v>
      </c>
      <c r="C276" s="43">
        <f>Funktional!D276</f>
        <v>547</v>
      </c>
      <c r="D276" s="43"/>
      <c r="E276" s="43">
        <f>Funktional!J276</f>
        <v>7342300.5999999996</v>
      </c>
      <c r="F276" s="365">
        <v>5046264.45</v>
      </c>
      <c r="G276" s="43">
        <f t="shared" si="272"/>
        <v>5046264.45</v>
      </c>
      <c r="H276" s="42">
        <f t="shared" si="280"/>
        <v>0.68728655021288565</v>
      </c>
      <c r="I276" s="85">
        <f t="shared" si="281"/>
        <v>9225.3463436928705</v>
      </c>
      <c r="J276" s="365">
        <v>862088.8</v>
      </c>
      <c r="K276" s="43">
        <f t="shared" si="273"/>
        <v>862088.8</v>
      </c>
      <c r="L276" s="42">
        <f t="shared" si="282"/>
        <v>0.11741398874352817</v>
      </c>
      <c r="M276" s="43">
        <f t="shared" si="283"/>
        <v>1576.0307129798905</v>
      </c>
      <c r="N276" s="365">
        <v>138446.25</v>
      </c>
      <c r="O276" s="43">
        <f t="shared" si="274"/>
        <v>138446.25</v>
      </c>
      <c r="P276" s="42">
        <f t="shared" si="284"/>
        <v>1.8855976831022147E-2</v>
      </c>
      <c r="Q276" s="43">
        <f>O276/Funktional!C276</f>
        <v>5537.85</v>
      </c>
      <c r="R276" s="85">
        <f t="shared" si="285"/>
        <v>253.1010054844607</v>
      </c>
      <c r="S276" s="365">
        <v>32366.95</v>
      </c>
      <c r="T276" s="365">
        <v>363038.3</v>
      </c>
      <c r="U276" s="43">
        <f t="shared" si="275"/>
        <v>363038.3</v>
      </c>
      <c r="V276" s="42">
        <f t="shared" si="286"/>
        <v>4.9444761223750494E-2</v>
      </c>
      <c r="W276" s="43">
        <f t="shared" si="287"/>
        <v>663.68976234003651</v>
      </c>
      <c r="X276" s="365">
        <v>348802.5</v>
      </c>
      <c r="Y276" s="43">
        <f t="shared" si="276"/>
        <v>348802.5</v>
      </c>
      <c r="Z276" s="91">
        <f t="shared" si="288"/>
        <v>4.7505886642668922E-2</v>
      </c>
      <c r="AA276" s="365">
        <v>679294.1</v>
      </c>
      <c r="AB276" s="43">
        <f t="shared" si="277"/>
        <v>679294.1</v>
      </c>
      <c r="AC276" s="43">
        <f t="shared" si="289"/>
        <v>1241.8539305301645</v>
      </c>
      <c r="AD276" s="42">
        <f t="shared" si="290"/>
        <v>9.251788192926888E-2</v>
      </c>
      <c r="AE276" s="365">
        <v>510700</v>
      </c>
      <c r="AF276" s="43">
        <f t="shared" si="278"/>
        <v>510700</v>
      </c>
      <c r="AG276" s="42">
        <f t="shared" si="291"/>
        <v>6.9555855558406321E-2</v>
      </c>
      <c r="AH276" s="42">
        <f>AE276/'Kennzahlen Revision'!F276</f>
        <v>6.3295542597630594E-2</v>
      </c>
      <c r="AI276" s="97">
        <f t="shared" si="279"/>
        <v>5.3336817890566823E-2</v>
      </c>
      <c r="AJ276" s="365">
        <v>530319</v>
      </c>
      <c r="AK276" s="43">
        <f>AJ276*'KiGa - PS'!$L277</f>
        <v>530319</v>
      </c>
      <c r="AL276" s="365">
        <v>0</v>
      </c>
      <c r="AM276" s="43">
        <f>AL276*'KiGa - PS'!$L277</f>
        <v>0</v>
      </c>
      <c r="AN276" s="97">
        <f>(AK276+AM276)/Funktional!E276</f>
        <v>7.3245439560893369E-2</v>
      </c>
    </row>
    <row r="277" spans="1:40" x14ac:dyDescent="0.25">
      <c r="A277" t="str">
        <f>Funktional!A277</f>
        <v>Balterswil-Bichelsee</v>
      </c>
      <c r="B277" t="str">
        <f>Funktional!B277</f>
        <v>OSG</v>
      </c>
      <c r="C277" s="43">
        <f>Funktional!D277</f>
        <v>113</v>
      </c>
      <c r="D277" s="43"/>
      <c r="E277" s="43">
        <f>Funktional!J277</f>
        <v>1579120.85</v>
      </c>
      <c r="F277" s="365">
        <v>1263076.6000000001</v>
      </c>
      <c r="G277" s="43">
        <f t="shared" si="272"/>
        <v>1263076.6000000001</v>
      </c>
      <c r="H277" s="42">
        <f t="shared" si="280"/>
        <v>0.79986063131266993</v>
      </c>
      <c r="I277" s="85">
        <f t="shared" si="281"/>
        <v>11177.669026548674</v>
      </c>
      <c r="J277" s="365">
        <v>234996.55</v>
      </c>
      <c r="K277" s="43">
        <f t="shared" si="273"/>
        <v>234996.55</v>
      </c>
      <c r="L277" s="42">
        <f t="shared" si="282"/>
        <v>0.14881479780347398</v>
      </c>
      <c r="M277" s="43">
        <f t="shared" si="283"/>
        <v>2079.6154867256637</v>
      </c>
      <c r="N277" s="365">
        <v>75786.850000000006</v>
      </c>
      <c r="O277" s="43">
        <f t="shared" si="274"/>
        <v>75786.850000000006</v>
      </c>
      <c r="P277" s="42">
        <f t="shared" si="284"/>
        <v>4.7993065255265296E-2</v>
      </c>
      <c r="Q277" s="43">
        <f>O277/Funktional!C277</f>
        <v>10826.692857142858</v>
      </c>
      <c r="R277" s="85">
        <f t="shared" si="285"/>
        <v>670.68008849557532</v>
      </c>
      <c r="S277" s="365">
        <v>8716.4</v>
      </c>
      <c r="T277" s="365">
        <v>1570.8</v>
      </c>
      <c r="U277" s="43">
        <f t="shared" si="275"/>
        <v>1570.8</v>
      </c>
      <c r="V277" s="42">
        <f t="shared" si="286"/>
        <v>9.9473070727930661E-4</v>
      </c>
      <c r="W277" s="43">
        <f t="shared" si="287"/>
        <v>13.900884955752211</v>
      </c>
      <c r="X277" s="365">
        <v>0</v>
      </c>
      <c r="Y277" s="43">
        <f t="shared" si="276"/>
        <v>0</v>
      </c>
      <c r="Z277" s="91">
        <f t="shared" si="288"/>
        <v>0</v>
      </c>
      <c r="AA277" s="365">
        <v>34597.550000000003</v>
      </c>
      <c r="AB277" s="43">
        <f t="shared" si="277"/>
        <v>34597.550000000003</v>
      </c>
      <c r="AC277" s="43">
        <f t="shared" si="289"/>
        <v>306.17300884955756</v>
      </c>
      <c r="AD277" s="42">
        <f t="shared" si="290"/>
        <v>2.1909374447180531E-2</v>
      </c>
      <c r="AE277" s="365">
        <v>25000</v>
      </c>
      <c r="AF277" s="43">
        <f t="shared" si="278"/>
        <v>25000</v>
      </c>
      <c r="AG277" s="42">
        <f t="shared" si="291"/>
        <v>1.5831593889726679E-2</v>
      </c>
      <c r="AH277" s="42">
        <f>AE277/'Kennzahlen Revision'!F277</f>
        <v>8.348077429419927E-2</v>
      </c>
      <c r="AI277" s="97">
        <f t="shared" si="279"/>
        <v>2.8420465729396251E-2</v>
      </c>
      <c r="AJ277" s="365">
        <v>300765.25</v>
      </c>
      <c r="AK277" s="43">
        <f>AJ277*'KiGa - PS'!$L278</f>
        <v>300765.25</v>
      </c>
      <c r="AL277" s="365">
        <v>0</v>
      </c>
      <c r="AM277" s="43">
        <f>AL277*'KiGa - PS'!$L278</f>
        <v>0</v>
      </c>
      <c r="AN277" s="97">
        <f>(AK277+AM277)/Funktional!E277</f>
        <v>0.19347087712996533</v>
      </c>
    </row>
    <row r="278" spans="1:40" x14ac:dyDescent="0.25">
      <c r="A278" t="str">
        <f>Funktional!A278</f>
        <v>Berg</v>
      </c>
      <c r="B278" t="str">
        <f>Funktional!B278</f>
        <v>OSG</v>
      </c>
      <c r="C278" s="43">
        <f>Funktional!D278</f>
        <v>163</v>
      </c>
      <c r="D278" s="43"/>
      <c r="E278" s="43">
        <f>Funktional!J278</f>
        <v>2909760.65</v>
      </c>
      <c r="F278" s="365">
        <v>1542858.1</v>
      </c>
      <c r="G278" s="43">
        <f t="shared" si="272"/>
        <v>1542858.1</v>
      </c>
      <c r="H278" s="42">
        <f t="shared" si="280"/>
        <v>0.53023539925869856</v>
      </c>
      <c r="I278" s="85">
        <f t="shared" si="281"/>
        <v>9465.3871165644177</v>
      </c>
      <c r="J278" s="365">
        <v>497256.55</v>
      </c>
      <c r="K278" s="43">
        <f t="shared" si="273"/>
        <v>497256.55</v>
      </c>
      <c r="L278" s="42">
        <f t="shared" si="282"/>
        <v>0.17089259558170189</v>
      </c>
      <c r="M278" s="43">
        <f t="shared" si="283"/>
        <v>3050.6536809815952</v>
      </c>
      <c r="N278" s="365">
        <v>117855.25</v>
      </c>
      <c r="O278" s="43">
        <f t="shared" si="274"/>
        <v>117855.25</v>
      </c>
      <c r="P278" s="42">
        <f t="shared" si="284"/>
        <v>4.0503417351526835E-2</v>
      </c>
      <c r="Q278" s="43">
        <f>O278/Funktional!C278</f>
        <v>16836.464285714286</v>
      </c>
      <c r="R278" s="85">
        <f t="shared" si="285"/>
        <v>723.03834355828224</v>
      </c>
      <c r="S278" s="365">
        <v>62557.95</v>
      </c>
      <c r="T278" s="365">
        <v>180151.75</v>
      </c>
      <c r="U278" s="43">
        <f t="shared" si="275"/>
        <v>180151.75</v>
      </c>
      <c r="V278" s="42">
        <f t="shared" si="286"/>
        <v>6.1912910259474437E-2</v>
      </c>
      <c r="W278" s="43">
        <f t="shared" si="287"/>
        <v>1105.2254601226994</v>
      </c>
      <c r="X278" s="365">
        <v>163697.9</v>
      </c>
      <c r="Y278" s="43">
        <f t="shared" si="276"/>
        <v>163697.9</v>
      </c>
      <c r="Z278" s="91">
        <f t="shared" si="288"/>
        <v>5.6258201168539412E-2</v>
      </c>
      <c r="AA278" s="365">
        <v>247826.5</v>
      </c>
      <c r="AB278" s="43">
        <f t="shared" si="277"/>
        <v>247826.5</v>
      </c>
      <c r="AC278" s="43">
        <f t="shared" si="289"/>
        <v>1520.4079754601228</v>
      </c>
      <c r="AD278" s="42">
        <f t="shared" si="290"/>
        <v>8.5170751071913769E-2</v>
      </c>
      <c r="AE278" s="365">
        <v>196907.15</v>
      </c>
      <c r="AF278" s="43">
        <f t="shared" si="278"/>
        <v>196907.15</v>
      </c>
      <c r="AG278" s="42">
        <f t="shared" si="291"/>
        <v>6.767125330394444E-2</v>
      </c>
      <c r="AH278" s="42">
        <f>AE278/'Kennzahlen Revision'!F278</f>
        <v>3.0275917062129232E-2</v>
      </c>
      <c r="AI278" s="97">
        <f t="shared" si="279"/>
        <v>0.15178834382821135</v>
      </c>
      <c r="AJ278" s="365">
        <v>180719</v>
      </c>
      <c r="AK278" s="43">
        <f>AJ278*'KiGa - PS'!$L279</f>
        <v>180719</v>
      </c>
      <c r="AL278" s="365">
        <v>0</v>
      </c>
      <c r="AM278" s="43">
        <f>AL278*'KiGa - PS'!$L279</f>
        <v>0</v>
      </c>
      <c r="AN278" s="97">
        <f>(AK278+AM278)/Funktional!E278</f>
        <v>6.5553391831861443E-2</v>
      </c>
    </row>
    <row r="279" spans="1:40" x14ac:dyDescent="0.25">
      <c r="A279" t="str">
        <f>Funktional!A279</f>
        <v>Bischofszell</v>
      </c>
      <c r="B279" t="str">
        <f>Funktional!B279</f>
        <v>OSG</v>
      </c>
      <c r="C279" s="43">
        <f>Funktional!D279</f>
        <v>441</v>
      </c>
      <c r="D279" s="43"/>
      <c r="E279" s="43">
        <f>Funktional!J279</f>
        <v>6479965.8499999996</v>
      </c>
      <c r="F279" s="365">
        <v>4024865.15</v>
      </c>
      <c r="G279" s="43">
        <f t="shared" si="272"/>
        <v>4024865.15</v>
      </c>
      <c r="H279" s="42">
        <f t="shared" si="280"/>
        <v>0.62112443848758869</v>
      </c>
      <c r="I279" s="85">
        <f t="shared" si="281"/>
        <v>9126.6783446712016</v>
      </c>
      <c r="J279" s="365">
        <v>1245052.75</v>
      </c>
      <c r="K279" s="43">
        <f t="shared" si="273"/>
        <v>1245052.75</v>
      </c>
      <c r="L279" s="42">
        <f t="shared" si="282"/>
        <v>0.19213878264497336</v>
      </c>
      <c r="M279" s="43">
        <f t="shared" si="283"/>
        <v>2823.2488662131518</v>
      </c>
      <c r="N279" s="365">
        <v>299202.5</v>
      </c>
      <c r="O279" s="43">
        <f t="shared" si="274"/>
        <v>299202.5</v>
      </c>
      <c r="P279" s="42">
        <f t="shared" si="284"/>
        <v>4.6173468645671956E-2</v>
      </c>
      <c r="Q279" s="43">
        <f>O279/Funktional!C279</f>
        <v>14960.125</v>
      </c>
      <c r="R279" s="85">
        <f t="shared" si="285"/>
        <v>678.46371882086169</v>
      </c>
      <c r="S279" s="365">
        <v>78079.399999999994</v>
      </c>
      <c r="T279" s="365">
        <v>605538.75</v>
      </c>
      <c r="U279" s="43">
        <f t="shared" si="275"/>
        <v>605538.75</v>
      </c>
      <c r="V279" s="42">
        <f t="shared" si="286"/>
        <v>9.3447830438797772E-2</v>
      </c>
      <c r="W279" s="43">
        <f t="shared" si="287"/>
        <v>1373.1037414965986</v>
      </c>
      <c r="X279" s="365">
        <v>0</v>
      </c>
      <c r="Y279" s="43">
        <f t="shared" si="276"/>
        <v>0</v>
      </c>
      <c r="Z279" s="91">
        <f t="shared" si="288"/>
        <v>0</v>
      </c>
      <c r="AA279" s="365">
        <v>315876.84999999998</v>
      </c>
      <c r="AB279" s="43">
        <f t="shared" si="277"/>
        <v>315876.84999999998</v>
      </c>
      <c r="AC279" s="43">
        <f t="shared" si="289"/>
        <v>716.27403628117906</v>
      </c>
      <c r="AD279" s="42">
        <f t="shared" si="290"/>
        <v>4.8746684367171472E-2</v>
      </c>
      <c r="AE279" s="365">
        <v>264722</v>
      </c>
      <c r="AF279" s="43">
        <f t="shared" si="278"/>
        <v>264722</v>
      </c>
      <c r="AG279" s="42">
        <f t="shared" si="291"/>
        <v>4.0852375788369318E-2</v>
      </c>
      <c r="AH279" s="42">
        <f>AE279/'Kennzahlen Revision'!F279</f>
        <v>5.5295464734587428E-2</v>
      </c>
      <c r="AI279" s="97">
        <f t="shared" ref="AI279:AI294" si="292">1-H279-L279-V279-AD279</f>
        <v>4.4542264061468703E-2</v>
      </c>
      <c r="AJ279" s="365">
        <v>986115.55</v>
      </c>
      <c r="AK279" s="43">
        <f>AJ279*'KiGa - PS'!$L280</f>
        <v>986115.55</v>
      </c>
      <c r="AL279" s="365">
        <v>0</v>
      </c>
      <c r="AM279" s="43">
        <f>AL279*'KiGa - PS'!$L280</f>
        <v>0</v>
      </c>
      <c r="AN279" s="97">
        <f>(AK279+AM279)/Funktional!E279</f>
        <v>0.1566396948622355</v>
      </c>
    </row>
    <row r="280" spans="1:40" x14ac:dyDescent="0.25">
      <c r="A280" t="str">
        <f>Funktional!A280</f>
        <v>Bürglen</v>
      </c>
      <c r="B280" t="str">
        <f>Funktional!B280</f>
        <v>OSG</v>
      </c>
      <c r="C280" s="43">
        <f>Funktional!D280</f>
        <v>174</v>
      </c>
      <c r="D280" s="43"/>
      <c r="E280" s="43">
        <f>Funktional!J280</f>
        <v>3038760.1</v>
      </c>
      <c r="F280" s="365">
        <v>2017630.35</v>
      </c>
      <c r="G280" s="43">
        <f t="shared" si="272"/>
        <v>2017630.35</v>
      </c>
      <c r="H280" s="42">
        <f t="shared" si="280"/>
        <v>0.66396500006696813</v>
      </c>
      <c r="I280" s="85">
        <f t="shared" si="281"/>
        <v>11595.576724137931</v>
      </c>
      <c r="J280" s="365">
        <v>328669.7</v>
      </c>
      <c r="K280" s="43">
        <f t="shared" si="273"/>
        <v>328669.7</v>
      </c>
      <c r="L280" s="42">
        <f t="shared" si="282"/>
        <v>0.10815914688362534</v>
      </c>
      <c r="M280" s="43">
        <f t="shared" si="283"/>
        <v>1888.9063218390804</v>
      </c>
      <c r="N280" s="365">
        <v>122586.3</v>
      </c>
      <c r="O280" s="43">
        <f t="shared" si="274"/>
        <v>122586.3</v>
      </c>
      <c r="P280" s="42">
        <f t="shared" si="284"/>
        <v>4.0340894300935438E-2</v>
      </c>
      <c r="Q280" s="43">
        <f>O280/Funktional!C280</f>
        <v>10215.525</v>
      </c>
      <c r="R280" s="85">
        <f t="shared" si="285"/>
        <v>704.51896551724144</v>
      </c>
      <c r="S280" s="365">
        <v>26385.200000000001</v>
      </c>
      <c r="T280" s="365">
        <v>222030.3</v>
      </c>
      <c r="U280" s="43">
        <f t="shared" si="275"/>
        <v>222030.3</v>
      </c>
      <c r="V280" s="42">
        <f t="shared" si="286"/>
        <v>7.3066083762255526E-2</v>
      </c>
      <c r="W280" s="43">
        <f t="shared" si="287"/>
        <v>1276.0362068965517</v>
      </c>
      <c r="X280" s="365">
        <v>192409.75</v>
      </c>
      <c r="Y280" s="43">
        <f t="shared" si="276"/>
        <v>192409.75</v>
      </c>
      <c r="Z280" s="91">
        <f t="shared" si="288"/>
        <v>6.3318506123599558E-2</v>
      </c>
      <c r="AA280" s="365">
        <v>375292</v>
      </c>
      <c r="AB280" s="43">
        <f t="shared" si="277"/>
        <v>375292</v>
      </c>
      <c r="AC280" s="43">
        <f t="shared" si="289"/>
        <v>2156.8505747126437</v>
      </c>
      <c r="AD280" s="42">
        <f t="shared" si="290"/>
        <v>0.12350168741520595</v>
      </c>
      <c r="AE280" s="365">
        <v>229360.7</v>
      </c>
      <c r="AF280" s="43">
        <f t="shared" si="278"/>
        <v>229360.7</v>
      </c>
      <c r="AG280" s="42">
        <f t="shared" si="291"/>
        <v>7.5478383436718158E-2</v>
      </c>
      <c r="AH280" s="42">
        <f>AE280/'Kennzahlen Revision'!F280</f>
        <v>6.4662972069831293E-2</v>
      </c>
      <c r="AI280" s="97">
        <f t="shared" si="292"/>
        <v>3.1308081871945059E-2</v>
      </c>
      <c r="AJ280" s="365">
        <v>344470.8</v>
      </c>
      <c r="AK280" s="43">
        <f>AJ280*'KiGa - PS'!$L281</f>
        <v>344470.8</v>
      </c>
      <c r="AL280" s="365">
        <v>0</v>
      </c>
      <c r="AM280" s="43">
        <f>AL280*'KiGa - PS'!$L281</f>
        <v>0</v>
      </c>
      <c r="AN280" s="97">
        <f>(AK280+AM280)/Funktional!E280</f>
        <v>0.11543498988040254</v>
      </c>
    </row>
    <row r="281" spans="1:40" x14ac:dyDescent="0.25">
      <c r="A281" t="str">
        <f>Funktional!A281</f>
        <v>Diessenhofen</v>
      </c>
      <c r="B281" t="str">
        <f>Funktional!B281</f>
        <v>OSG</v>
      </c>
      <c r="C281" s="43">
        <f>Funktional!D281</f>
        <v>263</v>
      </c>
      <c r="D281" s="43"/>
      <c r="E281" s="43">
        <f>Funktional!J281</f>
        <v>4616152.93</v>
      </c>
      <c r="F281" s="365">
        <v>3099766.45</v>
      </c>
      <c r="G281" s="43">
        <f t="shared" si="272"/>
        <v>3099766.45</v>
      </c>
      <c r="H281" s="42">
        <f t="shared" si="280"/>
        <v>0.67150428008025298</v>
      </c>
      <c r="I281" s="85">
        <f t="shared" si="281"/>
        <v>11786.184220532321</v>
      </c>
      <c r="J281" s="365">
        <v>675785</v>
      </c>
      <c r="K281" s="43">
        <f t="shared" si="273"/>
        <v>675785</v>
      </c>
      <c r="L281" s="42">
        <f t="shared" si="282"/>
        <v>0.14639571310736449</v>
      </c>
      <c r="M281" s="43">
        <f t="shared" si="283"/>
        <v>2569.5247148288972</v>
      </c>
      <c r="N281" s="365">
        <v>177998.5</v>
      </c>
      <c r="O281" s="43">
        <f t="shared" si="274"/>
        <v>177998.5</v>
      </c>
      <c r="P281" s="42">
        <f t="shared" si="284"/>
        <v>3.855992266703348E-2</v>
      </c>
      <c r="Q281" s="43">
        <f>O281/Funktional!C281</f>
        <v>10171.342857142858</v>
      </c>
      <c r="R281" s="85">
        <f t="shared" si="285"/>
        <v>676.80038022813687</v>
      </c>
      <c r="S281" s="365">
        <v>21245.55</v>
      </c>
      <c r="T281" s="365">
        <v>292319.53000000003</v>
      </c>
      <c r="U281" s="43">
        <f t="shared" si="275"/>
        <v>292319.53000000003</v>
      </c>
      <c r="V281" s="42">
        <f t="shared" si="286"/>
        <v>6.3325356510664829E-2</v>
      </c>
      <c r="W281" s="43">
        <f t="shared" si="287"/>
        <v>1111.4811026615971</v>
      </c>
      <c r="X281" s="365">
        <v>262500</v>
      </c>
      <c r="Y281" s="43">
        <f t="shared" si="276"/>
        <v>262500</v>
      </c>
      <c r="Z281" s="91">
        <f t="shared" si="288"/>
        <v>5.6865533698858634E-2</v>
      </c>
      <c r="AA281" s="365">
        <v>360855.6</v>
      </c>
      <c r="AB281" s="43">
        <f t="shared" si="277"/>
        <v>360855.6</v>
      </c>
      <c r="AC281" s="43">
        <f t="shared" si="289"/>
        <v>1372.0745247148288</v>
      </c>
      <c r="AD281" s="42">
        <f t="shared" si="290"/>
        <v>7.8172366789416567E-2</v>
      </c>
      <c r="AE281" s="365">
        <v>319997</v>
      </c>
      <c r="AF281" s="43">
        <f t="shared" si="278"/>
        <v>319997</v>
      </c>
      <c r="AG281" s="42">
        <f t="shared" si="291"/>
        <v>6.9321143569652063E-2</v>
      </c>
      <c r="AH281" s="42">
        <f>AE281/'Kennzahlen Revision'!F281</f>
        <v>5.2492182405416768E-2</v>
      </c>
      <c r="AI281" s="97">
        <f t="shared" si="292"/>
        <v>4.0602283512301135E-2</v>
      </c>
      <c r="AJ281" s="365">
        <v>346160.85</v>
      </c>
      <c r="AK281" s="43">
        <f>AJ281*'KiGa - PS'!$L282</f>
        <v>346160.85</v>
      </c>
      <c r="AL281" s="365">
        <v>0</v>
      </c>
      <c r="AM281" s="43">
        <f>AL281*'KiGa - PS'!$L282</f>
        <v>0</v>
      </c>
      <c r="AN281" s="97">
        <f>(AK281+AM281)/Funktional!E281</f>
        <v>7.5418179827876908E-2</v>
      </c>
    </row>
    <row r="282" spans="1:40" x14ac:dyDescent="0.25">
      <c r="A282" t="str">
        <f>Funktional!A282</f>
        <v>Dozwil-Kesswil-Uttwil</v>
      </c>
      <c r="B282" t="str">
        <f>Funktional!B282</f>
        <v>OSG</v>
      </c>
      <c r="C282" s="43">
        <f>Funktional!D282</f>
        <v>107</v>
      </c>
      <c r="D282" s="43"/>
      <c r="E282" s="43">
        <f>Funktional!J282</f>
        <v>1804684</v>
      </c>
      <c r="F282" s="365">
        <v>1106189.1000000001</v>
      </c>
      <c r="G282" s="43">
        <f t="shared" si="272"/>
        <v>1106189.1000000001</v>
      </c>
      <c r="H282" s="42">
        <f t="shared" si="280"/>
        <v>0.61295445629262524</v>
      </c>
      <c r="I282" s="85">
        <f t="shared" si="281"/>
        <v>10338.215887850469</v>
      </c>
      <c r="J282" s="365">
        <v>278502.45</v>
      </c>
      <c r="K282" s="43">
        <f t="shared" si="273"/>
        <v>278502.45</v>
      </c>
      <c r="L282" s="42">
        <f t="shared" si="282"/>
        <v>0.15432200318726161</v>
      </c>
      <c r="M282" s="43">
        <f t="shared" si="283"/>
        <v>2602.826635514019</v>
      </c>
      <c r="N282" s="365">
        <v>66704.25</v>
      </c>
      <c r="O282" s="43">
        <f t="shared" si="274"/>
        <v>66704.25</v>
      </c>
      <c r="P282" s="42">
        <f t="shared" si="284"/>
        <v>3.6961734021025289E-2</v>
      </c>
      <c r="Q282" s="43">
        <f>O282/Funktional!C282</f>
        <v>13340.85</v>
      </c>
      <c r="R282" s="85">
        <f t="shared" si="285"/>
        <v>623.40420560747668</v>
      </c>
      <c r="S282" s="365">
        <v>26633.599999999999</v>
      </c>
      <c r="T282" s="365">
        <v>93127.3</v>
      </c>
      <c r="U282" s="43">
        <f t="shared" si="275"/>
        <v>93127.3</v>
      </c>
      <c r="V282" s="42">
        <f t="shared" si="286"/>
        <v>5.1603106139357362E-2</v>
      </c>
      <c r="W282" s="43">
        <f t="shared" si="287"/>
        <v>870.3485981308412</v>
      </c>
      <c r="X282" s="365">
        <v>92540.3</v>
      </c>
      <c r="Y282" s="43">
        <f t="shared" si="276"/>
        <v>92540.3</v>
      </c>
      <c r="Z282" s="91">
        <f t="shared" si="288"/>
        <v>5.1277841439276904E-2</v>
      </c>
      <c r="AA282" s="365">
        <v>229880.7</v>
      </c>
      <c r="AB282" s="43">
        <f t="shared" si="277"/>
        <v>229880.7</v>
      </c>
      <c r="AC282" s="43">
        <f t="shared" si="289"/>
        <v>2148.4177570093457</v>
      </c>
      <c r="AD282" s="42">
        <f t="shared" si="290"/>
        <v>0.12738002885823779</v>
      </c>
      <c r="AE282" s="365">
        <v>213779</v>
      </c>
      <c r="AF282" s="43">
        <f t="shared" si="278"/>
        <v>213779</v>
      </c>
      <c r="AG282" s="42">
        <f t="shared" si="291"/>
        <v>0.1184578574420785</v>
      </c>
      <c r="AH282" s="42">
        <f>AE282/'Kennzahlen Revision'!F282</f>
        <v>6.2496019616673788E-2</v>
      </c>
      <c r="AI282" s="97">
        <f t="shared" si="292"/>
        <v>5.3740405522517992E-2</v>
      </c>
      <c r="AJ282" s="365">
        <v>68401.399999999994</v>
      </c>
      <c r="AK282" s="43">
        <f>AJ282*'KiGa - PS'!$L283</f>
        <v>68401.399999999994</v>
      </c>
      <c r="AL282" s="365">
        <v>0</v>
      </c>
      <c r="AM282" s="43">
        <f>AL282*'KiGa - PS'!$L283</f>
        <v>0</v>
      </c>
      <c r="AN282" s="97">
        <f>(AK282+AM282)/Funktional!E282</f>
        <v>3.9387086142832782E-2</v>
      </c>
    </row>
    <row r="283" spans="1:40" x14ac:dyDescent="0.25">
      <c r="A283" t="str">
        <f>Funktional!A283</f>
        <v>Ermatingen</v>
      </c>
      <c r="B283" t="str">
        <f>Funktional!B283</f>
        <v>OSG</v>
      </c>
      <c r="C283" s="43">
        <f>Funktional!D283</f>
        <v>122</v>
      </c>
      <c r="D283" s="43"/>
      <c r="E283" s="43">
        <f>Funktional!J283</f>
        <v>2478487.19</v>
      </c>
      <c r="F283" s="365">
        <v>1307171.8</v>
      </c>
      <c r="G283" s="43">
        <f t="shared" si="272"/>
        <v>1307171.8</v>
      </c>
      <c r="H283" s="42">
        <f t="shared" si="280"/>
        <v>0.52740712369790388</v>
      </c>
      <c r="I283" s="85">
        <f t="shared" si="281"/>
        <v>10714.522950819672</v>
      </c>
      <c r="J283" s="365">
        <v>422657.33</v>
      </c>
      <c r="K283" s="43">
        <f t="shared" si="273"/>
        <v>422657.33</v>
      </c>
      <c r="L283" s="42">
        <f t="shared" si="282"/>
        <v>0.17053036695339951</v>
      </c>
      <c r="M283" s="43">
        <f t="shared" si="283"/>
        <v>3464.4043442622951</v>
      </c>
      <c r="N283" s="365">
        <v>74699.23</v>
      </c>
      <c r="O283" s="43">
        <f t="shared" si="274"/>
        <v>74699.23</v>
      </c>
      <c r="P283" s="42">
        <f t="shared" si="284"/>
        <v>3.0139042195332064E-2</v>
      </c>
      <c r="Q283" s="43">
        <f>O283/Funktional!C283</f>
        <v>12449.871666666666</v>
      </c>
      <c r="R283" s="85">
        <f t="shared" si="285"/>
        <v>612.28877049180323</v>
      </c>
      <c r="S283" s="365">
        <v>19074.05</v>
      </c>
      <c r="T283" s="365">
        <v>199960.35</v>
      </c>
      <c r="U283" s="43">
        <f t="shared" si="275"/>
        <v>199960.35</v>
      </c>
      <c r="V283" s="42">
        <f t="shared" si="286"/>
        <v>8.0678387528805434E-2</v>
      </c>
      <c r="W283" s="43">
        <f t="shared" si="287"/>
        <v>1639.0192622950819</v>
      </c>
      <c r="X283" s="365">
        <v>199960.35</v>
      </c>
      <c r="Y283" s="43">
        <f t="shared" si="276"/>
        <v>199960.35</v>
      </c>
      <c r="Z283" s="91">
        <f t="shared" si="288"/>
        <v>8.0678387528805434E-2</v>
      </c>
      <c r="AA283" s="365">
        <v>501290.06</v>
      </c>
      <c r="AB283" s="43">
        <f t="shared" si="277"/>
        <v>501290.06</v>
      </c>
      <c r="AC283" s="43">
        <f t="shared" si="289"/>
        <v>4108.9349180327872</v>
      </c>
      <c r="AD283" s="42">
        <f t="shared" si="290"/>
        <v>0.20225646596946906</v>
      </c>
      <c r="AE283" s="365">
        <v>477200</v>
      </c>
      <c r="AF283" s="43">
        <f t="shared" si="278"/>
        <v>477200</v>
      </c>
      <c r="AG283" s="42">
        <f t="shared" si="291"/>
        <v>0.19253680306493737</v>
      </c>
      <c r="AH283" s="42">
        <f>AE283/'Kennzahlen Revision'!F283</f>
        <v>9.0452830715840316E-2</v>
      </c>
      <c r="AI283" s="97">
        <f t="shared" si="292"/>
        <v>1.9127655850422115E-2</v>
      </c>
      <c r="AJ283" s="365">
        <v>26371.9</v>
      </c>
      <c r="AK283" s="43">
        <f>AJ283*'KiGa - PS'!$L284</f>
        <v>26371.9</v>
      </c>
      <c r="AL283" s="365">
        <v>0</v>
      </c>
      <c r="AM283" s="43">
        <f>AL283*'KiGa - PS'!$L284</f>
        <v>0</v>
      </c>
      <c r="AN283" s="97">
        <f>(AK283+AM283)/Funktional!E283</f>
        <v>1.138054127374874E-2</v>
      </c>
    </row>
    <row r="284" spans="1:40" x14ac:dyDescent="0.25">
      <c r="A284" t="str">
        <f>Funktional!A284</f>
        <v>Eschenz</v>
      </c>
      <c r="B284" t="str">
        <f>Funktional!B284</f>
        <v>OSG</v>
      </c>
      <c r="C284" s="43">
        <f>Funktional!D284</f>
        <v>139</v>
      </c>
      <c r="D284" s="43"/>
      <c r="E284" s="43">
        <f>Funktional!J284</f>
        <v>2121547</v>
      </c>
      <c r="F284" s="365">
        <v>1278950.8</v>
      </c>
      <c r="G284" s="43">
        <f t="shared" si="272"/>
        <v>1278950.8</v>
      </c>
      <c r="H284" s="42">
        <f t="shared" si="280"/>
        <v>0.6028387775524181</v>
      </c>
      <c r="I284" s="85">
        <f t="shared" si="281"/>
        <v>9201.0848920863318</v>
      </c>
      <c r="J284" s="365">
        <v>249364.15</v>
      </c>
      <c r="K284" s="43">
        <f t="shared" si="273"/>
        <v>249364.15</v>
      </c>
      <c r="L284" s="42">
        <f t="shared" si="282"/>
        <v>0.11753882897715676</v>
      </c>
      <c r="M284" s="43">
        <f t="shared" si="283"/>
        <v>1793.986690647482</v>
      </c>
      <c r="N284" s="365">
        <v>93941.3</v>
      </c>
      <c r="O284" s="43">
        <f t="shared" si="274"/>
        <v>93941.3</v>
      </c>
      <c r="P284" s="42">
        <f t="shared" si="284"/>
        <v>4.4279622369902717E-2</v>
      </c>
      <c r="Q284" s="43">
        <f>O284/Funktional!C284</f>
        <v>13420.185714285715</v>
      </c>
      <c r="R284" s="85">
        <f t="shared" si="285"/>
        <v>675.83669064748199</v>
      </c>
      <c r="S284" s="365">
        <v>25872.45</v>
      </c>
      <c r="T284" s="365">
        <v>227907.85</v>
      </c>
      <c r="U284" s="43">
        <f t="shared" si="275"/>
        <v>227907.85</v>
      </c>
      <c r="V284" s="42">
        <f t="shared" si="286"/>
        <v>0.10742531275526773</v>
      </c>
      <c r="W284" s="43">
        <f t="shared" si="287"/>
        <v>1639.624820143885</v>
      </c>
      <c r="X284" s="365">
        <v>227180.55</v>
      </c>
      <c r="Y284" s="43">
        <f t="shared" si="276"/>
        <v>227180.55</v>
      </c>
      <c r="Z284" s="91">
        <f t="shared" si="288"/>
        <v>0.10708249687610032</v>
      </c>
      <c r="AA284" s="365">
        <v>258211.05</v>
      </c>
      <c r="AB284" s="43">
        <f t="shared" si="277"/>
        <v>258211.05</v>
      </c>
      <c r="AC284" s="43">
        <f t="shared" si="289"/>
        <v>1857.6334532374101</v>
      </c>
      <c r="AD284" s="42">
        <f t="shared" si="290"/>
        <v>0.12170885207822404</v>
      </c>
      <c r="AE284" s="365">
        <v>232047</v>
      </c>
      <c r="AF284" s="43">
        <f t="shared" si="278"/>
        <v>232047</v>
      </c>
      <c r="AG284" s="42">
        <f t="shared" si="291"/>
        <v>0.10937631831866086</v>
      </c>
      <c r="AH284" s="42">
        <f>AE284/'Kennzahlen Revision'!F284</f>
        <v>6.0164341392624554E-2</v>
      </c>
      <c r="AI284" s="97">
        <f t="shared" si="292"/>
        <v>5.0488228636933391E-2</v>
      </c>
      <c r="AJ284" s="365">
        <v>350949.65</v>
      </c>
      <c r="AK284" s="43">
        <f>AJ284*'KiGa - PS'!$L285</f>
        <v>350949.65</v>
      </c>
      <c r="AL284" s="365">
        <v>0</v>
      </c>
      <c r="AM284" s="43">
        <f>AL284*'KiGa - PS'!$L285</f>
        <v>0</v>
      </c>
      <c r="AN284" s="97">
        <f>(AK284+AM284)/Funktional!E284</f>
        <v>0.17211762342279202</v>
      </c>
    </row>
    <row r="285" spans="1:40" x14ac:dyDescent="0.25">
      <c r="A285" t="str">
        <f>Funktional!A285</f>
        <v>Fischingen</v>
      </c>
      <c r="B285" t="str">
        <f>Funktional!B285</f>
        <v>OSG</v>
      </c>
      <c r="C285" s="43">
        <f>Funktional!D285</f>
        <v>138</v>
      </c>
      <c r="D285" s="43"/>
      <c r="E285" s="43">
        <f>Funktional!J285</f>
        <v>2436223.5499999998</v>
      </c>
      <c r="F285" s="365">
        <v>1633795.35</v>
      </c>
      <c r="G285" s="43">
        <f t="shared" si="272"/>
        <v>1633795.35</v>
      </c>
      <c r="H285" s="42">
        <f t="shared" si="280"/>
        <v>0.67062620341224444</v>
      </c>
      <c r="I285" s="85">
        <f t="shared" si="281"/>
        <v>11839.096739130435</v>
      </c>
      <c r="J285" s="365">
        <v>419435.25</v>
      </c>
      <c r="K285" s="43">
        <f t="shared" si="273"/>
        <v>419435.25</v>
      </c>
      <c r="L285" s="42">
        <f t="shared" si="282"/>
        <v>0.17216615856126999</v>
      </c>
      <c r="M285" s="43">
        <f t="shared" si="283"/>
        <v>3039.3858695652175</v>
      </c>
      <c r="N285" s="365">
        <v>57778.9</v>
      </c>
      <c r="O285" s="43">
        <f t="shared" si="274"/>
        <v>57778.9</v>
      </c>
      <c r="P285" s="42">
        <f t="shared" si="284"/>
        <v>2.3716583808575369E-2</v>
      </c>
      <c r="Q285" s="43">
        <f>O285/Funktional!C285</f>
        <v>7222.3625000000002</v>
      </c>
      <c r="R285" s="85">
        <f t="shared" si="285"/>
        <v>418.68768115942032</v>
      </c>
      <c r="S285" s="365">
        <v>77753.8</v>
      </c>
      <c r="T285" s="365">
        <v>104152.25</v>
      </c>
      <c r="U285" s="43">
        <f t="shared" si="275"/>
        <v>104152.25</v>
      </c>
      <c r="V285" s="42">
        <f t="shared" si="286"/>
        <v>4.2751515968228779E-2</v>
      </c>
      <c r="W285" s="43">
        <f t="shared" si="287"/>
        <v>754.72644927536237</v>
      </c>
      <c r="X285" s="365">
        <v>97453.75</v>
      </c>
      <c r="Y285" s="43">
        <f t="shared" si="276"/>
        <v>97453.75</v>
      </c>
      <c r="Z285" s="91">
        <f t="shared" si="288"/>
        <v>4.0001973546311055E-2</v>
      </c>
      <c r="AA285" s="365">
        <v>179608.1</v>
      </c>
      <c r="AB285" s="43">
        <f t="shared" si="277"/>
        <v>179608.1</v>
      </c>
      <c r="AC285" s="43">
        <f t="shared" si="289"/>
        <v>1301.5079710144928</v>
      </c>
      <c r="AD285" s="42">
        <f t="shared" si="290"/>
        <v>7.37239815287066E-2</v>
      </c>
      <c r="AE285" s="365">
        <v>158969.04999999999</v>
      </c>
      <c r="AF285" s="43">
        <f t="shared" si="278"/>
        <v>158969.04999999999</v>
      </c>
      <c r="AG285" s="42">
        <f t="shared" si="291"/>
        <v>6.5252242553849385E-2</v>
      </c>
      <c r="AH285" s="42">
        <f>AE285/'Kennzahlen Revision'!F285</f>
        <v>6.3665962239855378E-2</v>
      </c>
      <c r="AI285" s="97">
        <f t="shared" si="292"/>
        <v>4.0732140529550195E-2</v>
      </c>
      <c r="AJ285" s="365">
        <v>774691.25</v>
      </c>
      <c r="AK285" s="43">
        <f>AJ285*'KiGa - PS'!$L286</f>
        <v>774691.25</v>
      </c>
      <c r="AL285" s="365">
        <v>0</v>
      </c>
      <c r="AM285" s="43">
        <f>AL285*'KiGa - PS'!$L286</f>
        <v>0</v>
      </c>
      <c r="AN285" s="97">
        <f>(AK285+AM285)/Funktional!E285</f>
        <v>0.32713849942953871</v>
      </c>
    </row>
    <row r="286" spans="1:40" x14ac:dyDescent="0.25">
      <c r="A286" t="str">
        <f>Funktional!A286</f>
        <v>Frauenfeld</v>
      </c>
      <c r="B286" t="str">
        <f>Funktional!B286</f>
        <v>OSG</v>
      </c>
      <c r="C286" s="43">
        <f>Funktional!D286</f>
        <v>1180</v>
      </c>
      <c r="D286" s="43"/>
      <c r="E286" s="43">
        <f>Funktional!J286</f>
        <v>17180095.75</v>
      </c>
      <c r="F286" s="365">
        <v>11257636.35</v>
      </c>
      <c r="G286" s="43">
        <f t="shared" si="272"/>
        <v>11257636.35</v>
      </c>
      <c r="H286" s="42">
        <f t="shared" si="280"/>
        <v>0.65527203770095399</v>
      </c>
      <c r="I286" s="85">
        <f t="shared" si="281"/>
        <v>9540.3697881355929</v>
      </c>
      <c r="J286" s="365">
        <v>2280587.85</v>
      </c>
      <c r="K286" s="43">
        <f t="shared" si="273"/>
        <v>2280587.85</v>
      </c>
      <c r="L286" s="42">
        <f t="shared" si="282"/>
        <v>0.1327459336191418</v>
      </c>
      <c r="M286" s="43">
        <f t="shared" si="283"/>
        <v>1932.7015677966103</v>
      </c>
      <c r="N286" s="365">
        <v>788269.8</v>
      </c>
      <c r="O286" s="43">
        <f t="shared" si="274"/>
        <v>788269.8</v>
      </c>
      <c r="P286" s="42">
        <f t="shared" si="284"/>
        <v>4.5882736130850726E-2</v>
      </c>
      <c r="Q286" s="43">
        <f>O286/Funktional!C286</f>
        <v>14332.178181818183</v>
      </c>
      <c r="R286" s="85">
        <f t="shared" si="285"/>
        <v>668.02525423728821</v>
      </c>
      <c r="S286" s="365">
        <v>151189.15</v>
      </c>
      <c r="T286" s="365">
        <v>1172051.1000000001</v>
      </c>
      <c r="U286" s="43">
        <f t="shared" si="275"/>
        <v>1172051.1000000001</v>
      </c>
      <c r="V286" s="42">
        <f t="shared" si="286"/>
        <v>6.8221453305928173E-2</v>
      </c>
      <c r="W286" s="43">
        <f t="shared" si="287"/>
        <v>993.26364406779669</v>
      </c>
      <c r="X286" s="365">
        <v>1142338.8500000001</v>
      </c>
      <c r="Y286" s="43">
        <f t="shared" si="276"/>
        <v>1142338.8500000001</v>
      </c>
      <c r="Z286" s="91">
        <f t="shared" si="288"/>
        <v>6.6491995540828117E-2</v>
      </c>
      <c r="AA286" s="365">
        <v>1983759.3</v>
      </c>
      <c r="AB286" s="43">
        <f t="shared" si="277"/>
        <v>1983759.3</v>
      </c>
      <c r="AC286" s="43">
        <f t="shared" si="289"/>
        <v>1681.1519491525423</v>
      </c>
      <c r="AD286" s="42">
        <f t="shared" si="290"/>
        <v>0.11546846588442326</v>
      </c>
      <c r="AE286" s="365">
        <v>1805551</v>
      </c>
      <c r="AF286" s="43">
        <f t="shared" si="278"/>
        <v>1805551</v>
      </c>
      <c r="AG286" s="42">
        <f t="shared" si="291"/>
        <v>0.1050955143832653</v>
      </c>
      <c r="AH286" s="42">
        <f>AE286/'Kennzahlen Revision'!F286</f>
        <v>9.3110434984400386E-2</v>
      </c>
      <c r="AI286" s="97">
        <f t="shared" si="292"/>
        <v>2.8292109489552755E-2</v>
      </c>
      <c r="AJ286" s="365">
        <v>813351.3</v>
      </c>
      <c r="AK286" s="43">
        <f>AJ286*'KiGa - PS'!$L287</f>
        <v>813351.3</v>
      </c>
      <c r="AL286" s="365">
        <v>0</v>
      </c>
      <c r="AM286" s="43">
        <f>AL286*'KiGa - PS'!$L287</f>
        <v>0</v>
      </c>
      <c r="AN286" s="97">
        <f>(AK286+AM286)/Funktional!E286</f>
        <v>4.7746769502678671E-2</v>
      </c>
    </row>
    <row r="287" spans="1:40" x14ac:dyDescent="0.25">
      <c r="A287" t="str">
        <f>Funktional!A287</f>
        <v>Halingen</v>
      </c>
      <c r="B287" t="str">
        <f>Funktional!B287</f>
        <v>OSG</v>
      </c>
      <c r="C287" s="43">
        <f>Funktional!D287</f>
        <v>188</v>
      </c>
      <c r="D287" s="43"/>
      <c r="E287" s="43">
        <f>Funktional!J287</f>
        <v>3161906.55</v>
      </c>
      <c r="F287" s="365">
        <v>2019574.7</v>
      </c>
      <c r="G287" s="43">
        <f t="shared" si="272"/>
        <v>2019574.7</v>
      </c>
      <c r="H287" s="42">
        <f t="shared" si="280"/>
        <v>0.63872055295245844</v>
      </c>
      <c r="I287" s="85">
        <f t="shared" si="281"/>
        <v>10742.418617021276</v>
      </c>
      <c r="J287" s="365">
        <v>313767.75</v>
      </c>
      <c r="K287" s="43">
        <f t="shared" si="273"/>
        <v>313767.75</v>
      </c>
      <c r="L287" s="42">
        <f t="shared" si="282"/>
        <v>9.9233720237557305E-2</v>
      </c>
      <c r="M287" s="43">
        <f t="shared" si="283"/>
        <v>1668.9773936170213</v>
      </c>
      <c r="N287" s="365">
        <v>101025.5</v>
      </c>
      <c r="O287" s="43">
        <f t="shared" si="274"/>
        <v>101025.5</v>
      </c>
      <c r="P287" s="42">
        <f t="shared" si="284"/>
        <v>3.1950817774801098E-2</v>
      </c>
      <c r="Q287" s="43">
        <f>O287/Funktional!C287</f>
        <v>11225.055555555555</v>
      </c>
      <c r="R287" s="85">
        <f t="shared" si="285"/>
        <v>537.36968085106378</v>
      </c>
      <c r="S287" s="365">
        <v>29758.25</v>
      </c>
      <c r="T287" s="365">
        <v>212697.9</v>
      </c>
      <c r="U287" s="43">
        <f t="shared" si="275"/>
        <v>212697.9</v>
      </c>
      <c r="V287" s="42">
        <f t="shared" si="286"/>
        <v>6.7268876115266593E-2</v>
      </c>
      <c r="W287" s="43">
        <f t="shared" si="287"/>
        <v>1131.3718085106382</v>
      </c>
      <c r="X287" s="365">
        <v>207518.9</v>
      </c>
      <c r="Y287" s="43">
        <f t="shared" si="276"/>
        <v>207518.9</v>
      </c>
      <c r="Z287" s="91">
        <f t="shared" si="288"/>
        <v>6.5630940294551091E-2</v>
      </c>
      <c r="AA287" s="365">
        <v>434496.95</v>
      </c>
      <c r="AB287" s="43">
        <f t="shared" si="277"/>
        <v>434496.95</v>
      </c>
      <c r="AC287" s="43">
        <f t="shared" si="289"/>
        <v>2311.1539893617023</v>
      </c>
      <c r="AD287" s="42">
        <f t="shared" si="290"/>
        <v>0.13741612635579001</v>
      </c>
      <c r="AE287" s="365">
        <v>400000</v>
      </c>
      <c r="AF287" s="43">
        <f t="shared" si="278"/>
        <v>400000</v>
      </c>
      <c r="AG287" s="42">
        <f t="shared" si="291"/>
        <v>0.1265059525557452</v>
      </c>
      <c r="AH287" s="42">
        <f>AE287/'Kennzahlen Revision'!F287</f>
        <v>6.2911124196624937E-2</v>
      </c>
      <c r="AI287" s="97">
        <f t="shared" si="292"/>
        <v>5.7360724338927666E-2</v>
      </c>
      <c r="AJ287" s="365">
        <v>342247</v>
      </c>
      <c r="AK287" s="43">
        <f>AJ287*'KiGa - PS'!$L288</f>
        <v>342247</v>
      </c>
      <c r="AL287" s="365">
        <v>0</v>
      </c>
      <c r="AM287" s="43">
        <f>AL287*'KiGa - PS'!$L288</f>
        <v>0</v>
      </c>
      <c r="AN287" s="97">
        <f>(AK287+AM287)/Funktional!E287</f>
        <v>0.11327742923218115</v>
      </c>
    </row>
    <row r="288" spans="1:40" x14ac:dyDescent="0.25">
      <c r="A288" t="str">
        <f>Funktional!A288</f>
        <v>Hüttwilen</v>
      </c>
      <c r="B288" t="str">
        <f>Funktional!B288</f>
        <v>OSG</v>
      </c>
      <c r="C288" s="43">
        <f>Funktional!D288</f>
        <v>183</v>
      </c>
      <c r="D288" s="43"/>
      <c r="E288" s="43">
        <f>Funktional!J288</f>
        <v>2389795</v>
      </c>
      <c r="F288" s="365">
        <v>1638080.1</v>
      </c>
      <c r="G288" s="43">
        <f t="shared" si="272"/>
        <v>1638080.1</v>
      </c>
      <c r="H288" s="42">
        <f t="shared" si="280"/>
        <v>0.68544795683311754</v>
      </c>
      <c r="I288" s="85">
        <f t="shared" si="281"/>
        <v>8951.2573770491817</v>
      </c>
      <c r="J288" s="365">
        <v>272340.7</v>
      </c>
      <c r="K288" s="43">
        <f t="shared" si="273"/>
        <v>272340.7</v>
      </c>
      <c r="L288" s="42">
        <f t="shared" si="282"/>
        <v>0.11395985848158524</v>
      </c>
      <c r="M288" s="43">
        <f t="shared" si="283"/>
        <v>1488.2005464480876</v>
      </c>
      <c r="N288" s="365">
        <v>123585.35</v>
      </c>
      <c r="O288" s="43">
        <f t="shared" si="274"/>
        <v>123585.35</v>
      </c>
      <c r="P288" s="42">
        <f t="shared" si="284"/>
        <v>5.1713787165844773E-2</v>
      </c>
      <c r="Q288" s="43">
        <f>O288/Funktional!C288</f>
        <v>13731.705555555556</v>
      </c>
      <c r="R288" s="85">
        <f t="shared" si="285"/>
        <v>675.32978142076502</v>
      </c>
      <c r="S288" s="365">
        <v>17523.7</v>
      </c>
      <c r="T288" s="365">
        <v>122665.60000000001</v>
      </c>
      <c r="U288" s="43">
        <f t="shared" si="275"/>
        <v>122665.60000000001</v>
      </c>
      <c r="V288" s="42">
        <f t="shared" si="286"/>
        <v>5.1328921518372921E-2</v>
      </c>
      <c r="W288" s="43">
        <f t="shared" si="287"/>
        <v>670.30382513661209</v>
      </c>
      <c r="X288" s="365">
        <v>119056.25</v>
      </c>
      <c r="Y288" s="43">
        <f t="shared" si="276"/>
        <v>119056.25</v>
      </c>
      <c r="Z288" s="91">
        <f t="shared" si="288"/>
        <v>4.9818603687764015E-2</v>
      </c>
      <c r="AA288" s="365">
        <v>251955.35</v>
      </c>
      <c r="AB288" s="43">
        <f t="shared" si="277"/>
        <v>251955.35</v>
      </c>
      <c r="AC288" s="43">
        <f t="shared" si="289"/>
        <v>1376.8051912568305</v>
      </c>
      <c r="AD288" s="42">
        <f t="shared" si="290"/>
        <v>0.10542969166811379</v>
      </c>
      <c r="AE288" s="365">
        <v>249891.95</v>
      </c>
      <c r="AF288" s="43">
        <f t="shared" si="278"/>
        <v>249891.95</v>
      </c>
      <c r="AG288" s="42">
        <f t="shared" si="291"/>
        <v>0.10456627032862652</v>
      </c>
      <c r="AH288" s="42">
        <f>AE288/'Kennzahlen Revision'!F288</f>
        <v>7.0459561140370747E-2</v>
      </c>
      <c r="AI288" s="97">
        <f t="shared" si="292"/>
        <v>4.3833571498810495E-2</v>
      </c>
      <c r="AJ288" s="365">
        <v>266264.55</v>
      </c>
      <c r="AK288" s="43">
        <f>AJ288*'KiGa - PS'!$L289</f>
        <v>266264.55</v>
      </c>
      <c r="AL288" s="365">
        <v>0</v>
      </c>
      <c r="AM288" s="43">
        <f>AL288*'KiGa - PS'!$L289</f>
        <v>0</v>
      </c>
      <c r="AN288" s="97">
        <f>(AK288+AM288)/Funktional!E288</f>
        <v>0.11481755215844017</v>
      </c>
    </row>
    <row r="289" spans="1:41" x14ac:dyDescent="0.25">
      <c r="A289" t="str">
        <f>Funktional!A289</f>
        <v>Kreuzlingen</v>
      </c>
      <c r="B289" t="str">
        <f>Funktional!B289</f>
        <v>OSG</v>
      </c>
      <c r="C289" s="43">
        <f>Funktional!D289</f>
        <v>697</v>
      </c>
      <c r="D289" s="43"/>
      <c r="E289" s="43">
        <f>Funktional!J289</f>
        <v>19247691.239999998</v>
      </c>
      <c r="F289" s="365">
        <v>8202124.7000000002</v>
      </c>
      <c r="G289" s="43">
        <f t="shared" si="272"/>
        <v>8202124.7000000002</v>
      </c>
      <c r="H289" s="42">
        <f t="shared" si="280"/>
        <v>0.42613550881128959</v>
      </c>
      <c r="I289" s="85">
        <f t="shared" si="281"/>
        <v>11767.754232424677</v>
      </c>
      <c r="J289" s="365">
        <v>2174409.2400000002</v>
      </c>
      <c r="K289" s="43">
        <f t="shared" si="273"/>
        <v>2174409.2400000002</v>
      </c>
      <c r="L289" s="42">
        <f t="shared" si="282"/>
        <v>0.11296987326361541</v>
      </c>
      <c r="M289" s="43">
        <f t="shared" si="283"/>
        <v>3119.6689239598281</v>
      </c>
      <c r="N289" s="365">
        <v>546728.01</v>
      </c>
      <c r="O289" s="43">
        <f t="shared" si="274"/>
        <v>546728.01</v>
      </c>
      <c r="P289" s="42">
        <f t="shared" si="284"/>
        <v>2.8404861818637529E-2</v>
      </c>
      <c r="Q289" s="43">
        <f>O289/Funktional!C289</f>
        <v>12425.636590909091</v>
      </c>
      <c r="R289" s="85">
        <f t="shared" si="285"/>
        <v>784.40173601147774</v>
      </c>
      <c r="S289" s="365">
        <v>306878.25</v>
      </c>
      <c r="T289" s="365">
        <v>507439.4</v>
      </c>
      <c r="U289" s="43">
        <f t="shared" si="275"/>
        <v>507439.4</v>
      </c>
      <c r="V289" s="42">
        <f t="shared" si="286"/>
        <v>2.6363650251488555E-2</v>
      </c>
      <c r="W289" s="43">
        <f t="shared" si="287"/>
        <v>728.03357245337168</v>
      </c>
      <c r="X289" s="365">
        <v>495493.75</v>
      </c>
      <c r="Y289" s="43">
        <f t="shared" si="276"/>
        <v>495493.75</v>
      </c>
      <c r="Z289" s="91">
        <f t="shared" si="288"/>
        <v>2.5743022569391552E-2</v>
      </c>
      <c r="AA289" s="365">
        <v>6162576.4000000004</v>
      </c>
      <c r="AB289" s="43">
        <f t="shared" si="277"/>
        <v>6162576.4000000004</v>
      </c>
      <c r="AC289" s="43">
        <f t="shared" si="289"/>
        <v>8841.5730272596847</v>
      </c>
      <c r="AD289" s="42">
        <f t="shared" si="290"/>
        <v>0.32017223900563779</v>
      </c>
      <c r="AE289" s="365">
        <v>6038066.6500000004</v>
      </c>
      <c r="AF289" s="43">
        <f t="shared" si="278"/>
        <v>6038066.6500000004</v>
      </c>
      <c r="AG289" s="42">
        <f t="shared" si="291"/>
        <v>0.31370342420351505</v>
      </c>
      <c r="AH289" s="42">
        <f>AE289/'Kennzahlen Revision'!F289</f>
        <v>1.0295080291532723</v>
      </c>
      <c r="AI289" s="97">
        <f t="shared" si="292"/>
        <v>0.11435872866796865</v>
      </c>
      <c r="AJ289" s="365">
        <v>557897.1</v>
      </c>
      <c r="AK289" s="43">
        <f>AJ289*'KiGa - PS'!$L290</f>
        <v>557897.1</v>
      </c>
      <c r="AL289" s="365">
        <v>0</v>
      </c>
      <c r="AM289" s="43">
        <f>AL289*'KiGa - PS'!$L290</f>
        <v>0</v>
      </c>
      <c r="AN289" s="97">
        <f>(AK289+AM289)/Funktional!E289</f>
        <v>2.8985580073824395E-2</v>
      </c>
    </row>
    <row r="290" spans="1:41" x14ac:dyDescent="0.25">
      <c r="A290" t="str">
        <f>Funktional!A290</f>
        <v>Müllheim</v>
      </c>
      <c r="B290" t="str">
        <f>Funktional!B290</f>
        <v>OSG</v>
      </c>
      <c r="C290" s="43">
        <f>Funktional!D290</f>
        <v>243</v>
      </c>
      <c r="D290" s="43"/>
      <c r="E290" s="43">
        <f>Funktional!J290</f>
        <v>3807776.85</v>
      </c>
      <c r="F290" s="365">
        <v>2198511.65</v>
      </c>
      <c r="G290" s="43">
        <f t="shared" si="272"/>
        <v>2198511.65</v>
      </c>
      <c r="H290" s="42">
        <f t="shared" si="280"/>
        <v>0.57737407852563627</v>
      </c>
      <c r="I290" s="85">
        <f t="shared" si="281"/>
        <v>9047.3730452674899</v>
      </c>
      <c r="J290" s="365">
        <v>473821.35</v>
      </c>
      <c r="K290" s="43">
        <f t="shared" si="273"/>
        <v>473821.35</v>
      </c>
      <c r="L290" s="42">
        <f t="shared" si="282"/>
        <v>0.12443516746523631</v>
      </c>
      <c r="M290" s="43">
        <f t="shared" si="283"/>
        <v>1949.8820987654319</v>
      </c>
      <c r="N290" s="365">
        <v>137794.20000000001</v>
      </c>
      <c r="O290" s="43">
        <f t="shared" si="274"/>
        <v>137794.20000000001</v>
      </c>
      <c r="P290" s="42">
        <f t="shared" si="284"/>
        <v>3.6187572283811746E-2</v>
      </c>
      <c r="Q290" s="43">
        <f>O290/Funktional!C290</f>
        <v>11482.85</v>
      </c>
      <c r="R290" s="85">
        <f t="shared" si="285"/>
        <v>567.05432098765436</v>
      </c>
      <c r="S290" s="365">
        <v>43458.05</v>
      </c>
      <c r="T290" s="365">
        <v>433603.7</v>
      </c>
      <c r="U290" s="43">
        <f t="shared" si="275"/>
        <v>433603.7</v>
      </c>
      <c r="V290" s="42">
        <f t="shared" si="286"/>
        <v>0.11387319086201178</v>
      </c>
      <c r="W290" s="43">
        <f t="shared" si="287"/>
        <v>1784.3773662551441</v>
      </c>
      <c r="X290" s="365">
        <v>420045.85</v>
      </c>
      <c r="Y290" s="43">
        <f t="shared" si="276"/>
        <v>420045.85</v>
      </c>
      <c r="Z290" s="91">
        <f t="shared" si="288"/>
        <v>0.1103126224426728</v>
      </c>
      <c r="AA290" s="365">
        <v>588290.9</v>
      </c>
      <c r="AB290" s="43">
        <f t="shared" si="277"/>
        <v>588290.9</v>
      </c>
      <c r="AC290" s="43">
        <f t="shared" si="289"/>
        <v>2420.9502057613172</v>
      </c>
      <c r="AD290" s="42">
        <f t="shared" si="290"/>
        <v>0.15449721009780287</v>
      </c>
      <c r="AE290" s="365">
        <v>577750.80000000005</v>
      </c>
      <c r="AF290" s="43">
        <f t="shared" si="278"/>
        <v>577750.80000000005</v>
      </c>
      <c r="AG290" s="42">
        <f t="shared" si="291"/>
        <v>0.15172916448609641</v>
      </c>
      <c r="AH290" s="42">
        <f>AE290/'Kennzahlen Revision'!F290</f>
        <v>5.4974456609649225E-2</v>
      </c>
      <c r="AI290" s="97">
        <f t="shared" si="292"/>
        <v>2.982035304931277E-2</v>
      </c>
      <c r="AJ290" s="365">
        <v>786870.7</v>
      </c>
      <c r="AK290" s="43">
        <f>AJ290*'KiGa - PS'!$L291</f>
        <v>786870.7</v>
      </c>
      <c r="AL290" s="365">
        <v>0</v>
      </c>
      <c r="AM290" s="43">
        <f>AL290*'KiGa - PS'!$L291</f>
        <v>0</v>
      </c>
      <c r="AN290" s="97">
        <f>(AK290+AM290)/Funktional!E290</f>
        <v>0.21056150152076741</v>
      </c>
    </row>
    <row r="291" spans="1:41" x14ac:dyDescent="0.25">
      <c r="A291" t="str">
        <f>Funktional!A291</f>
        <v>Neukirch-Egnach</v>
      </c>
      <c r="B291" t="str">
        <f>Funktional!B291</f>
        <v>OSG</v>
      </c>
      <c r="C291" s="43">
        <f>Funktional!D291</f>
        <v>198</v>
      </c>
      <c r="D291" s="43"/>
      <c r="E291" s="43">
        <f>Funktional!J291</f>
        <v>4105796.05</v>
      </c>
      <c r="F291" s="365">
        <v>2991972.3</v>
      </c>
      <c r="G291" s="43">
        <f t="shared" si="272"/>
        <v>2991972.3</v>
      </c>
      <c r="H291" s="42">
        <f t="shared" ref="H291:H300" si="293">G291/$E291</f>
        <v>0.72871917249762075</v>
      </c>
      <c r="I291" s="85">
        <f t="shared" ref="I291:I300" si="294">G291/C291</f>
        <v>15110.971212121211</v>
      </c>
      <c r="J291" s="365">
        <v>566069.65</v>
      </c>
      <c r="K291" s="43">
        <f t="shared" si="273"/>
        <v>566069.65</v>
      </c>
      <c r="L291" s="42">
        <f t="shared" ref="L291:L300" si="295">K291/$E291</f>
        <v>0.13787086428708509</v>
      </c>
      <c r="M291" s="43">
        <f t="shared" ref="M291:M300" si="296">K291/C291</f>
        <v>2858.9376262626265</v>
      </c>
      <c r="N291" s="365">
        <v>123845.6</v>
      </c>
      <c r="O291" s="43">
        <f t="shared" si="274"/>
        <v>123845.6</v>
      </c>
      <c r="P291" s="42">
        <f t="shared" ref="P291:P300" si="297">O291/$E291</f>
        <v>3.0163602500421327E-2</v>
      </c>
      <c r="Q291" s="43">
        <f>O291/Funktional!C291</f>
        <v>12384.560000000001</v>
      </c>
      <c r="R291" s="85">
        <f t="shared" ref="R291:R306" si="298">O291/C291</f>
        <v>625.48282828282834</v>
      </c>
      <c r="S291" s="365">
        <v>45086.2</v>
      </c>
      <c r="T291" s="365">
        <v>156108.25</v>
      </c>
      <c r="U291" s="43">
        <f t="shared" si="275"/>
        <v>156108.25</v>
      </c>
      <c r="V291" s="42">
        <f t="shared" ref="V291:V300" si="299">U291/$E291</f>
        <v>3.8021433139622217E-2</v>
      </c>
      <c r="W291" s="43">
        <f t="shared" ref="W291:W300" si="300">U291/C291</f>
        <v>788.42550505050508</v>
      </c>
      <c r="X291" s="365">
        <v>155757.20000000001</v>
      </c>
      <c r="Y291" s="43">
        <f t="shared" si="276"/>
        <v>155757.20000000001</v>
      </c>
      <c r="Z291" s="91">
        <f t="shared" ref="Z291:Z300" si="301">Y291/$E291</f>
        <v>3.7935932058778231E-2</v>
      </c>
      <c r="AA291" s="365">
        <v>292983.75</v>
      </c>
      <c r="AB291" s="43">
        <f t="shared" si="277"/>
        <v>292983.75</v>
      </c>
      <c r="AC291" s="43">
        <f t="shared" ref="AC291:AC300" si="302">AB291/C291</f>
        <v>1479.715909090909</v>
      </c>
      <c r="AD291" s="42">
        <f t="shared" ref="AD291:AD300" si="303">AB291/$E291</f>
        <v>7.1358573692426833E-2</v>
      </c>
      <c r="AE291" s="365">
        <v>263142</v>
      </c>
      <c r="AF291" s="43">
        <f t="shared" si="278"/>
        <v>263142</v>
      </c>
      <c r="AG291" s="42">
        <f t="shared" ref="AG291:AG300" si="304">AF291/$E291</f>
        <v>6.4090372925367303E-2</v>
      </c>
      <c r="AH291" s="42">
        <f>AE291/'Kennzahlen Revision'!F291</f>
        <v>6.6565606472281005E-2</v>
      </c>
      <c r="AI291" s="97">
        <f t="shared" si="292"/>
        <v>2.4029956383245107E-2</v>
      </c>
      <c r="AJ291" s="365">
        <v>461132.4</v>
      </c>
      <c r="AK291" s="43">
        <f>AJ291*'KiGa - PS'!$L292</f>
        <v>461132.4</v>
      </c>
      <c r="AL291" s="365">
        <v>0</v>
      </c>
      <c r="AM291" s="43">
        <f>AL291*'KiGa - PS'!$L292</f>
        <v>0</v>
      </c>
      <c r="AN291" s="97">
        <f>(AK291+AM291)/Funktional!E291</f>
        <v>0.11379766915266216</v>
      </c>
    </row>
    <row r="292" spans="1:41" x14ac:dyDescent="0.25">
      <c r="A292" t="str">
        <f>Funktional!A292</f>
        <v>Rickenbach</v>
      </c>
      <c r="B292" t="str">
        <f>Funktional!B292</f>
        <v>OSG</v>
      </c>
      <c r="C292" s="43">
        <f>Funktional!D292</f>
        <v>183</v>
      </c>
      <c r="D292" s="43"/>
      <c r="E292" s="43">
        <f>Funktional!J292</f>
        <v>3207776.05</v>
      </c>
      <c r="F292" s="365">
        <v>1993475.25</v>
      </c>
      <c r="G292" s="43">
        <f t="shared" si="272"/>
        <v>1993475.25</v>
      </c>
      <c r="H292" s="42">
        <f t="shared" si="293"/>
        <v>0.6214508802757599</v>
      </c>
      <c r="I292" s="85">
        <f t="shared" si="294"/>
        <v>10893.307377049181</v>
      </c>
      <c r="J292" s="365">
        <v>430406.55</v>
      </c>
      <c r="K292" s="43">
        <f t="shared" si="273"/>
        <v>430406.55</v>
      </c>
      <c r="L292" s="42">
        <f t="shared" si="295"/>
        <v>0.1341759971055336</v>
      </c>
      <c r="M292" s="43">
        <f t="shared" si="296"/>
        <v>2351.9483606557378</v>
      </c>
      <c r="N292" s="365">
        <v>111311.75</v>
      </c>
      <c r="O292" s="43">
        <f t="shared" si="274"/>
        <v>111311.75</v>
      </c>
      <c r="P292" s="42">
        <f t="shared" si="297"/>
        <v>3.4700598877530742E-2</v>
      </c>
      <c r="Q292" s="43">
        <f>O292/Funktional!C292</f>
        <v>9275.9791666666661</v>
      </c>
      <c r="R292" s="85">
        <f t="shared" si="298"/>
        <v>608.26092896174862</v>
      </c>
      <c r="S292" s="365">
        <v>21605.7</v>
      </c>
      <c r="T292" s="365">
        <v>201232.85</v>
      </c>
      <c r="U292" s="43">
        <f t="shared" si="275"/>
        <v>201232.85</v>
      </c>
      <c r="V292" s="42">
        <f t="shared" si="299"/>
        <v>6.2732823882764521E-2</v>
      </c>
      <c r="W292" s="43">
        <f t="shared" si="300"/>
        <v>1099.6330601092895</v>
      </c>
      <c r="X292" s="365">
        <v>198747.8</v>
      </c>
      <c r="Y292" s="43">
        <f t="shared" si="276"/>
        <v>198747.8</v>
      </c>
      <c r="Z292" s="91">
        <f t="shared" si="301"/>
        <v>6.1958128280183399E-2</v>
      </c>
      <c r="AA292" s="365">
        <v>359419.85</v>
      </c>
      <c r="AB292" s="43">
        <f t="shared" si="277"/>
        <v>359419.85</v>
      </c>
      <c r="AC292" s="43">
        <f t="shared" si="302"/>
        <v>1964.0428961748632</v>
      </c>
      <c r="AD292" s="42">
        <f t="shared" si="303"/>
        <v>0.11204642855289103</v>
      </c>
      <c r="AE292" s="365">
        <v>343090.65</v>
      </c>
      <c r="AF292" s="43">
        <f t="shared" si="278"/>
        <v>343090.65</v>
      </c>
      <c r="AG292" s="42">
        <f t="shared" si="304"/>
        <v>0.10695592355956397</v>
      </c>
      <c r="AH292" s="42">
        <f>AE292/'Kennzahlen Revision'!F292</f>
        <v>4.638492305878792E-2</v>
      </c>
      <c r="AI292" s="97">
        <f t="shared" si="292"/>
        <v>6.9593870183050952E-2</v>
      </c>
      <c r="AJ292" s="365">
        <v>256995.15</v>
      </c>
      <c r="AK292" s="43">
        <f>AJ292*'KiGa - PS'!$L293</f>
        <v>256995.15</v>
      </c>
      <c r="AL292" s="365">
        <v>0</v>
      </c>
      <c r="AM292" s="43">
        <f>AL292*'KiGa - PS'!$L293</f>
        <v>0</v>
      </c>
      <c r="AN292" s="97">
        <f>(AK292+AM292)/Funktional!E292</f>
        <v>8.4620369231650658E-2</v>
      </c>
    </row>
    <row r="293" spans="1:41" x14ac:dyDescent="0.25">
      <c r="A293" t="str">
        <f>Funktional!A293</f>
        <v>Romanshorn-Salmsach</v>
      </c>
      <c r="B293" t="str">
        <f>Funktional!B293</f>
        <v>OSG</v>
      </c>
      <c r="C293" s="43">
        <f>Funktional!D293</f>
        <v>366</v>
      </c>
      <c r="D293" s="43"/>
      <c r="E293" s="43">
        <f>Funktional!J293</f>
        <v>5776246.1900000004</v>
      </c>
      <c r="F293" s="365">
        <v>4108995.5</v>
      </c>
      <c r="G293" s="43">
        <f t="shared" si="272"/>
        <v>4108995.5</v>
      </c>
      <c r="H293" s="42">
        <f t="shared" si="293"/>
        <v>0.71136086739405402</v>
      </c>
      <c r="I293" s="85">
        <f t="shared" si="294"/>
        <v>11226.763661202185</v>
      </c>
      <c r="J293" s="365">
        <v>864476.39</v>
      </c>
      <c r="K293" s="43">
        <f t="shared" si="273"/>
        <v>864476.39</v>
      </c>
      <c r="L293" s="42">
        <f t="shared" si="295"/>
        <v>0.14966058605614938</v>
      </c>
      <c r="M293" s="43">
        <f t="shared" si="296"/>
        <v>2361.9573497267761</v>
      </c>
      <c r="N293" s="365">
        <v>246687.89</v>
      </c>
      <c r="O293" s="43">
        <f t="shared" si="274"/>
        <v>246687.89</v>
      </c>
      <c r="P293" s="42">
        <f t="shared" si="297"/>
        <v>4.2707301919899646E-2</v>
      </c>
      <c r="Q293" s="43">
        <f>O293/Funktional!C293</f>
        <v>11213.085909090909</v>
      </c>
      <c r="R293" s="85">
        <f t="shared" si="298"/>
        <v>674.01062841530063</v>
      </c>
      <c r="S293" s="365">
        <v>70446.600000000006</v>
      </c>
      <c r="T293" s="365">
        <v>145559.5</v>
      </c>
      <c r="U293" s="43">
        <f t="shared" si="275"/>
        <v>145559.5</v>
      </c>
      <c r="V293" s="42">
        <f t="shared" si="299"/>
        <v>2.5199670376237892E-2</v>
      </c>
      <c r="W293" s="43">
        <f t="shared" si="300"/>
        <v>397.70355191256829</v>
      </c>
      <c r="X293" s="365">
        <v>126531.25</v>
      </c>
      <c r="Y293" s="43">
        <f t="shared" si="276"/>
        <v>126531.25</v>
      </c>
      <c r="Z293" s="91">
        <f t="shared" si="301"/>
        <v>2.190544617351221E-2</v>
      </c>
      <c r="AA293" s="365">
        <v>350098.9</v>
      </c>
      <c r="AB293" s="43">
        <f t="shared" si="277"/>
        <v>350098.9</v>
      </c>
      <c r="AC293" s="43">
        <f t="shared" si="302"/>
        <v>956.55437158469954</v>
      </c>
      <c r="AD293" s="42">
        <f t="shared" si="303"/>
        <v>6.0610107063320998E-2</v>
      </c>
      <c r="AE293" s="365">
        <v>269042.90000000002</v>
      </c>
      <c r="AF293" s="43">
        <f t="shared" si="278"/>
        <v>269042.90000000002</v>
      </c>
      <c r="AG293" s="42">
        <f t="shared" si="304"/>
        <v>4.6577464178340362E-2</v>
      </c>
      <c r="AH293" s="42">
        <f>AE293/'Kennzahlen Revision'!F293</f>
        <v>0.1098133837496393</v>
      </c>
      <c r="AI293" s="97">
        <f t="shared" si="292"/>
        <v>5.3168769110237712E-2</v>
      </c>
      <c r="AJ293" s="365">
        <v>268948.34999999998</v>
      </c>
      <c r="AK293" s="43">
        <f>AJ293*'KiGa - PS'!$L294</f>
        <v>268948.34999999998</v>
      </c>
      <c r="AL293" s="365">
        <v>0</v>
      </c>
      <c r="AM293" s="43">
        <f>AL293*'KiGa - PS'!$L294</f>
        <v>0</v>
      </c>
      <c r="AN293" s="97">
        <f>(AK293+AM293)/Funktional!E293</f>
        <v>4.7228299165370649E-2</v>
      </c>
    </row>
    <row r="294" spans="1:41" x14ac:dyDescent="0.25">
      <c r="A294" t="str">
        <f>Funktional!A294</f>
        <v>Schönholzerswilen</v>
      </c>
      <c r="B294" t="str">
        <f>Funktional!B294</f>
        <v>OSG</v>
      </c>
      <c r="C294" s="43">
        <f>Funktional!D294</f>
        <v>138</v>
      </c>
      <c r="D294" s="43"/>
      <c r="E294" s="43">
        <f>Funktional!J294</f>
        <v>2105408.85</v>
      </c>
      <c r="F294" s="365">
        <v>1623525.6</v>
      </c>
      <c r="G294" s="43">
        <f t="shared" si="272"/>
        <v>1623525.6</v>
      </c>
      <c r="H294" s="42">
        <f t="shared" si="293"/>
        <v>0.77112129551464559</v>
      </c>
      <c r="I294" s="85">
        <f t="shared" si="294"/>
        <v>11764.678260869567</v>
      </c>
      <c r="J294" s="365">
        <v>302927.05</v>
      </c>
      <c r="K294" s="43">
        <f t="shared" si="273"/>
        <v>302927.05</v>
      </c>
      <c r="L294" s="42">
        <f t="shared" si="295"/>
        <v>0.14388039168734376</v>
      </c>
      <c r="M294" s="43">
        <f t="shared" si="296"/>
        <v>2195.1235507246374</v>
      </c>
      <c r="N294" s="365">
        <v>104632.3</v>
      </c>
      <c r="O294" s="43">
        <f t="shared" si="274"/>
        <v>104632.3</v>
      </c>
      <c r="P294" s="42">
        <f t="shared" si="297"/>
        <v>4.9696903287929084E-2</v>
      </c>
      <c r="Q294" s="43">
        <f>O294/Funktional!C294</f>
        <v>13079.0375</v>
      </c>
      <c r="R294" s="85">
        <f t="shared" si="298"/>
        <v>758.20507246376815</v>
      </c>
      <c r="S294" s="365">
        <v>12221.45</v>
      </c>
      <c r="T294" s="365">
        <v>22295.35</v>
      </c>
      <c r="U294" s="43">
        <f t="shared" si="275"/>
        <v>22295.35</v>
      </c>
      <c r="V294" s="42">
        <f t="shared" si="299"/>
        <v>1.0589558412846986E-2</v>
      </c>
      <c r="W294" s="43">
        <f t="shared" si="300"/>
        <v>161.5605072463768</v>
      </c>
      <c r="X294" s="365">
        <v>20625</v>
      </c>
      <c r="Y294" s="43">
        <f t="shared" si="276"/>
        <v>20625</v>
      </c>
      <c r="Z294" s="91">
        <f t="shared" si="301"/>
        <v>9.7961970664272643E-3</v>
      </c>
      <c r="AA294" s="365">
        <v>62605.45</v>
      </c>
      <c r="AB294" s="43">
        <f t="shared" si="277"/>
        <v>62605.45</v>
      </c>
      <c r="AC294" s="43">
        <f t="shared" si="302"/>
        <v>453.66268115942029</v>
      </c>
      <c r="AD294" s="42">
        <f t="shared" si="303"/>
        <v>2.9735530939750725E-2</v>
      </c>
      <c r="AE294" s="365">
        <v>54637.4</v>
      </c>
      <c r="AF294" s="43">
        <f t="shared" si="278"/>
        <v>54637.4</v>
      </c>
      <c r="AG294" s="42">
        <f t="shared" si="304"/>
        <v>2.5950969095622448E-2</v>
      </c>
      <c r="AH294" s="42">
        <f>AE294/'Kennzahlen Revision'!F294</f>
        <v>5.8090286637747728E-2</v>
      </c>
      <c r="AI294" s="97">
        <f t="shared" si="292"/>
        <v>4.4673223445412934E-2</v>
      </c>
      <c r="AJ294" s="365">
        <v>723090</v>
      </c>
      <c r="AK294" s="43">
        <f>AJ294*'KiGa - PS'!$L295</f>
        <v>723090</v>
      </c>
      <c r="AL294" s="365">
        <v>0</v>
      </c>
      <c r="AM294" s="43">
        <f>AL294*'KiGa - PS'!$L295</f>
        <v>0</v>
      </c>
      <c r="AN294" s="97">
        <f>(AK294+AM294)/Funktional!E294</f>
        <v>0.35511927649548852</v>
      </c>
    </row>
    <row r="295" spans="1:41" x14ac:dyDescent="0.25">
      <c r="A295" t="str">
        <f>Funktional!A295</f>
        <v>Sirnach</v>
      </c>
      <c r="B295" t="str">
        <f>Funktional!B295</f>
        <v>OSG</v>
      </c>
      <c r="C295" s="43">
        <f>Funktional!D295</f>
        <v>252</v>
      </c>
      <c r="D295" s="43"/>
      <c r="E295" s="43">
        <f>Funktional!J295</f>
        <v>3802792.9</v>
      </c>
      <c r="F295" s="365">
        <v>2384602.5499999998</v>
      </c>
      <c r="G295" s="43">
        <f t="shared" si="272"/>
        <v>2384602.5499999998</v>
      </c>
      <c r="H295" s="42">
        <f t="shared" si="293"/>
        <v>0.62706610975317634</v>
      </c>
      <c r="I295" s="85">
        <f t="shared" si="294"/>
        <v>9462.7085317460314</v>
      </c>
      <c r="J295" s="365">
        <v>505645.9</v>
      </c>
      <c r="K295" s="43">
        <f t="shared" si="273"/>
        <v>505645.9</v>
      </c>
      <c r="L295" s="42">
        <f t="shared" si="295"/>
        <v>0.13296698329272677</v>
      </c>
      <c r="M295" s="43">
        <f t="shared" si="296"/>
        <v>2006.5313492063492</v>
      </c>
      <c r="N295" s="365">
        <v>124007</v>
      </c>
      <c r="O295" s="43">
        <f t="shared" si="274"/>
        <v>124007</v>
      </c>
      <c r="P295" s="42">
        <f t="shared" si="297"/>
        <v>3.2609453962112955E-2</v>
      </c>
      <c r="Q295" s="43">
        <f>O295/Funktional!C295</f>
        <v>8857.6428571428569</v>
      </c>
      <c r="R295" s="85">
        <f t="shared" si="298"/>
        <v>492.09126984126982</v>
      </c>
      <c r="S295" s="365">
        <v>17082.400000000001</v>
      </c>
      <c r="T295" s="365">
        <v>250481.6</v>
      </c>
      <c r="U295" s="43">
        <f t="shared" si="275"/>
        <v>250481.6</v>
      </c>
      <c r="V295" s="42">
        <f t="shared" si="299"/>
        <v>6.5867799427100013E-2</v>
      </c>
      <c r="W295" s="43">
        <f t="shared" si="300"/>
        <v>993.9746031746032</v>
      </c>
      <c r="X295" s="365">
        <v>227742.8</v>
      </c>
      <c r="Y295" s="43">
        <f t="shared" si="276"/>
        <v>227742.8</v>
      </c>
      <c r="Z295" s="91">
        <f t="shared" si="301"/>
        <v>5.9888299465374516E-2</v>
      </c>
      <c r="AA295" s="365">
        <v>512696.85</v>
      </c>
      <c r="AB295" s="43">
        <f t="shared" si="277"/>
        <v>512696.85</v>
      </c>
      <c r="AC295" s="43">
        <f t="shared" si="302"/>
        <v>2034.5113095238094</v>
      </c>
      <c r="AD295" s="42">
        <f t="shared" si="303"/>
        <v>0.13482113369886642</v>
      </c>
      <c r="AE295" s="365">
        <v>459573</v>
      </c>
      <c r="AF295" s="43">
        <f t="shared" si="278"/>
        <v>459573</v>
      </c>
      <c r="AG295" s="42">
        <f t="shared" si="304"/>
        <v>0.12085144052940669</v>
      </c>
      <c r="AH295" s="42">
        <f>AE295/'Kennzahlen Revision'!F295</f>
        <v>6.2026581314732106E-2</v>
      </c>
      <c r="AI295" s="97">
        <f t="shared" ref="AI295:AI303" si="305">1-H295-L295-V295-AD295</f>
        <v>3.9277973828130447E-2</v>
      </c>
      <c r="AJ295" s="365">
        <v>320406.15000000002</v>
      </c>
      <c r="AK295" s="43">
        <f>AJ295*'KiGa - PS'!$L296</f>
        <v>320406.15000000002</v>
      </c>
      <c r="AL295" s="365">
        <v>0</v>
      </c>
      <c r="AM295" s="43">
        <f>AL295*'KiGa - PS'!$L296</f>
        <v>0</v>
      </c>
      <c r="AN295" s="97">
        <f>(AK295+AM295)/Funktional!E295</f>
        <v>8.6733329407308865E-2</v>
      </c>
    </row>
    <row r="296" spans="1:41" x14ac:dyDescent="0.25">
      <c r="A296" t="str">
        <f>Funktional!A296</f>
        <v>Steckborn</v>
      </c>
      <c r="B296" t="str">
        <f>Funktional!B296</f>
        <v>OSG</v>
      </c>
      <c r="C296" s="43">
        <f>Funktional!D296</f>
        <v>204</v>
      </c>
      <c r="D296" s="43"/>
      <c r="E296" s="43">
        <f>Funktional!J296</f>
        <v>3475971.5</v>
      </c>
      <c r="F296" s="365">
        <v>2580358.0499999998</v>
      </c>
      <c r="G296" s="43">
        <f t="shared" si="272"/>
        <v>2580358.0499999998</v>
      </c>
      <c r="H296" s="42">
        <f t="shared" si="293"/>
        <v>0.74234154393958629</v>
      </c>
      <c r="I296" s="85">
        <f t="shared" si="294"/>
        <v>12648.813970588235</v>
      </c>
      <c r="J296" s="365">
        <v>768311.4</v>
      </c>
      <c r="K296" s="43">
        <f t="shared" si="273"/>
        <v>768311.4</v>
      </c>
      <c r="L296" s="42">
        <f t="shared" si="295"/>
        <v>0.22103501136301032</v>
      </c>
      <c r="M296" s="43">
        <f t="shared" si="296"/>
        <v>3766.2323529411765</v>
      </c>
      <c r="N296" s="365">
        <v>200802.15</v>
      </c>
      <c r="O296" s="43">
        <f t="shared" si="274"/>
        <v>200802.15</v>
      </c>
      <c r="P296" s="42">
        <f t="shared" si="297"/>
        <v>5.7768641083507155E-2</v>
      </c>
      <c r="Q296" s="43">
        <f>O296/Funktional!C296</f>
        <v>16733.512500000001</v>
      </c>
      <c r="R296" s="85">
        <f t="shared" si="298"/>
        <v>984.32426470588234</v>
      </c>
      <c r="S296" s="365">
        <v>139093.85</v>
      </c>
      <c r="T296" s="365">
        <v>8006.15</v>
      </c>
      <c r="U296" s="43">
        <f t="shared" si="275"/>
        <v>8006.15</v>
      </c>
      <c r="V296" s="42">
        <f t="shared" si="299"/>
        <v>2.3032841322203016E-3</v>
      </c>
      <c r="W296" s="43">
        <f t="shared" si="300"/>
        <v>39.24583333333333</v>
      </c>
      <c r="X296" s="365">
        <v>0</v>
      </c>
      <c r="Y296" s="43">
        <f t="shared" si="276"/>
        <v>0</v>
      </c>
      <c r="Z296" s="91">
        <f t="shared" si="301"/>
        <v>0</v>
      </c>
      <c r="AA296" s="365">
        <v>14954.15</v>
      </c>
      <c r="AB296" s="43">
        <f t="shared" si="277"/>
        <v>14954.15</v>
      </c>
      <c r="AC296" s="43">
        <f t="shared" si="302"/>
        <v>73.304656862745091</v>
      </c>
      <c r="AD296" s="42">
        <f t="shared" si="303"/>
        <v>4.3021497730922134E-3</v>
      </c>
      <c r="AE296" s="365">
        <v>0</v>
      </c>
      <c r="AF296" s="43">
        <f t="shared" si="278"/>
        <v>0</v>
      </c>
      <c r="AG296" s="42">
        <f t="shared" si="304"/>
        <v>0</v>
      </c>
      <c r="AH296" s="42">
        <v>0</v>
      </c>
      <c r="AI296" s="97">
        <f t="shared" si="305"/>
        <v>3.0018010792090877E-2</v>
      </c>
      <c r="AJ296" s="365">
        <v>325845.25</v>
      </c>
      <c r="AK296" s="43">
        <f>AJ296*'KiGa - PS'!$L297</f>
        <v>325845.25</v>
      </c>
      <c r="AL296" s="365">
        <v>0</v>
      </c>
      <c r="AM296" s="43">
        <f>AL296*'KiGa - PS'!$L297</f>
        <v>0</v>
      </c>
      <c r="AN296" s="97">
        <f>(AK296+AM296)/Funktional!E296</f>
        <v>9.4668201058608417E-2</v>
      </c>
    </row>
    <row r="297" spans="1:41" x14ac:dyDescent="0.25">
      <c r="A297" t="str">
        <f>Funktional!A297</f>
        <v>Sulgen-Schönenberg-Kradolf</v>
      </c>
      <c r="B297" t="str">
        <f>Funktional!B297</f>
        <v>OSG</v>
      </c>
      <c r="C297" s="43">
        <f>Funktional!D297</f>
        <v>264</v>
      </c>
      <c r="D297" s="43"/>
      <c r="E297" s="43">
        <f>Funktional!J297</f>
        <v>4404772.25</v>
      </c>
      <c r="F297" s="365">
        <v>2977891.8</v>
      </c>
      <c r="G297" s="43">
        <f t="shared" si="272"/>
        <v>2977891.8</v>
      </c>
      <c r="H297" s="42">
        <f t="shared" si="293"/>
        <v>0.6760603343339715</v>
      </c>
      <c r="I297" s="85">
        <f t="shared" si="294"/>
        <v>11279.893181818181</v>
      </c>
      <c r="J297" s="365">
        <v>658418.15</v>
      </c>
      <c r="K297" s="43">
        <f t="shared" si="273"/>
        <v>658418.15</v>
      </c>
      <c r="L297" s="42">
        <f t="shared" si="295"/>
        <v>0.14947836406297738</v>
      </c>
      <c r="M297" s="43">
        <f t="shared" si="296"/>
        <v>2494.0081439393939</v>
      </c>
      <c r="N297" s="365">
        <v>215426.35</v>
      </c>
      <c r="O297" s="43">
        <f t="shared" si="274"/>
        <v>215426.35</v>
      </c>
      <c r="P297" s="42">
        <f t="shared" si="297"/>
        <v>4.8907488917276032E-2</v>
      </c>
      <c r="Q297" s="43">
        <f>O297/Funktional!C297</f>
        <v>14361.756666666666</v>
      </c>
      <c r="R297" s="85">
        <f t="shared" si="298"/>
        <v>816.00890151515159</v>
      </c>
      <c r="S297" s="365">
        <v>38270</v>
      </c>
      <c r="T297" s="365">
        <v>134984.6</v>
      </c>
      <c r="U297" s="43">
        <f t="shared" si="275"/>
        <v>134984.6</v>
      </c>
      <c r="V297" s="42">
        <f t="shared" si="299"/>
        <v>3.0645080457905628E-2</v>
      </c>
      <c r="W297" s="43">
        <f t="shared" si="300"/>
        <v>511.30530303030304</v>
      </c>
      <c r="X297" s="365">
        <v>131763.54999999999</v>
      </c>
      <c r="Y297" s="43">
        <f t="shared" si="276"/>
        <v>131763.54999999999</v>
      </c>
      <c r="Z297" s="91">
        <f t="shared" si="301"/>
        <v>2.9913816769981692E-2</v>
      </c>
      <c r="AA297" s="365">
        <v>381528.4</v>
      </c>
      <c r="AB297" s="43">
        <f t="shared" si="277"/>
        <v>381528.4</v>
      </c>
      <c r="AC297" s="43">
        <f t="shared" si="302"/>
        <v>1445.1833333333334</v>
      </c>
      <c r="AD297" s="42">
        <f t="shared" si="303"/>
        <v>8.6617054945349339E-2</v>
      </c>
      <c r="AE297" s="365">
        <v>344400</v>
      </c>
      <c r="AF297" s="43">
        <f t="shared" si="278"/>
        <v>344400</v>
      </c>
      <c r="AG297" s="42">
        <f t="shared" si="304"/>
        <v>7.8187924472144954E-2</v>
      </c>
      <c r="AH297" s="42">
        <f>AE297/'Kennzahlen Revision'!F297</f>
        <v>6.6900382882313258E-2</v>
      </c>
      <c r="AI297" s="97">
        <f t="shared" si="305"/>
        <v>5.7199166199796161E-2</v>
      </c>
      <c r="AJ297" s="365">
        <v>1231450</v>
      </c>
      <c r="AK297" s="43">
        <f>AJ297*'KiGa - PS'!$L298</f>
        <v>1231450</v>
      </c>
      <c r="AL297" s="365">
        <v>0</v>
      </c>
      <c r="AM297" s="43">
        <f>AL297*'KiGa - PS'!$L298</f>
        <v>0</v>
      </c>
      <c r="AN297" s="97">
        <f>(AK297+AM297)/Funktional!E297</f>
        <v>0.29161984683522724</v>
      </c>
    </row>
    <row r="298" spans="1:41" x14ac:dyDescent="0.25">
      <c r="A298" t="str">
        <f>Funktional!A298</f>
        <v>Tägerwilen</v>
      </c>
      <c r="B298" t="str">
        <f>Funktional!B298</f>
        <v>OSG</v>
      </c>
      <c r="C298" s="43">
        <f>Funktional!D298</f>
        <v>123</v>
      </c>
      <c r="D298" s="43"/>
      <c r="E298" s="43">
        <f>Funktional!J298</f>
        <v>2011353.8</v>
      </c>
      <c r="F298" s="365">
        <v>1390719.95</v>
      </c>
      <c r="G298" s="43">
        <f t="shared" si="272"/>
        <v>1390719.95</v>
      </c>
      <c r="H298" s="42">
        <f t="shared" si="293"/>
        <v>0.69143476896009037</v>
      </c>
      <c r="I298" s="85">
        <f t="shared" si="294"/>
        <v>11306.666260162601</v>
      </c>
      <c r="J298" s="365">
        <v>341048.85</v>
      </c>
      <c r="K298" s="43">
        <f t="shared" si="273"/>
        <v>341048.85</v>
      </c>
      <c r="L298" s="42">
        <f t="shared" si="295"/>
        <v>0.16956183939394451</v>
      </c>
      <c r="M298" s="43">
        <f t="shared" si="296"/>
        <v>2772.7548780487805</v>
      </c>
      <c r="N298" s="365">
        <v>123051.5</v>
      </c>
      <c r="O298" s="43">
        <f t="shared" si="274"/>
        <v>123051.5</v>
      </c>
      <c r="P298" s="42">
        <f t="shared" si="297"/>
        <v>6.1178446079451561E-2</v>
      </c>
      <c r="Q298" s="43">
        <f>O298/Funktional!C298</f>
        <v>17578.785714285714</v>
      </c>
      <c r="R298" s="85">
        <f t="shared" si="298"/>
        <v>1000.4186991869918</v>
      </c>
      <c r="S298" s="365">
        <v>51224.9</v>
      </c>
      <c r="T298" s="365">
        <v>59073.95</v>
      </c>
      <c r="U298" s="43">
        <f t="shared" si="275"/>
        <v>59073.95</v>
      </c>
      <c r="V298" s="42">
        <f t="shared" si="299"/>
        <v>2.9370243067132196E-2</v>
      </c>
      <c r="W298" s="43">
        <f t="shared" si="300"/>
        <v>480.27601626016258</v>
      </c>
      <c r="X298" s="365">
        <v>47938.15</v>
      </c>
      <c r="Y298" s="43">
        <f t="shared" si="276"/>
        <v>47938.15</v>
      </c>
      <c r="Z298" s="91">
        <f t="shared" si="301"/>
        <v>2.3833773053751159E-2</v>
      </c>
      <c r="AA298" s="365">
        <v>122089.15</v>
      </c>
      <c r="AB298" s="43">
        <f t="shared" si="277"/>
        <v>122089.15</v>
      </c>
      <c r="AC298" s="43">
        <f t="shared" si="302"/>
        <v>992.59471544715439</v>
      </c>
      <c r="AD298" s="42">
        <f t="shared" si="303"/>
        <v>6.0699987242423481E-2</v>
      </c>
      <c r="AE298" s="365">
        <v>98052.85</v>
      </c>
      <c r="AF298" s="43">
        <f t="shared" si="278"/>
        <v>98052.85</v>
      </c>
      <c r="AG298" s="42">
        <f t="shared" si="304"/>
        <v>4.8749677953227329E-2</v>
      </c>
      <c r="AH298" s="42">
        <f>AE298/'Kennzahlen Revision'!F298</f>
        <v>7.2793504083147734E-2</v>
      </c>
      <c r="AI298" s="97">
        <f t="shared" si="305"/>
        <v>4.8933161336409445E-2</v>
      </c>
      <c r="AJ298" s="365">
        <v>61423</v>
      </c>
      <c r="AK298" s="43">
        <f>AJ298*'KiGa - PS'!$L299</f>
        <v>61423</v>
      </c>
      <c r="AL298" s="365">
        <v>0</v>
      </c>
      <c r="AM298" s="43">
        <f>AL298*'KiGa - PS'!$L299</f>
        <v>0</v>
      </c>
      <c r="AN298" s="97">
        <f>(AK298+AM298)/Funktional!E298</f>
        <v>3.1583655809059745E-2</v>
      </c>
    </row>
    <row r="299" spans="1:41" x14ac:dyDescent="0.25">
      <c r="A299" t="str">
        <f>Funktional!A299</f>
        <v>Weinfelden</v>
      </c>
      <c r="B299" t="str">
        <f>Funktional!B299</f>
        <v>OSG</v>
      </c>
      <c r="C299" s="43">
        <f>Funktional!D299</f>
        <v>486</v>
      </c>
      <c r="D299" s="43"/>
      <c r="E299" s="43">
        <f>Funktional!J299</f>
        <v>7814983.7000000002</v>
      </c>
      <c r="F299" s="365">
        <v>5342473.6500000004</v>
      </c>
      <c r="G299" s="43">
        <f t="shared" si="272"/>
        <v>5342473.6500000004</v>
      </c>
      <c r="H299" s="42">
        <f t="shared" si="293"/>
        <v>0.68361929532879262</v>
      </c>
      <c r="I299" s="85">
        <f t="shared" si="294"/>
        <v>10992.74413580247</v>
      </c>
      <c r="J299" s="365">
        <v>1177060.7</v>
      </c>
      <c r="K299" s="43">
        <f t="shared" si="273"/>
        <v>1177060.7</v>
      </c>
      <c r="L299" s="42">
        <f t="shared" si="295"/>
        <v>0.15061588676122253</v>
      </c>
      <c r="M299" s="43">
        <f t="shared" si="296"/>
        <v>2421.9355967078191</v>
      </c>
      <c r="N299" s="365">
        <v>306978.95</v>
      </c>
      <c r="O299" s="43">
        <f t="shared" si="274"/>
        <v>306978.95</v>
      </c>
      <c r="P299" s="42">
        <f t="shared" si="297"/>
        <v>3.9280817693836012E-2</v>
      </c>
      <c r="Q299" s="43">
        <f>O299/Funktional!C299</f>
        <v>12279.158000000001</v>
      </c>
      <c r="R299" s="85">
        <f t="shared" si="298"/>
        <v>631.64393004115232</v>
      </c>
      <c r="S299" s="365">
        <v>222804.7</v>
      </c>
      <c r="T299" s="365">
        <v>247116.85</v>
      </c>
      <c r="U299" s="43">
        <f t="shared" si="275"/>
        <v>247116.85</v>
      </c>
      <c r="V299" s="42">
        <f t="shared" si="299"/>
        <v>3.1620904084547229E-2</v>
      </c>
      <c r="W299" s="43">
        <f t="shared" si="300"/>
        <v>508.47088477366259</v>
      </c>
      <c r="X299" s="365">
        <v>226376.75</v>
      </c>
      <c r="Y299" s="43">
        <f t="shared" si="276"/>
        <v>226376.75</v>
      </c>
      <c r="Z299" s="91">
        <f t="shared" si="301"/>
        <v>2.8967014991982645E-2</v>
      </c>
      <c r="AA299" s="365">
        <v>717443.05</v>
      </c>
      <c r="AB299" s="43">
        <f t="shared" si="277"/>
        <v>717443.05</v>
      </c>
      <c r="AC299" s="43">
        <f t="shared" si="302"/>
        <v>1476.2202674897121</v>
      </c>
      <c r="AD299" s="42">
        <f t="shared" si="303"/>
        <v>9.1803524810934664E-2</v>
      </c>
      <c r="AE299" s="365">
        <v>650000</v>
      </c>
      <c r="AF299" s="43">
        <f t="shared" si="278"/>
        <v>650000</v>
      </c>
      <c r="AG299" s="42">
        <f t="shared" si="304"/>
        <v>8.3173557994753081E-2</v>
      </c>
      <c r="AH299" s="42">
        <f>AE299/'Kennzahlen Revision'!F299</f>
        <v>6.2685316480562803E-2</v>
      </c>
      <c r="AI299" s="97">
        <f t="shared" si="305"/>
        <v>4.2340389014502947E-2</v>
      </c>
      <c r="AJ299" s="365">
        <v>212670.7</v>
      </c>
      <c r="AK299" s="43">
        <f>AJ299*'KiGa - PS'!$L300</f>
        <v>212670.7</v>
      </c>
      <c r="AL299" s="365">
        <v>0</v>
      </c>
      <c r="AM299" s="43">
        <f>AL299*'KiGa - PS'!$L300</f>
        <v>0</v>
      </c>
      <c r="AN299" s="97">
        <f>(AK299+AM299)/Funktional!E299</f>
        <v>2.7664604734431532E-2</v>
      </c>
    </row>
    <row r="300" spans="1:41" x14ac:dyDescent="0.25">
      <c r="A300" t="str">
        <f>Funktional!A300</f>
        <v>Wigoltingen</v>
      </c>
      <c r="B300" t="str">
        <f>Funktional!B300</f>
        <v>OSG</v>
      </c>
      <c r="C300" s="43">
        <f>Funktional!D300</f>
        <v>153</v>
      </c>
      <c r="D300" s="43"/>
      <c r="E300" s="43">
        <f>Funktional!J300</f>
        <v>3147736.1</v>
      </c>
      <c r="F300" s="365">
        <v>1798181.05</v>
      </c>
      <c r="G300" s="43">
        <f t="shared" si="272"/>
        <v>1798181.05</v>
      </c>
      <c r="H300" s="42">
        <f t="shared" si="293"/>
        <v>0.57126169185529885</v>
      </c>
      <c r="I300" s="85">
        <f t="shared" si="294"/>
        <v>11752.817320261438</v>
      </c>
      <c r="J300" s="365">
        <v>410871.65</v>
      </c>
      <c r="K300" s="43">
        <f t="shared" si="273"/>
        <v>410871.65</v>
      </c>
      <c r="L300" s="42">
        <f t="shared" si="295"/>
        <v>0.13052925561326439</v>
      </c>
      <c r="M300" s="43">
        <f t="shared" si="296"/>
        <v>2685.4356209150328</v>
      </c>
      <c r="N300" s="365">
        <v>144576.45000000001</v>
      </c>
      <c r="O300" s="43">
        <f t="shared" si="274"/>
        <v>144576.45000000001</v>
      </c>
      <c r="P300" s="42">
        <f t="shared" si="297"/>
        <v>4.5930295744932369E-2</v>
      </c>
      <c r="Q300" s="43">
        <f>O300/Funktional!C300</f>
        <v>20653.778571428575</v>
      </c>
      <c r="R300" s="85">
        <f t="shared" si="298"/>
        <v>944.94411764705887</v>
      </c>
      <c r="S300" s="365">
        <v>22995.65</v>
      </c>
      <c r="T300" s="365">
        <v>479500.9</v>
      </c>
      <c r="U300" s="43">
        <f t="shared" si="275"/>
        <v>479500.9</v>
      </c>
      <c r="V300" s="42">
        <f t="shared" si="299"/>
        <v>0.15233198869498621</v>
      </c>
      <c r="W300" s="43">
        <f t="shared" si="300"/>
        <v>3133.9928104575165</v>
      </c>
      <c r="X300" s="365">
        <v>479500.9</v>
      </c>
      <c r="Y300" s="43">
        <f t="shared" si="276"/>
        <v>479500.9</v>
      </c>
      <c r="Z300" s="91">
        <f t="shared" si="301"/>
        <v>0.15233198869498621</v>
      </c>
      <c r="AA300" s="365">
        <v>369868.3</v>
      </c>
      <c r="AB300" s="43">
        <f t="shared" si="277"/>
        <v>369868.3</v>
      </c>
      <c r="AC300" s="43">
        <f t="shared" si="302"/>
        <v>2417.4398692810455</v>
      </c>
      <c r="AD300" s="42">
        <f t="shared" si="303"/>
        <v>0.11750295712528123</v>
      </c>
      <c r="AE300" s="365">
        <v>177432.5</v>
      </c>
      <c r="AF300" s="43">
        <f t="shared" si="278"/>
        <v>177432.5</v>
      </c>
      <c r="AG300" s="42">
        <f t="shared" si="304"/>
        <v>5.6368289578024026E-2</v>
      </c>
      <c r="AH300" s="42">
        <f>AE300/'Kennzahlen Revision'!F300</f>
        <v>4.5882337988567896E-2</v>
      </c>
      <c r="AI300" s="97">
        <f t="shared" si="305"/>
        <v>2.8374106711169314E-2</v>
      </c>
      <c r="AJ300" s="365">
        <v>613323</v>
      </c>
      <c r="AK300" s="43">
        <f>AJ300*'KiGa - PS'!$L301</f>
        <v>613323</v>
      </c>
      <c r="AL300" s="365">
        <v>0</v>
      </c>
      <c r="AM300" s="43">
        <f>AL300*'KiGa - PS'!$L301</f>
        <v>0</v>
      </c>
      <c r="AN300" s="97">
        <f>(AK300+AM300)/Funktional!E300</f>
        <v>0.19851735141822349</v>
      </c>
    </row>
    <row r="301" spans="1:41" x14ac:dyDescent="0.25">
      <c r="A301" s="34"/>
      <c r="B301" s="34"/>
      <c r="C301" s="43">
        <f>Funktional!D301</f>
        <v>0</v>
      </c>
      <c r="D301" s="103"/>
      <c r="F301" s="81"/>
      <c r="G301" s="103"/>
      <c r="H301" s="103"/>
      <c r="I301" s="103"/>
      <c r="Q301" s="16"/>
      <c r="R301" s="16"/>
      <c r="S301" s="103"/>
      <c r="Z301" s="92"/>
      <c r="AI301" s="99"/>
      <c r="AJ301" s="96"/>
      <c r="AK301" s="98">
        <f>AJ301</f>
        <v>0</v>
      </c>
      <c r="AL301" s="96"/>
      <c r="AM301" s="96"/>
      <c r="AN301" s="99"/>
    </row>
    <row r="302" spans="1:41" x14ac:dyDescent="0.25">
      <c r="A302" s="29" t="s">
        <v>28</v>
      </c>
      <c r="C302" s="43">
        <f>Funktional!D302</f>
        <v>0</v>
      </c>
      <c r="D302" s="103"/>
      <c r="F302" s="81"/>
      <c r="G302" s="103"/>
      <c r="H302" s="103"/>
      <c r="I302" s="103"/>
      <c r="Q302" s="16"/>
      <c r="R302" s="16"/>
      <c r="S302" s="103"/>
      <c r="Z302" s="92"/>
      <c r="AI302" s="99"/>
      <c r="AJ302" s="96"/>
      <c r="AK302" s="98">
        <f>AJ302</f>
        <v>0</v>
      </c>
      <c r="AL302" s="96"/>
      <c r="AM302" s="96"/>
      <c r="AN302" s="99"/>
    </row>
    <row r="303" spans="1:41" x14ac:dyDescent="0.25">
      <c r="A303" s="43" t="s">
        <v>29</v>
      </c>
      <c r="B303" s="43"/>
      <c r="C303" s="43">
        <f>Funktional!D303</f>
        <v>19861</v>
      </c>
      <c r="D303" s="43"/>
      <c r="E303" s="43">
        <f>SUM(E8:E129)+SUM(E258:E264)+0.85*2/3*SUM(E252:E257)</f>
        <v>241363584.8813538</v>
      </c>
      <c r="F303" s="245">
        <f>SUM(F8:F129)+SUM(F258:F264)+2/3*SUM(F252:F257)</f>
        <v>175921061.0266667</v>
      </c>
      <c r="G303" s="245">
        <f>SUM(G8:G129)+SUM(G258:G264)+0.85*2/3*SUM(G252:G257)</f>
        <v>148900315.319792</v>
      </c>
      <c r="H303" s="42">
        <f t="shared" ref="H303:H306" si="306">G303/$E303</f>
        <v>0.6169129257546716</v>
      </c>
      <c r="I303" s="85">
        <f t="shared" ref="I303:I306" si="307">G303/C303</f>
        <v>7497.1207552385076</v>
      </c>
      <c r="J303" s="245">
        <f>SUM(J8:J129)+SUM(J258:J264)+2/3*SUM(J252:J257)</f>
        <v>35044419.806666672</v>
      </c>
      <c r="K303" s="245">
        <f>SUM(K8:K129)+SUM(K258:K264)+0.85*2/3*SUM(K252:K257)</f>
        <v>29668646.143794291</v>
      </c>
      <c r="L303" s="42">
        <f>J303/$E303</f>
        <v>0.14519348402905652</v>
      </c>
      <c r="M303" s="43">
        <f>J303/C303</f>
        <v>1764.4841552120574</v>
      </c>
      <c r="N303" s="245">
        <f>SUM(N8:N129)+SUM(N258:N264)+2/3*SUM(N252:N257)</f>
        <v>7142216.253333332</v>
      </c>
      <c r="O303" s="245">
        <f>SUM(O8:O129)+SUM(O258:O264)+0.85*2/3*SUM(O252:O257)</f>
        <v>6034815.5925359838</v>
      </c>
      <c r="P303" s="42">
        <f t="shared" ref="P303:P306" si="308">O303/$E303</f>
        <v>2.5003007788032713E-2</v>
      </c>
      <c r="Q303" s="43">
        <f>O303/Funktional!C303</f>
        <v>6075.1138477258992</v>
      </c>
      <c r="R303" s="85">
        <f t="shared" si="298"/>
        <v>303.8525548832377</v>
      </c>
      <c r="S303" s="245">
        <f t="shared" ref="S303:T303" si="309">SUM(S8:S129)+SUM(S258:S264)+2/3*SUM(S252:S257)</f>
        <v>2932636.189999999</v>
      </c>
      <c r="T303" s="245">
        <f t="shared" si="309"/>
        <v>15859309.283333335</v>
      </c>
      <c r="U303" s="245">
        <f>SUM(U8:U129)+SUM(U258:U264)+0.85*2/3*SUM(U252:U257)</f>
        <v>13400066.543793261</v>
      </c>
      <c r="V303" s="42">
        <f>T303/$E303</f>
        <v>6.5707133456479105E-2</v>
      </c>
      <c r="W303" s="43">
        <f>T303/C303</f>
        <v>798.51514442038842</v>
      </c>
      <c r="X303" s="245">
        <f>SUM(X8:X129)+SUM(X258:X264)+2/3*SUM(X252:X257)</f>
        <v>14189212.600000001</v>
      </c>
      <c r="Y303" s="245">
        <f>SUM(Y8:Y129)+SUM(Y258:Y264)+0.85*2/3*SUM(Y252:Y257)</f>
        <v>11993923.07679846</v>
      </c>
      <c r="Z303" s="91">
        <f>X303/$E303</f>
        <v>5.8787710693702783E-2</v>
      </c>
      <c r="AA303" s="245">
        <f>SUM(AA8:AA129)+SUM(AA258:AA264)+2/3*SUM(AA252:AA257)</f>
        <v>24976516.516666681</v>
      </c>
      <c r="AB303" s="245">
        <f>SUM(AB8:AB129)+SUM(AB258:AB264)+0.85*2/3*SUM(AB252:AB257)</f>
        <v>21084960.149210982</v>
      </c>
      <c r="AC303" s="43">
        <f>AA303/C303</f>
        <v>1257.5659089001904</v>
      </c>
      <c r="AD303" s="42">
        <f>AA303/$E303</f>
        <v>0.10348088146330896</v>
      </c>
      <c r="AE303" s="245">
        <f>SUM(AE8:AE129)+SUM(AE258:AE264)+2/3*SUM(AE252:AE257)</f>
        <v>18102532.236666668</v>
      </c>
      <c r="AF303" s="245">
        <f>SUM(AF8:AF129)+SUM(AF258:AF264)+0.85*2/3*SUM(AF252:AF257)</f>
        <v>15284561.53043773</v>
      </c>
      <c r="AG303" s="42">
        <f>AE303/$E303</f>
        <v>7.5001091177715404E-2</v>
      </c>
      <c r="AH303" s="42">
        <f>AE303/'Kennzahlen Revision'!F303</f>
        <v>5.9321316095259868E-2</v>
      </c>
      <c r="AI303" s="97">
        <f t="shared" si="305"/>
        <v>6.8705575296483815E-2</v>
      </c>
      <c r="AJ303" s="245">
        <f>SUM(AJ8:AJ129)+SUM(AJ258:AJ264)+2/3*SUM(AJ252:AJ257)</f>
        <v>28813767.366666671</v>
      </c>
      <c r="AK303" s="245">
        <f>SUM(AK8:AK129)+SUM(AK258:AK264)+0.85*2/3*SUM(AK252:AK257)</f>
        <v>24387691.719516866</v>
      </c>
      <c r="AL303" s="245">
        <f>SUM(AL8:AL129)+SUM(AL258:AL264)+2/3*SUM(AL252:AL257)</f>
        <v>21532672.5</v>
      </c>
      <c r="AM303" s="245">
        <f>SUM(AM8:AM129)+SUM(AM258:AM264)+0.85*2/3*SUM(AM252:AM257)</f>
        <v>18479834.029537495</v>
      </c>
      <c r="AN303" s="97">
        <f>(AK303+AM303)/Funktional!E303</f>
        <v>0.1907272585092572</v>
      </c>
      <c r="AO303" s="16"/>
    </row>
    <row r="304" spans="1:41" x14ac:dyDescent="0.25">
      <c r="A304" s="43" t="s">
        <v>30</v>
      </c>
      <c r="B304" s="43"/>
      <c r="C304" s="43">
        <f>Funktional!D304</f>
        <v>5455</v>
      </c>
      <c r="D304" s="43"/>
      <c r="E304" s="43">
        <f>SUM(E130:E251)+SUM(E265:E271)+0.15*2/3*SUM(E252:E257)</f>
        <v>44386620.00356999</v>
      </c>
      <c r="F304" s="245"/>
      <c r="G304" s="245">
        <f>SUM(G130:G251)+SUM(G265:G271)+0.15*2/3*SUM(G252:G257)</f>
        <v>27020745.706874661</v>
      </c>
      <c r="H304" s="42">
        <f t="shared" si="306"/>
        <v>0.60875880399772264</v>
      </c>
      <c r="I304" s="85">
        <f t="shared" si="307"/>
        <v>4953.3905970439346</v>
      </c>
      <c r="J304" s="245"/>
      <c r="K304" s="245">
        <f>SUM(K130:K251)+SUM(K265:K271)+0.15*2/3*SUM(K252:K257)</f>
        <v>5375773.6628723796</v>
      </c>
      <c r="L304" s="42"/>
      <c r="M304" s="43"/>
      <c r="N304" s="245"/>
      <c r="O304" s="245">
        <f>SUM(O130:O251)+SUM(O265:O271)+0.15*2/3*SUM(O252:O257)</f>
        <v>1107400.6607973475</v>
      </c>
      <c r="P304" s="42">
        <f t="shared" si="308"/>
        <v>2.4948974729508126E-2</v>
      </c>
      <c r="Q304" s="43">
        <f>O304/Funktional!C304</f>
        <v>4221.8858589300326</v>
      </c>
      <c r="R304" s="85">
        <f t="shared" si="298"/>
        <v>203.00653726807471</v>
      </c>
      <c r="S304" s="245"/>
      <c r="T304" s="245"/>
      <c r="U304" s="245">
        <f>SUM(U130:U251)+SUM(U265:U271)+0.15*2/3*SUM(U252:U257)</f>
        <v>2459242.7395400801</v>
      </c>
      <c r="V304" s="42"/>
      <c r="W304" s="43"/>
      <c r="X304" s="245"/>
      <c r="Y304" s="245">
        <f>SUM(Y130:Y251)+SUM(Y265:Y271)+0.15*2/3*SUM(Y252:Y257)</f>
        <v>2195289.5232015382</v>
      </c>
      <c r="Z304" s="91"/>
      <c r="AA304" s="245"/>
      <c r="AB304" s="245">
        <f>SUM(AB130:AB251)+SUM(AB265:AB271)+0.15*2/3*SUM(AB252:AB257)</f>
        <v>3891556.3674556939</v>
      </c>
      <c r="AC304" s="43"/>
      <c r="AD304" s="42"/>
      <c r="AE304" s="245"/>
      <c r="AF304" s="245">
        <f>SUM(AF130:AF251)+SUM(AF265:AF271)+0.15*2/3*SUM(AF252:AF257)</f>
        <v>2817970.7062289356</v>
      </c>
      <c r="AG304" s="42"/>
      <c r="AH304" s="42"/>
      <c r="AI304" s="97"/>
      <c r="AJ304" s="245"/>
      <c r="AK304" s="245">
        <f>SUM(AK130:AK251)+SUM(AK265:AK271)+0.15*2/3*SUM(AK252:AK257)</f>
        <v>4426075.6471497975</v>
      </c>
      <c r="AL304" s="245"/>
      <c r="AM304" s="245">
        <f>SUM(AM130:AM251)+SUM(AM265:AM271)+0.15*2/3*SUM(AM252:AM257)</f>
        <v>3052838.4704625034</v>
      </c>
      <c r="AN304" s="97">
        <f>(AK304+AM304)/Funktional!E304</f>
        <v>0.18114514506678972</v>
      </c>
      <c r="AO304" s="16"/>
    </row>
    <row r="305" spans="1:55" x14ac:dyDescent="0.25">
      <c r="A305" s="43" t="s">
        <v>31</v>
      </c>
      <c r="B305" s="43"/>
      <c r="C305" s="43">
        <f>Funktional!D305</f>
        <v>9414</v>
      </c>
      <c r="D305" s="43"/>
      <c r="E305" s="43">
        <f>Funktional!J305</f>
        <v>156194500.79666662</v>
      </c>
      <c r="F305" s="245">
        <f t="shared" ref="F305:G305" si="310">SUM(F272:F300)+1/3*SUM(F252:F257)</f>
        <v>98638767.63333334</v>
      </c>
      <c r="G305" s="245">
        <f t="shared" si="310"/>
        <v>98638767.63333334</v>
      </c>
      <c r="H305" s="42">
        <f t="shared" si="306"/>
        <v>0.63151242284605713</v>
      </c>
      <c r="I305" s="85">
        <f t="shared" si="307"/>
        <v>10477.88056440762</v>
      </c>
      <c r="J305" s="245">
        <f t="shared" ref="J305:K305" si="311">SUM(J272:J300)+1/3*SUM(J252:J257)</f>
        <v>22376335.123333327</v>
      </c>
      <c r="K305" s="245">
        <f t="shared" si="311"/>
        <v>22376335.123333327</v>
      </c>
      <c r="L305" s="42">
        <f t="shared" ref="L305:L306" si="312">J305/$E305</f>
        <v>0.1432594298083692</v>
      </c>
      <c r="M305" s="43">
        <f t="shared" ref="M305:M306" si="313">J305/C305</f>
        <v>2376.9210880957435</v>
      </c>
      <c r="N305" s="245">
        <f t="shared" ref="N305:O305" si="314">SUM(N272:N300)+1/3*SUM(N252:N257)</f>
        <v>5940014.2666666675</v>
      </c>
      <c r="O305" s="245">
        <f t="shared" si="314"/>
        <v>5940014.2666666675</v>
      </c>
      <c r="P305" s="42">
        <f t="shared" si="308"/>
        <v>3.8029599226411658E-2</v>
      </c>
      <c r="Q305" s="43">
        <f>O305/Funktional!C305</f>
        <v>11628.086655791192</v>
      </c>
      <c r="R305" s="85">
        <f t="shared" si="298"/>
        <v>630.97665887685014</v>
      </c>
      <c r="S305" s="245">
        <f t="shared" ref="S305:U305" si="315">SUM(S272:S300)+1/3*SUM(S252:S257)</f>
        <v>1921653.5999999999</v>
      </c>
      <c r="T305" s="245">
        <f t="shared" si="315"/>
        <v>8207735.2466666671</v>
      </c>
      <c r="U305" s="245">
        <f t="shared" si="315"/>
        <v>8207735.2466666671</v>
      </c>
      <c r="V305" s="42">
        <f t="shared" ref="V305:V306" si="316">T305/$E305</f>
        <v>5.2548170420874576E-2</v>
      </c>
      <c r="W305" s="43">
        <f t="shared" ref="W305:W306" si="317">T305/C305</f>
        <v>871.86480206784222</v>
      </c>
      <c r="X305" s="245">
        <f t="shared" ref="X305:Y305" si="318">SUM(X272:X300)+1/3*SUM(X252:X257)</f>
        <v>7226775.9500000002</v>
      </c>
      <c r="Y305" s="245">
        <f t="shared" si="318"/>
        <v>7226775.9500000002</v>
      </c>
      <c r="Z305" s="91">
        <f t="shared" ref="Z305:Z306" si="319">X305/$E305</f>
        <v>4.626780016671514E-2</v>
      </c>
      <c r="AA305" s="245">
        <f t="shared" ref="AA305:AB305" si="320">SUM(AA272:AA300)+1/3*SUM(AA252:AA257)</f>
        <v>17981083.693333331</v>
      </c>
      <c r="AB305" s="245">
        <f t="shared" si="320"/>
        <v>17981083.693333331</v>
      </c>
      <c r="AC305" s="43">
        <f t="shared" ref="AC305:AC306" si="321">AA305/C305</f>
        <v>1910.0365087458392</v>
      </c>
      <c r="AD305" s="42">
        <f t="shared" ref="AD305:AD306" si="322">AA305/$E305</f>
        <v>0.11511982561243328</v>
      </c>
      <c r="AE305" s="245">
        <f t="shared" ref="AE305:AF305" si="323">SUM(AE272:AE300)+1/3*SUM(AE252:AE257)</f>
        <v>16237848.583333334</v>
      </c>
      <c r="AF305" s="245">
        <f t="shared" si="323"/>
        <v>16237848.583333334</v>
      </c>
      <c r="AG305" s="42">
        <f t="shared" ref="AG305:AG306" si="324">AE305/$E305</f>
        <v>0.1039591566957386</v>
      </c>
      <c r="AH305" s="42">
        <f>AE305/'Kennzahlen Revision'!F305</f>
        <v>9.392996583658314E-2</v>
      </c>
      <c r="AI305" s="97">
        <f t="shared" ref="AI305:AI306" si="325">1-H305-L305-V305-AD305</f>
        <v>5.7560151312265828E-2</v>
      </c>
      <c r="AJ305" s="245">
        <f t="shared" ref="AJ305:AM305" si="326">SUM(AJ272:AJ300)+1/3*SUM(AJ252:AJ257)</f>
        <v>15375175.833333334</v>
      </c>
      <c r="AK305" s="245">
        <f t="shared" si="326"/>
        <v>15375175.833333334</v>
      </c>
      <c r="AL305" s="245">
        <f t="shared" si="326"/>
        <v>0</v>
      </c>
      <c r="AM305" s="245">
        <f t="shared" si="326"/>
        <v>0</v>
      </c>
      <c r="AN305" s="97">
        <f>(AK305+AM305)/Funktional!E305</f>
        <v>0.10077726516270698</v>
      </c>
      <c r="AO305" s="16"/>
    </row>
    <row r="306" spans="1:55" s="35" customFormat="1" x14ac:dyDescent="0.25">
      <c r="A306" s="43" t="s">
        <v>32</v>
      </c>
      <c r="B306" s="43"/>
      <c r="C306" s="43">
        <f>Funktional!D306</f>
        <v>34730</v>
      </c>
      <c r="D306" s="43"/>
      <c r="E306" s="43">
        <f>Funktional!J306</f>
        <v>442466003.15999979</v>
      </c>
      <c r="F306" s="245">
        <f>F303+F305</f>
        <v>274559828.66000003</v>
      </c>
      <c r="G306" s="245">
        <f>SUM(G8:G300)</f>
        <v>274559828.65999979</v>
      </c>
      <c r="H306" s="42">
        <f t="shared" si="306"/>
        <v>0.62052186314688773</v>
      </c>
      <c r="I306" s="85">
        <f t="shared" si="307"/>
        <v>7905.5522217103307</v>
      </c>
      <c r="J306" s="245">
        <f>J303+J305</f>
        <v>57420754.93</v>
      </c>
      <c r="K306" s="245">
        <f>SUM(K8:K300)</f>
        <v>57420754.93</v>
      </c>
      <c r="L306" s="42">
        <f t="shared" si="312"/>
        <v>0.12977438835958685</v>
      </c>
      <c r="M306" s="43">
        <f t="shared" si="313"/>
        <v>1653.3473921681543</v>
      </c>
      <c r="N306" s="245">
        <f>N303+N305</f>
        <v>13082230.52</v>
      </c>
      <c r="O306" s="245">
        <f>SUM(O8:O300)</f>
        <v>13082230.519999996</v>
      </c>
      <c r="P306" s="42">
        <f t="shared" si="308"/>
        <v>2.9566634332512415E-2</v>
      </c>
      <c r="Q306" s="43">
        <f>O306/Funktional!C306</f>
        <v>7405.7347976224146</v>
      </c>
      <c r="R306" s="85">
        <f t="shared" si="298"/>
        <v>376.6838617909587</v>
      </c>
      <c r="S306" s="245">
        <f t="shared" ref="S306:T306" si="327">S303+S305</f>
        <v>4854289.7899999991</v>
      </c>
      <c r="T306" s="245">
        <f t="shared" si="327"/>
        <v>24067044.530000001</v>
      </c>
      <c r="U306" s="245">
        <f>SUM(U8:U300)</f>
        <v>24067044.53000002</v>
      </c>
      <c r="V306" s="42">
        <f t="shared" si="316"/>
        <v>5.4392980156934535E-2</v>
      </c>
      <c r="W306" s="43">
        <f t="shared" si="317"/>
        <v>692.97565591707462</v>
      </c>
      <c r="X306" s="245">
        <f>X303+X305</f>
        <v>21415988.550000001</v>
      </c>
      <c r="Y306" s="245">
        <f>SUM(Y8:Y300)</f>
        <v>21415988.550000004</v>
      </c>
      <c r="Z306" s="91">
        <f t="shared" si="319"/>
        <v>4.8401432871794631E-2</v>
      </c>
      <c r="AA306" s="245">
        <f>AA303+AA305</f>
        <v>42957600.210000008</v>
      </c>
      <c r="AB306" s="245">
        <f>SUM(AB8:AB300)</f>
        <v>42957600.210000023</v>
      </c>
      <c r="AC306" s="43">
        <f t="shared" si="321"/>
        <v>1236.9018200403111</v>
      </c>
      <c r="AD306" s="42">
        <f t="shared" si="322"/>
        <v>9.7086781590462995E-2</v>
      </c>
      <c r="AE306" s="245">
        <f>AE303+AE305</f>
        <v>34340380.82</v>
      </c>
      <c r="AF306" s="245">
        <f>SUM(AF8:AF300)</f>
        <v>34340380.819999993</v>
      </c>
      <c r="AG306" s="42">
        <f t="shared" si="324"/>
        <v>7.7611343187382012E-2</v>
      </c>
      <c r="AH306" s="42">
        <f>AE306/'Kennzahlen Revision'!F306</f>
        <v>7.1836911805724296E-2</v>
      </c>
      <c r="AI306" s="97">
        <f t="shared" si="325"/>
        <v>9.8223986746127895E-2</v>
      </c>
      <c r="AJ306" s="245">
        <f>AJ303+AJ305</f>
        <v>44188943.200000003</v>
      </c>
      <c r="AK306" s="245">
        <f>SUM(AK8:AK300)</f>
        <v>44188943.199999996</v>
      </c>
      <c r="AL306" s="245">
        <f>AL303+AL305</f>
        <v>21532672.5</v>
      </c>
      <c r="AM306" s="245">
        <f>SUM(AM8:AM300)</f>
        <v>21532672.500000004</v>
      </c>
      <c r="AN306" s="97">
        <f>(AK306+AM306)/Funktional!E306</f>
        <v>0.15699924486244535</v>
      </c>
      <c r="AO306" s="16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</row>
    <row r="307" spans="1:55" x14ac:dyDescent="0.25">
      <c r="F307" s="81"/>
      <c r="G307" s="103"/>
      <c r="I307" s="86"/>
      <c r="O307" s="103"/>
      <c r="P307" s="103"/>
      <c r="Q307" s="103"/>
      <c r="R307" s="103"/>
      <c r="Z307" s="92"/>
      <c r="AI307" s="99"/>
      <c r="AJ307" s="96"/>
      <c r="AK307" s="96"/>
      <c r="AL307" s="96"/>
      <c r="AM307" s="96"/>
      <c r="AN307" s="99"/>
      <c r="AO307" s="16"/>
    </row>
    <row r="308" spans="1:55" x14ac:dyDescent="0.25">
      <c r="A308" s="29" t="s">
        <v>33</v>
      </c>
      <c r="F308" s="81"/>
      <c r="G308" s="103"/>
      <c r="I308" s="86"/>
      <c r="O308" s="103"/>
      <c r="P308" s="103"/>
      <c r="Q308" s="103"/>
      <c r="R308" s="103"/>
      <c r="Z308" s="92"/>
      <c r="AI308" s="99"/>
      <c r="AJ308" s="96"/>
      <c r="AK308" s="96"/>
      <c r="AL308" s="96"/>
      <c r="AM308" s="96"/>
      <c r="AN308" s="99"/>
      <c r="AO308" s="16"/>
    </row>
    <row r="309" spans="1:55" x14ac:dyDescent="0.25">
      <c r="A309" s="43" t="s">
        <v>34</v>
      </c>
      <c r="B309" s="43"/>
      <c r="C309" s="43">
        <f>MAX(C8:C129)</f>
        <v>1599</v>
      </c>
      <c r="D309" s="43"/>
      <c r="E309" s="43">
        <f>MAX(E8:E129)</f>
        <v>18895957.237325668</v>
      </c>
      <c r="F309" s="80">
        <f t="shared" ref="F309:V309" si="328">MAX(F8:F129)</f>
        <v>14702484.449999999</v>
      </c>
      <c r="G309" s="43">
        <f t="shared" si="328"/>
        <v>12269879.757246045</v>
      </c>
      <c r="H309" s="43">
        <f t="shared" si="328"/>
        <v>0.79784741047438323</v>
      </c>
      <c r="I309" s="43">
        <f t="shared" si="328"/>
        <v>18372.598009144724</v>
      </c>
      <c r="J309" s="43">
        <f t="shared" si="328"/>
        <v>2136978.7000000002</v>
      </c>
      <c r="K309" s="43">
        <f t="shared" si="328"/>
        <v>1783404.1438347499</v>
      </c>
      <c r="L309" s="43">
        <f t="shared" si="328"/>
        <v>0.33920113091770038</v>
      </c>
      <c r="M309" s="43">
        <f t="shared" si="328"/>
        <v>5778.2107142857139</v>
      </c>
      <c r="N309" s="43">
        <f t="shared" si="328"/>
        <v>462392.25</v>
      </c>
      <c r="O309" s="43">
        <f t="shared" si="328"/>
        <v>385886.97899846802</v>
      </c>
      <c r="P309" s="43">
        <f t="shared" si="328"/>
        <v>6.4185458248321947E-2</v>
      </c>
      <c r="Q309" s="43">
        <f t="shared" si="328"/>
        <v>21699.599999999999</v>
      </c>
      <c r="R309" s="43">
        <f t="shared" si="328"/>
        <v>803.68888888888887</v>
      </c>
      <c r="S309" s="43">
        <f t="shared" si="328"/>
        <v>171569.5</v>
      </c>
      <c r="T309" s="43">
        <f t="shared" si="328"/>
        <v>1391175</v>
      </c>
      <c r="U309" s="43">
        <f t="shared" si="328"/>
        <v>1160997.6551471045</v>
      </c>
      <c r="V309" s="43">
        <f t="shared" si="328"/>
        <v>0.14389118870073392</v>
      </c>
      <c r="W309" s="43">
        <f t="shared" ref="W309:AL309" si="329">MAX(W8:W129)</f>
        <v>4210.9826138898197</v>
      </c>
      <c r="X309" s="43">
        <f t="shared" si="329"/>
        <v>1360338.55</v>
      </c>
      <c r="Y309" s="43">
        <f t="shared" si="329"/>
        <v>1135263.2607372995</v>
      </c>
      <c r="Z309" s="43">
        <f t="shared" si="329"/>
        <v>0.14080760727861874</v>
      </c>
      <c r="AA309" s="43">
        <f t="shared" si="329"/>
        <v>1623009.4</v>
      </c>
      <c r="AB309" s="43">
        <f t="shared" si="329"/>
        <v>1354473.8136335898</v>
      </c>
      <c r="AC309" s="43">
        <f t="shared" si="329"/>
        <v>5138.2886620635909</v>
      </c>
      <c r="AD309" s="43">
        <f t="shared" si="329"/>
        <v>0.25744007112602146</v>
      </c>
      <c r="AE309" s="43">
        <f t="shared" si="329"/>
        <v>1346100</v>
      </c>
      <c r="AF309" s="43">
        <f t="shared" si="329"/>
        <v>1123380.5549938129</v>
      </c>
      <c r="AG309" s="43">
        <f t="shared" si="329"/>
        <v>0.25744007112602146</v>
      </c>
      <c r="AH309" s="43">
        <f t="shared" si="329"/>
        <v>0.24996977390883812</v>
      </c>
      <c r="AI309" s="43">
        <f t="shared" si="329"/>
        <v>0.77282979444446998</v>
      </c>
      <c r="AJ309" s="43">
        <f t="shared" si="329"/>
        <v>1143091.05</v>
      </c>
      <c r="AK309" s="43">
        <f t="shared" si="329"/>
        <v>971314.87304215448</v>
      </c>
      <c r="AL309" s="43">
        <f t="shared" si="329"/>
        <v>2511219</v>
      </c>
      <c r="AM309" s="43">
        <f t="shared" ref="AM309:AN309" si="330">MAX(AM8:AM129)</f>
        <v>2196650.5968981511</v>
      </c>
      <c r="AN309" s="42">
        <f t="shared" si="330"/>
        <v>0.75849143961912124</v>
      </c>
      <c r="AO309" s="16"/>
    </row>
    <row r="310" spans="1:55" s="143" customFormat="1" ht="14.25" x14ac:dyDescent="0.3">
      <c r="A310" s="134" t="s">
        <v>233</v>
      </c>
      <c r="B310" s="134"/>
      <c r="C310" s="134"/>
      <c r="D310" s="134"/>
      <c r="E310" s="134"/>
      <c r="F310" s="136"/>
      <c r="G310" s="43">
        <f>MAX(G130:G251)</f>
        <v>2432604.6927539543</v>
      </c>
      <c r="H310" s="43">
        <f t="shared" ref="H310:X310" si="331">MAX(H130:H251)</f>
        <v>0.79784741047438346</v>
      </c>
      <c r="I310" s="43">
        <f t="shared" si="331"/>
        <v>9383.4873581974662</v>
      </c>
      <c r="J310" s="43">
        <f t="shared" si="331"/>
        <v>2136978.7000000002</v>
      </c>
      <c r="K310" s="43">
        <f t="shared" si="331"/>
        <v>353574.55616525037</v>
      </c>
      <c r="L310" s="43">
        <f t="shared" si="331"/>
        <v>0.21612782085657356</v>
      </c>
      <c r="M310" s="43">
        <f t="shared" si="331"/>
        <v>3566.8972794161764</v>
      </c>
      <c r="N310" s="43">
        <f t="shared" si="331"/>
        <v>462392.25</v>
      </c>
      <c r="O310" s="43">
        <f t="shared" si="331"/>
        <v>76505.271001531961</v>
      </c>
      <c r="P310" s="43">
        <f t="shared" si="331"/>
        <v>5.1039835873275034E-2</v>
      </c>
      <c r="Q310" s="43">
        <f t="shared" si="331"/>
        <v>11169.942916866445</v>
      </c>
      <c r="R310" s="43">
        <f t="shared" si="331"/>
        <v>760.62257076833043</v>
      </c>
      <c r="S310" s="43">
        <f t="shared" si="331"/>
        <v>171569.5</v>
      </c>
      <c r="T310" s="43">
        <f t="shared" si="331"/>
        <v>1391175</v>
      </c>
      <c r="U310" s="43">
        <f t="shared" si="331"/>
        <v>230177.34485289542</v>
      </c>
      <c r="V310" s="43">
        <f t="shared" si="331"/>
        <v>0.14123790662207794</v>
      </c>
      <c r="W310" s="43">
        <f t="shared" si="331"/>
        <v>3344.0501934557487</v>
      </c>
      <c r="X310" s="43">
        <f t="shared" si="331"/>
        <v>1360338.55</v>
      </c>
      <c r="Y310" s="43">
        <f t="shared" ref="Y310:AN310" si="332">MAX(Y130:Y251)</f>
        <v>225075.28926270074</v>
      </c>
      <c r="Z310" s="43">
        <f t="shared" si="332"/>
        <v>0.14080760727861874</v>
      </c>
      <c r="AA310" s="43">
        <f t="shared" si="332"/>
        <v>1623009.4</v>
      </c>
      <c r="AB310" s="43">
        <f t="shared" si="332"/>
        <v>268535.58636641031</v>
      </c>
      <c r="AC310" s="43">
        <f t="shared" si="332"/>
        <v>4934.1957462219452</v>
      </c>
      <c r="AD310" s="43">
        <f t="shared" si="332"/>
        <v>0.25744007112602146</v>
      </c>
      <c r="AE310" s="43">
        <f t="shared" si="332"/>
        <v>1346100</v>
      </c>
      <c r="AF310" s="43">
        <f t="shared" si="332"/>
        <v>222719.44500618722</v>
      </c>
      <c r="AG310" s="43">
        <f t="shared" si="332"/>
        <v>0.25744007112602146</v>
      </c>
      <c r="AH310" s="43">
        <f t="shared" si="332"/>
        <v>0</v>
      </c>
      <c r="AI310" s="43">
        <f t="shared" si="332"/>
        <v>0.77282979444446998</v>
      </c>
      <c r="AJ310" s="43">
        <f t="shared" si="332"/>
        <v>1143091.05</v>
      </c>
      <c r="AK310" s="43">
        <f t="shared" si="332"/>
        <v>171776.1769578456</v>
      </c>
      <c r="AL310" s="43">
        <f t="shared" si="332"/>
        <v>2511219</v>
      </c>
      <c r="AM310" s="43">
        <f t="shared" si="332"/>
        <v>314568.40310184885</v>
      </c>
      <c r="AN310" s="42">
        <f t="shared" si="332"/>
        <v>0.68715727962925022</v>
      </c>
      <c r="AO310" s="141"/>
      <c r="AP310" s="142"/>
      <c r="AQ310" s="142"/>
      <c r="AR310" s="142"/>
      <c r="AS310" s="142"/>
      <c r="AT310" s="142"/>
      <c r="AU310" s="142"/>
      <c r="AV310" s="142"/>
      <c r="AW310" s="142"/>
      <c r="AX310" s="142"/>
      <c r="AY310" s="142"/>
      <c r="AZ310" s="142"/>
      <c r="BA310" s="142"/>
      <c r="BB310" s="142"/>
      <c r="BC310" s="142"/>
    </row>
    <row r="311" spans="1:55" s="143" customFormat="1" ht="14.25" x14ac:dyDescent="0.3">
      <c r="A311" s="134" t="s">
        <v>233</v>
      </c>
      <c r="B311" s="134"/>
      <c r="C311" s="134"/>
      <c r="D311" s="134"/>
      <c r="E311" s="134"/>
      <c r="F311" s="136"/>
      <c r="G311" s="43">
        <f>MAX(G265:G271)</f>
        <v>173597.89282602337</v>
      </c>
      <c r="H311" s="43">
        <f t="shared" ref="H311:X311" si="333">MAX(H265:H271)</f>
        <v>0.5933764115511283</v>
      </c>
      <c r="I311" s="43">
        <f t="shared" si="333"/>
        <v>5424.9341508132302</v>
      </c>
      <c r="J311" s="43">
        <f t="shared" si="333"/>
        <v>245335.25</v>
      </c>
      <c r="K311" s="43">
        <f t="shared" si="333"/>
        <v>47392.346951603962</v>
      </c>
      <c r="L311" s="43">
        <f t="shared" si="333"/>
        <v>0.14673158259177491</v>
      </c>
      <c r="M311" s="43">
        <f t="shared" si="333"/>
        <v>1510.1608801178772</v>
      </c>
      <c r="N311" s="43">
        <f t="shared" si="333"/>
        <v>48006.6</v>
      </c>
      <c r="O311" s="43">
        <f t="shared" ref="O311:R311" si="334">MAX(O70:O271)</f>
        <v>634354.25</v>
      </c>
      <c r="P311" s="43">
        <f t="shared" si="334"/>
        <v>5.1039835873275034E-2</v>
      </c>
      <c r="Q311" s="43">
        <f t="shared" si="334"/>
        <v>12693.345631009699</v>
      </c>
      <c r="R311" s="43">
        <f t="shared" si="334"/>
        <v>760.62257076833043</v>
      </c>
      <c r="S311" s="43">
        <f t="shared" si="333"/>
        <v>27130.3</v>
      </c>
      <c r="T311" s="43">
        <f t="shared" si="333"/>
        <v>198347.6</v>
      </c>
      <c r="U311" s="43">
        <f t="shared" si="333"/>
        <v>32737.634659143499</v>
      </c>
      <c r="V311" s="43">
        <f t="shared" si="333"/>
        <v>0.12148757470565626</v>
      </c>
      <c r="W311" s="43">
        <f t="shared" si="333"/>
        <v>1259.1397945824424</v>
      </c>
      <c r="X311" s="43">
        <f t="shared" si="333"/>
        <v>194059</v>
      </c>
      <c r="Y311" s="43">
        <f t="shared" ref="Y311:AN311" si="335">MAX(Y265:Y271)</f>
        <v>32029.793374453373</v>
      </c>
      <c r="Z311" s="43">
        <f t="shared" si="335"/>
        <v>0.11886081434716098</v>
      </c>
      <c r="AA311" s="43">
        <f t="shared" si="335"/>
        <v>276261.90000000002</v>
      </c>
      <c r="AB311" s="43">
        <f t="shared" si="335"/>
        <v>54024.633760700082</v>
      </c>
      <c r="AC311" s="43">
        <f t="shared" si="335"/>
        <v>1338.6690673820076</v>
      </c>
      <c r="AD311" s="43">
        <f t="shared" si="335"/>
        <v>0.13275290098244688</v>
      </c>
      <c r="AE311" s="43">
        <f t="shared" si="335"/>
        <v>260000</v>
      </c>
      <c r="AF311" s="43">
        <f t="shared" si="335"/>
        <v>50844.523902072709</v>
      </c>
      <c r="AG311" s="43">
        <f t="shared" si="335"/>
        <v>0.12493852483978496</v>
      </c>
      <c r="AH311" s="43">
        <f t="shared" si="335"/>
        <v>0.13989445501424772</v>
      </c>
      <c r="AI311" s="43">
        <f t="shared" si="335"/>
        <v>1</v>
      </c>
      <c r="AJ311" s="43">
        <f t="shared" si="335"/>
        <v>297485.05</v>
      </c>
      <c r="AK311" s="43">
        <f t="shared" si="335"/>
        <v>48561.691921438076</v>
      </c>
      <c r="AL311" s="43">
        <f t="shared" si="335"/>
        <v>125263</v>
      </c>
      <c r="AM311" s="43">
        <f t="shared" si="335"/>
        <v>14818.937203084259</v>
      </c>
      <c r="AN311" s="42">
        <f t="shared" si="335"/>
        <v>0.54276542526099558</v>
      </c>
      <c r="AO311" s="141"/>
      <c r="AP311" s="142"/>
      <c r="AQ311" s="142"/>
      <c r="AR311" s="142"/>
      <c r="AS311" s="142"/>
      <c r="AT311" s="142"/>
      <c r="AU311" s="142"/>
      <c r="AV311" s="142"/>
      <c r="AW311" s="142"/>
      <c r="AX311" s="142"/>
      <c r="AY311" s="142"/>
      <c r="AZ311" s="142"/>
      <c r="BA311" s="142"/>
      <c r="BB311" s="142"/>
      <c r="BC311" s="142"/>
    </row>
    <row r="312" spans="1:55" x14ac:dyDescent="0.25">
      <c r="A312" s="43" t="s">
        <v>35</v>
      </c>
      <c r="B312" s="43"/>
      <c r="C312" s="43"/>
      <c r="D312" s="43"/>
      <c r="E312" s="43"/>
      <c r="F312" s="80"/>
      <c r="G312" s="43">
        <f>MAX(G310:G311)</f>
        <v>2432604.6927539543</v>
      </c>
      <c r="H312" s="43">
        <f t="shared" ref="H312:X312" si="336">MAX(H310:H311)</f>
        <v>0.79784741047438346</v>
      </c>
      <c r="I312" s="43">
        <f t="shared" si="336"/>
        <v>9383.4873581974662</v>
      </c>
      <c r="J312" s="43">
        <f t="shared" si="336"/>
        <v>2136978.7000000002</v>
      </c>
      <c r="K312" s="43">
        <f t="shared" si="336"/>
        <v>353574.55616525037</v>
      </c>
      <c r="L312" s="43">
        <f t="shared" si="336"/>
        <v>0.21612782085657356</v>
      </c>
      <c r="M312" s="43">
        <f t="shared" si="336"/>
        <v>3566.8972794161764</v>
      </c>
      <c r="N312" s="43">
        <f t="shared" si="336"/>
        <v>462392.25</v>
      </c>
      <c r="O312" s="43">
        <f t="shared" si="336"/>
        <v>634354.25</v>
      </c>
      <c r="P312" s="43">
        <f t="shared" si="336"/>
        <v>5.1039835873275034E-2</v>
      </c>
      <c r="Q312" s="43">
        <f t="shared" si="336"/>
        <v>12693.345631009699</v>
      </c>
      <c r="R312" s="43">
        <f t="shared" si="336"/>
        <v>760.62257076833043</v>
      </c>
      <c r="S312" s="43">
        <f t="shared" si="336"/>
        <v>171569.5</v>
      </c>
      <c r="T312" s="43">
        <f t="shared" si="336"/>
        <v>1391175</v>
      </c>
      <c r="U312" s="43">
        <f t="shared" si="336"/>
        <v>230177.34485289542</v>
      </c>
      <c r="V312" s="43">
        <f t="shared" si="336"/>
        <v>0.14123790662207794</v>
      </c>
      <c r="W312" s="43">
        <f t="shared" si="336"/>
        <v>3344.0501934557487</v>
      </c>
      <c r="X312" s="43">
        <f t="shared" si="336"/>
        <v>1360338.55</v>
      </c>
      <c r="Y312" s="43">
        <f t="shared" ref="Y312:AN312" si="337">MAX(Y310:Y311)</f>
        <v>225075.28926270074</v>
      </c>
      <c r="Z312" s="43">
        <f t="shared" si="337"/>
        <v>0.14080760727861874</v>
      </c>
      <c r="AA312" s="43">
        <f t="shared" si="337"/>
        <v>1623009.4</v>
      </c>
      <c r="AB312" s="43">
        <f t="shared" si="337"/>
        <v>268535.58636641031</v>
      </c>
      <c r="AC312" s="43">
        <f t="shared" si="337"/>
        <v>4934.1957462219452</v>
      </c>
      <c r="AD312" s="43">
        <f t="shared" si="337"/>
        <v>0.25744007112602146</v>
      </c>
      <c r="AE312" s="43">
        <f t="shared" si="337"/>
        <v>1346100</v>
      </c>
      <c r="AF312" s="43">
        <f t="shared" si="337"/>
        <v>222719.44500618722</v>
      </c>
      <c r="AG312" s="43">
        <f t="shared" si="337"/>
        <v>0.25744007112602146</v>
      </c>
      <c r="AH312" s="43">
        <f t="shared" si="337"/>
        <v>0.13989445501424772</v>
      </c>
      <c r="AI312" s="43">
        <f t="shared" si="337"/>
        <v>1</v>
      </c>
      <c r="AJ312" s="43">
        <f t="shared" si="337"/>
        <v>1143091.05</v>
      </c>
      <c r="AK312" s="43">
        <f t="shared" si="337"/>
        <v>171776.1769578456</v>
      </c>
      <c r="AL312" s="43">
        <f t="shared" si="337"/>
        <v>2511219</v>
      </c>
      <c r="AM312" s="43">
        <f t="shared" si="337"/>
        <v>314568.40310184885</v>
      </c>
      <c r="AN312" s="42">
        <f t="shared" si="337"/>
        <v>0.68715727962925022</v>
      </c>
      <c r="AO312" s="16"/>
    </row>
    <row r="313" spans="1:55" x14ac:dyDescent="0.25">
      <c r="A313" s="43" t="s">
        <v>36</v>
      </c>
      <c r="B313" s="43"/>
      <c r="C313" s="43">
        <f>MAX(C252:C257)</f>
        <v>1775</v>
      </c>
      <c r="D313" s="43"/>
      <c r="E313" s="43">
        <f>MAX(E252:E264)</f>
        <v>20710251</v>
      </c>
      <c r="F313" s="80">
        <f t="shared" ref="F313:V313" si="338">MAX(F252:F264)</f>
        <v>14355036.75</v>
      </c>
      <c r="G313" s="43">
        <f t="shared" si="338"/>
        <v>14355036.75</v>
      </c>
      <c r="H313" s="43">
        <f t="shared" si="338"/>
        <v>0.75164076560082049</v>
      </c>
      <c r="I313" s="43">
        <f t="shared" si="338"/>
        <v>8391.0881349487845</v>
      </c>
      <c r="J313" s="43">
        <f t="shared" si="338"/>
        <v>1993740.45</v>
      </c>
      <c r="K313" s="43">
        <f t="shared" si="338"/>
        <v>1993740.45</v>
      </c>
      <c r="L313" s="43">
        <f t="shared" si="338"/>
        <v>0.1750645345044802</v>
      </c>
      <c r="M313" s="43">
        <f t="shared" si="338"/>
        <v>3010.4317127751756</v>
      </c>
      <c r="N313" s="43">
        <f t="shared" si="338"/>
        <v>634354.25</v>
      </c>
      <c r="O313" s="43">
        <f t="shared" si="338"/>
        <v>634354.25</v>
      </c>
      <c r="P313" s="43">
        <f t="shared" si="338"/>
        <v>4.0953238499890895E-2</v>
      </c>
      <c r="Q313" s="43">
        <f t="shared" si="338"/>
        <v>9132.1588922306255</v>
      </c>
      <c r="R313" s="43">
        <f t="shared" si="338"/>
        <v>413.50745664739878</v>
      </c>
      <c r="S313" s="43">
        <f t="shared" si="338"/>
        <v>93775.65</v>
      </c>
      <c r="T313" s="43">
        <f t="shared" si="338"/>
        <v>827602.15</v>
      </c>
      <c r="U313" s="43">
        <f t="shared" si="338"/>
        <v>827602.15</v>
      </c>
      <c r="V313" s="43">
        <f t="shared" si="338"/>
        <v>0.12148757470565627</v>
      </c>
      <c r="W313" s="43">
        <f t="shared" ref="W313:AL313" si="339">MAX(W252:W264)</f>
        <v>1562.3581635929861</v>
      </c>
      <c r="X313" s="43">
        <f t="shared" si="339"/>
        <v>768152.85</v>
      </c>
      <c r="Y313" s="43">
        <f t="shared" si="339"/>
        <v>768152.85</v>
      </c>
      <c r="Z313" s="43">
        <f t="shared" si="339"/>
        <v>0.118860814347161</v>
      </c>
      <c r="AA313" s="43">
        <f t="shared" si="339"/>
        <v>691990.5</v>
      </c>
      <c r="AB313" s="43">
        <f t="shared" si="339"/>
        <v>691990.5</v>
      </c>
      <c r="AC313" s="43">
        <f t="shared" si="339"/>
        <v>2314.9715233260408</v>
      </c>
      <c r="AD313" s="43">
        <f t="shared" si="339"/>
        <v>0.13275290098244691</v>
      </c>
      <c r="AE313" s="43">
        <f t="shared" si="339"/>
        <v>676603.1</v>
      </c>
      <c r="AF313" s="43">
        <f t="shared" si="339"/>
        <v>676603.1</v>
      </c>
      <c r="AG313" s="43">
        <f t="shared" si="339"/>
        <v>0.12493852483978496</v>
      </c>
      <c r="AH313" s="43">
        <f t="shared" si="339"/>
        <v>0.13989445501424772</v>
      </c>
      <c r="AI313" s="43">
        <f t="shared" si="339"/>
        <v>1</v>
      </c>
      <c r="AJ313" s="43">
        <f t="shared" si="339"/>
        <v>1051095.95</v>
      </c>
      <c r="AK313" s="43">
        <f t="shared" si="339"/>
        <v>1051095.95</v>
      </c>
      <c r="AL313" s="43">
        <f t="shared" si="339"/>
        <v>125263</v>
      </c>
      <c r="AM313" s="43">
        <f t="shared" ref="AM313:AN313" si="340">MAX(AM252:AM264)</f>
        <v>110444.06279691574</v>
      </c>
      <c r="AN313" s="42">
        <f t="shared" si="340"/>
        <v>0.54276542526099558</v>
      </c>
      <c r="AO313" s="16"/>
    </row>
    <row r="314" spans="1:55" x14ac:dyDescent="0.25">
      <c r="A314" s="43" t="s">
        <v>37</v>
      </c>
      <c r="B314" s="43"/>
      <c r="C314" s="43">
        <f>MAX(C272:C300)</f>
        <v>1180</v>
      </c>
      <c r="D314" s="43"/>
      <c r="E314" s="43">
        <f>MAX(E272:E300)</f>
        <v>19247691.239999998</v>
      </c>
      <c r="F314" s="80">
        <f t="shared" ref="F314:V314" si="341">MAX(F272:F300)</f>
        <v>11257636.35</v>
      </c>
      <c r="G314" s="43">
        <f t="shared" si="341"/>
        <v>11257636.35</v>
      </c>
      <c r="H314" s="43">
        <f t="shared" si="341"/>
        <v>0.79986063131266993</v>
      </c>
      <c r="I314" s="43">
        <f t="shared" si="341"/>
        <v>15110.971212121211</v>
      </c>
      <c r="J314" s="43">
        <f t="shared" si="341"/>
        <v>2280587.85</v>
      </c>
      <c r="K314" s="43">
        <f t="shared" si="341"/>
        <v>2280587.85</v>
      </c>
      <c r="L314" s="43">
        <f t="shared" si="341"/>
        <v>0.27837415856394915</v>
      </c>
      <c r="M314" s="43">
        <f t="shared" si="341"/>
        <v>4634.772169811321</v>
      </c>
      <c r="N314" s="43">
        <f t="shared" si="341"/>
        <v>788269.8</v>
      </c>
      <c r="O314" s="43">
        <f t="shared" si="341"/>
        <v>788269.8</v>
      </c>
      <c r="P314" s="43">
        <f t="shared" si="341"/>
        <v>6.1178446079451561E-2</v>
      </c>
      <c r="Q314" s="43">
        <f t="shared" si="341"/>
        <v>20653.778571428575</v>
      </c>
      <c r="R314" s="43">
        <f t="shared" si="341"/>
        <v>1000.4186991869918</v>
      </c>
      <c r="S314" s="43">
        <f t="shared" si="341"/>
        <v>306878.25</v>
      </c>
      <c r="T314" s="43">
        <f t="shared" si="341"/>
        <v>1172051.1000000001</v>
      </c>
      <c r="U314" s="43">
        <f t="shared" si="341"/>
        <v>1172051.1000000001</v>
      </c>
      <c r="V314" s="43">
        <f t="shared" si="341"/>
        <v>0.15233198869498621</v>
      </c>
      <c r="W314" s="43">
        <f t="shared" ref="W314:AL314" si="342">MAX(W272:W300)</f>
        <v>3133.9928104575165</v>
      </c>
      <c r="X314" s="43">
        <f t="shared" si="342"/>
        <v>1142338.8500000001</v>
      </c>
      <c r="Y314" s="43">
        <f t="shared" si="342"/>
        <v>1142338.8500000001</v>
      </c>
      <c r="Z314" s="43">
        <f t="shared" si="342"/>
        <v>0.15233198869498621</v>
      </c>
      <c r="AA314" s="43">
        <f t="shared" si="342"/>
        <v>6162576.4000000004</v>
      </c>
      <c r="AB314" s="43">
        <f t="shared" si="342"/>
        <v>6162576.4000000004</v>
      </c>
      <c r="AC314" s="43">
        <f t="shared" si="342"/>
        <v>8841.5730272596847</v>
      </c>
      <c r="AD314" s="43">
        <f t="shared" si="342"/>
        <v>0.32017223900563779</v>
      </c>
      <c r="AE314" s="43">
        <f t="shared" si="342"/>
        <v>6038066.6500000004</v>
      </c>
      <c r="AF314" s="43">
        <f t="shared" si="342"/>
        <v>6038066.6500000004</v>
      </c>
      <c r="AG314" s="43">
        <f t="shared" si="342"/>
        <v>0.31370342420351505</v>
      </c>
      <c r="AH314" s="43">
        <f t="shared" si="342"/>
        <v>1.0295080291532723</v>
      </c>
      <c r="AI314" s="43">
        <f t="shared" si="342"/>
        <v>0.15178834382821135</v>
      </c>
      <c r="AJ314" s="43">
        <f t="shared" si="342"/>
        <v>1763106</v>
      </c>
      <c r="AK314" s="43">
        <f t="shared" si="342"/>
        <v>1763106</v>
      </c>
      <c r="AL314" s="43">
        <f t="shared" si="342"/>
        <v>0</v>
      </c>
      <c r="AM314" s="43">
        <f t="shared" ref="AM314:AN314" si="343">MAX(AM272:AM300)</f>
        <v>0</v>
      </c>
      <c r="AN314" s="42">
        <f t="shared" si="343"/>
        <v>0.35511927649548852</v>
      </c>
      <c r="AO314" s="16"/>
    </row>
    <row r="315" spans="1:55" x14ac:dyDescent="0.25">
      <c r="F315" s="81"/>
      <c r="H315" s="25"/>
      <c r="L315" s="25"/>
      <c r="P315" s="25"/>
      <c r="V315" s="25"/>
      <c r="Z315" s="25"/>
      <c r="AD315" s="25"/>
      <c r="AG315" s="25"/>
      <c r="AH315" s="25"/>
      <c r="AI315" s="25"/>
      <c r="AO315" s="16"/>
    </row>
    <row r="316" spans="1:55" x14ac:dyDescent="0.25">
      <c r="A316" s="29" t="s">
        <v>38</v>
      </c>
      <c r="F316" s="81"/>
      <c r="H316" s="25"/>
      <c r="L316" s="25"/>
      <c r="P316" s="25"/>
      <c r="V316" s="25"/>
      <c r="Z316" s="25"/>
      <c r="AD316" s="25"/>
      <c r="AG316" s="25"/>
      <c r="AH316" s="25"/>
      <c r="AI316" s="25"/>
      <c r="AO316" s="16"/>
    </row>
    <row r="317" spans="1:55" x14ac:dyDescent="0.25">
      <c r="A317" s="43" t="s">
        <v>34</v>
      </c>
      <c r="B317" s="43"/>
      <c r="C317" s="43">
        <f t="shared" ref="C317:Q317" si="344">MIN(C8:C129)</f>
        <v>1</v>
      </c>
      <c r="D317" s="43">
        <f t="shared" si="344"/>
        <v>45912.600000000006</v>
      </c>
      <c r="E317" s="43">
        <f t="shared" si="344"/>
        <v>63165.697603263645</v>
      </c>
      <c r="F317" s="80">
        <f t="shared" si="344"/>
        <v>10100.049999999999</v>
      </c>
      <c r="G317" s="43">
        <f t="shared" si="344"/>
        <v>10100.049999999999</v>
      </c>
      <c r="H317" s="43">
        <f t="shared" si="344"/>
        <v>9.9429213688929319E-2</v>
      </c>
      <c r="I317" s="43">
        <f t="shared" si="344"/>
        <v>4970.4535087719296</v>
      </c>
      <c r="J317" s="43">
        <f t="shared" si="344"/>
        <v>23192</v>
      </c>
      <c r="K317" s="43">
        <f t="shared" si="344"/>
        <v>23192</v>
      </c>
      <c r="L317" s="43">
        <f t="shared" si="344"/>
        <v>3.8113524636944958E-2</v>
      </c>
      <c r="M317" s="43">
        <f t="shared" si="344"/>
        <v>819.74680452717962</v>
      </c>
      <c r="N317" s="43">
        <f t="shared" si="344"/>
        <v>151.4</v>
      </c>
      <c r="O317" s="43">
        <f t="shared" si="344"/>
        <v>151.4</v>
      </c>
      <c r="P317" s="43">
        <f t="shared" si="344"/>
        <v>5.6658038473303652E-3</v>
      </c>
      <c r="Q317" s="43">
        <f t="shared" si="344"/>
        <v>2228.8095822530436</v>
      </c>
      <c r="R317" s="43">
        <f t="shared" ref="R317:AG317" si="345">MIN(R8:R129)</f>
        <v>116.7235294117647</v>
      </c>
      <c r="S317" s="43">
        <f t="shared" si="345"/>
        <v>0</v>
      </c>
      <c r="T317" s="43">
        <f t="shared" si="345"/>
        <v>79.5</v>
      </c>
      <c r="U317" s="43">
        <f t="shared" si="345"/>
        <v>79.5</v>
      </c>
      <c r="V317" s="43">
        <f t="shared" si="345"/>
        <v>3.2924368862328194E-4</v>
      </c>
      <c r="W317" s="43">
        <f t="shared" si="345"/>
        <v>3.7857142857142856</v>
      </c>
      <c r="X317" s="43">
        <f t="shared" si="345"/>
        <v>0</v>
      </c>
      <c r="Y317" s="43">
        <f t="shared" si="345"/>
        <v>0</v>
      </c>
      <c r="Z317" s="43">
        <f t="shared" si="345"/>
        <v>0</v>
      </c>
      <c r="AA317" s="43">
        <f t="shared" si="345"/>
        <v>5157.2</v>
      </c>
      <c r="AB317" s="43">
        <f t="shared" si="345"/>
        <v>5157.2</v>
      </c>
      <c r="AC317" s="43">
        <f t="shared" si="345"/>
        <v>137.82631578947368</v>
      </c>
      <c r="AD317" s="43">
        <f t="shared" si="345"/>
        <v>1.1305124735048327E-2</v>
      </c>
      <c r="AE317" s="43">
        <f t="shared" si="345"/>
        <v>0</v>
      </c>
      <c r="AF317" s="43">
        <f t="shared" si="345"/>
        <v>0</v>
      </c>
      <c r="AG317" s="43">
        <f t="shared" si="345"/>
        <v>0</v>
      </c>
      <c r="AH317" s="43">
        <f t="shared" ref="AH317:AT317" si="346">MIN(AH8:AH129)</f>
        <v>0</v>
      </c>
      <c r="AI317" s="43">
        <f t="shared" si="346"/>
        <v>-0.15819370293730106</v>
      </c>
      <c r="AJ317" s="43">
        <f t="shared" si="346"/>
        <v>0</v>
      </c>
      <c r="AK317" s="43">
        <f t="shared" si="346"/>
        <v>0</v>
      </c>
      <c r="AL317" s="43">
        <f t="shared" si="346"/>
        <v>0</v>
      </c>
      <c r="AM317" s="43">
        <f t="shared" si="346"/>
        <v>0</v>
      </c>
      <c r="AN317" s="42">
        <f t="shared" si="346"/>
        <v>0</v>
      </c>
      <c r="AO317" s="25">
        <f t="shared" si="346"/>
        <v>0</v>
      </c>
      <c r="AP317" s="25">
        <f t="shared" si="346"/>
        <v>0</v>
      </c>
      <c r="AQ317" s="25">
        <f t="shared" si="346"/>
        <v>0</v>
      </c>
      <c r="AR317" s="25">
        <f t="shared" si="346"/>
        <v>0</v>
      </c>
      <c r="AS317" s="25">
        <f t="shared" si="346"/>
        <v>0</v>
      </c>
      <c r="AT317" s="25">
        <f t="shared" si="346"/>
        <v>0</v>
      </c>
    </row>
    <row r="318" spans="1:55" ht="14.25" x14ac:dyDescent="0.3">
      <c r="A318" s="134" t="s">
        <v>233</v>
      </c>
      <c r="B318" s="43"/>
      <c r="C318" s="134">
        <f>MIN(C130:C251)</f>
        <v>0</v>
      </c>
      <c r="D318" s="43">
        <f t="shared" ref="D318:S318" si="347">MIN(D130:D251)</f>
        <v>-373704.14999999997</v>
      </c>
      <c r="E318" s="43">
        <f t="shared" si="347"/>
        <v>0</v>
      </c>
      <c r="F318" s="80">
        <f t="shared" si="347"/>
        <v>10100.049999999999</v>
      </c>
      <c r="G318" s="43">
        <f t="shared" si="347"/>
        <v>0</v>
      </c>
      <c r="H318" s="43">
        <f t="shared" si="347"/>
        <v>9.9429213688929305E-2</v>
      </c>
      <c r="I318" s="43">
        <f t="shared" si="347"/>
        <v>2926.7242146522372</v>
      </c>
      <c r="J318" s="43">
        <f t="shared" si="347"/>
        <v>23192</v>
      </c>
      <c r="K318" s="43">
        <f t="shared" si="347"/>
        <v>0</v>
      </c>
      <c r="L318" s="43">
        <f t="shared" si="347"/>
        <v>3.8113524636944958E-2</v>
      </c>
      <c r="M318" s="43">
        <f t="shared" si="347"/>
        <v>453.01992869335481</v>
      </c>
      <c r="N318" s="43">
        <f t="shared" si="347"/>
        <v>151.4</v>
      </c>
      <c r="O318" s="43">
        <f t="shared" si="347"/>
        <v>0</v>
      </c>
      <c r="P318" s="43">
        <f t="shared" si="347"/>
        <v>5.6658038473303644E-3</v>
      </c>
      <c r="Q318" s="43">
        <f t="shared" si="347"/>
        <v>1188.3863030265668</v>
      </c>
      <c r="R318" s="43">
        <f t="shared" si="347"/>
        <v>56.589823953646039</v>
      </c>
      <c r="S318" s="43">
        <f t="shared" si="347"/>
        <v>0</v>
      </c>
      <c r="T318" s="43">
        <f t="shared" ref="T318:AI318" si="348">MIN(T130:T251)</f>
        <v>79.5</v>
      </c>
      <c r="U318" s="43">
        <f t="shared" si="348"/>
        <v>0</v>
      </c>
      <c r="V318" s="43">
        <f t="shared" si="348"/>
        <v>2.404825556028104E-3</v>
      </c>
      <c r="W318" s="43">
        <f t="shared" si="348"/>
        <v>16.463830915719207</v>
      </c>
      <c r="X318" s="43">
        <f t="shared" si="348"/>
        <v>0</v>
      </c>
      <c r="Y318" s="43">
        <f t="shared" si="348"/>
        <v>0</v>
      </c>
      <c r="Z318" s="43">
        <f t="shared" si="348"/>
        <v>0</v>
      </c>
      <c r="AA318" s="43">
        <f t="shared" si="348"/>
        <v>5157.2</v>
      </c>
      <c r="AB318" s="43">
        <f t="shared" si="348"/>
        <v>0</v>
      </c>
      <c r="AC318" s="43">
        <f t="shared" si="348"/>
        <v>70.636767499974567</v>
      </c>
      <c r="AD318" s="43">
        <f t="shared" si="348"/>
        <v>1.1716204211329427E-2</v>
      </c>
      <c r="AE318" s="43">
        <f t="shared" si="348"/>
        <v>0</v>
      </c>
      <c r="AF318" s="43">
        <f t="shared" si="348"/>
        <v>0</v>
      </c>
      <c r="AG318" s="43">
        <f t="shared" si="348"/>
        <v>0</v>
      </c>
      <c r="AH318" s="43">
        <f t="shared" si="348"/>
        <v>0</v>
      </c>
      <c r="AI318" s="43">
        <f t="shared" si="348"/>
        <v>1.4663876394396147E-2</v>
      </c>
      <c r="AJ318" s="43">
        <f t="shared" ref="AJ318:AT318" si="349">MIN(AJ130:AJ251)</f>
        <v>0</v>
      </c>
      <c r="AK318" s="43">
        <f t="shared" si="349"/>
        <v>0</v>
      </c>
      <c r="AL318" s="43">
        <f t="shared" si="349"/>
        <v>0</v>
      </c>
      <c r="AM318" s="43">
        <f t="shared" si="349"/>
        <v>0</v>
      </c>
      <c r="AN318" s="42">
        <f t="shared" si="349"/>
        <v>0</v>
      </c>
      <c r="AO318" s="25">
        <f t="shared" si="349"/>
        <v>0</v>
      </c>
      <c r="AP318" s="25">
        <f t="shared" si="349"/>
        <v>0</v>
      </c>
      <c r="AQ318" s="25">
        <f t="shared" si="349"/>
        <v>0</v>
      </c>
      <c r="AR318" s="25">
        <f t="shared" si="349"/>
        <v>0</v>
      </c>
      <c r="AS318" s="25">
        <f t="shared" si="349"/>
        <v>0</v>
      </c>
      <c r="AT318" s="25">
        <f t="shared" si="349"/>
        <v>0</v>
      </c>
    </row>
    <row r="319" spans="1:55" ht="14.25" x14ac:dyDescent="0.3">
      <c r="A319" s="134" t="s">
        <v>233</v>
      </c>
      <c r="B319" s="43"/>
      <c r="C319" s="134">
        <f>MIN(C265:C271)</f>
        <v>12</v>
      </c>
      <c r="D319" s="43">
        <f t="shared" ref="D319:S319" si="350">MIN(D265:D271)</f>
        <v>155949.90000000002</v>
      </c>
      <c r="E319" s="43">
        <f t="shared" si="350"/>
        <v>101772.67692077684</v>
      </c>
      <c r="F319" s="80">
        <f t="shared" si="350"/>
        <v>0</v>
      </c>
      <c r="G319" s="43">
        <f t="shared" si="350"/>
        <v>0</v>
      </c>
      <c r="H319" s="43">
        <f t="shared" si="350"/>
        <v>0</v>
      </c>
      <c r="I319" s="43">
        <f t="shared" si="350"/>
        <v>0</v>
      </c>
      <c r="J319" s="43">
        <f t="shared" si="350"/>
        <v>0</v>
      </c>
      <c r="K319" s="43">
        <f t="shared" si="350"/>
        <v>0</v>
      </c>
      <c r="L319" s="43">
        <f t="shared" si="350"/>
        <v>0</v>
      </c>
      <c r="M319" s="43">
        <f t="shared" si="350"/>
        <v>0</v>
      </c>
      <c r="N319" s="43">
        <f t="shared" si="350"/>
        <v>0</v>
      </c>
      <c r="O319" s="43">
        <f t="shared" si="350"/>
        <v>0</v>
      </c>
      <c r="P319" s="43">
        <f t="shared" si="350"/>
        <v>0</v>
      </c>
      <c r="Q319" s="43">
        <f t="shared" si="350"/>
        <v>0</v>
      </c>
      <c r="R319" s="43">
        <f t="shared" si="350"/>
        <v>0</v>
      </c>
      <c r="S319" s="43">
        <f t="shared" si="350"/>
        <v>0</v>
      </c>
      <c r="T319" s="43">
        <f t="shared" ref="T319:AI319" si="351">MIN(T265:T271)</f>
        <v>0</v>
      </c>
      <c r="U319" s="43">
        <f t="shared" si="351"/>
        <v>0</v>
      </c>
      <c r="V319" s="43">
        <f t="shared" si="351"/>
        <v>0</v>
      </c>
      <c r="W319" s="43">
        <f t="shared" si="351"/>
        <v>0</v>
      </c>
      <c r="X319" s="43">
        <f t="shared" si="351"/>
        <v>0</v>
      </c>
      <c r="Y319" s="43">
        <f t="shared" si="351"/>
        <v>0</v>
      </c>
      <c r="Z319" s="43">
        <f t="shared" si="351"/>
        <v>0</v>
      </c>
      <c r="AA319" s="43">
        <f t="shared" si="351"/>
        <v>0</v>
      </c>
      <c r="AB319" s="43">
        <f t="shared" si="351"/>
        <v>0</v>
      </c>
      <c r="AC319" s="43">
        <f t="shared" si="351"/>
        <v>0</v>
      </c>
      <c r="AD319" s="43">
        <f t="shared" si="351"/>
        <v>0</v>
      </c>
      <c r="AE319" s="43">
        <f t="shared" si="351"/>
        <v>0</v>
      </c>
      <c r="AF319" s="43">
        <f t="shared" si="351"/>
        <v>0</v>
      </c>
      <c r="AG319" s="43">
        <f t="shared" si="351"/>
        <v>0</v>
      </c>
      <c r="AH319" s="43">
        <f t="shared" si="351"/>
        <v>4.7540586599061754E-2</v>
      </c>
      <c r="AI319" s="43">
        <f t="shared" si="351"/>
        <v>0.17990336861783379</v>
      </c>
      <c r="AJ319" s="43">
        <f t="shared" ref="AJ319:AT319" si="352">MIN(AJ265:AJ271)</f>
        <v>0</v>
      </c>
      <c r="AK319" s="43">
        <f t="shared" si="352"/>
        <v>0</v>
      </c>
      <c r="AL319" s="43">
        <f t="shared" si="352"/>
        <v>0</v>
      </c>
      <c r="AM319" s="43">
        <f t="shared" si="352"/>
        <v>0</v>
      </c>
      <c r="AN319" s="42">
        <f t="shared" si="352"/>
        <v>0</v>
      </c>
      <c r="AO319" s="25">
        <f t="shared" si="352"/>
        <v>0</v>
      </c>
      <c r="AP319" s="25">
        <f t="shared" si="352"/>
        <v>0</v>
      </c>
      <c r="AQ319" s="25">
        <f t="shared" si="352"/>
        <v>0</v>
      </c>
      <c r="AR319" s="25">
        <f t="shared" si="352"/>
        <v>0</v>
      </c>
      <c r="AS319" s="25">
        <f t="shared" si="352"/>
        <v>0</v>
      </c>
      <c r="AT319" s="25">
        <f t="shared" si="352"/>
        <v>0</v>
      </c>
    </row>
    <row r="320" spans="1:55" x14ac:dyDescent="0.25">
      <c r="A320" s="43" t="s">
        <v>35</v>
      </c>
      <c r="B320" s="43"/>
      <c r="C320" s="43">
        <f>MIN(C318:C319)</f>
        <v>0</v>
      </c>
      <c r="D320" s="43">
        <f t="shared" ref="D320:S320" si="353">MIN(D318:D319)</f>
        <v>-373704.14999999997</v>
      </c>
      <c r="E320" s="43">
        <f t="shared" si="353"/>
        <v>0</v>
      </c>
      <c r="F320" s="80">
        <f t="shared" si="353"/>
        <v>0</v>
      </c>
      <c r="G320" s="43">
        <f t="shared" si="353"/>
        <v>0</v>
      </c>
      <c r="H320" s="43">
        <f t="shared" si="353"/>
        <v>0</v>
      </c>
      <c r="I320" s="43">
        <f t="shared" si="353"/>
        <v>0</v>
      </c>
      <c r="J320" s="43">
        <f t="shared" si="353"/>
        <v>0</v>
      </c>
      <c r="K320" s="43">
        <f t="shared" si="353"/>
        <v>0</v>
      </c>
      <c r="L320" s="43">
        <f t="shared" si="353"/>
        <v>0</v>
      </c>
      <c r="M320" s="43">
        <f t="shared" si="353"/>
        <v>0</v>
      </c>
      <c r="N320" s="43">
        <f t="shared" si="353"/>
        <v>0</v>
      </c>
      <c r="O320" s="43">
        <f t="shared" si="353"/>
        <v>0</v>
      </c>
      <c r="P320" s="43">
        <f t="shared" si="353"/>
        <v>0</v>
      </c>
      <c r="Q320" s="43">
        <f t="shared" si="353"/>
        <v>0</v>
      </c>
      <c r="R320" s="43">
        <f t="shared" si="353"/>
        <v>0</v>
      </c>
      <c r="S320" s="43">
        <f t="shared" si="353"/>
        <v>0</v>
      </c>
      <c r="T320" s="43">
        <f t="shared" ref="T320:AI320" si="354">MIN(T318:T319)</f>
        <v>0</v>
      </c>
      <c r="U320" s="43">
        <f t="shared" si="354"/>
        <v>0</v>
      </c>
      <c r="V320" s="43">
        <f t="shared" si="354"/>
        <v>0</v>
      </c>
      <c r="W320" s="43">
        <f t="shared" si="354"/>
        <v>0</v>
      </c>
      <c r="X320" s="43">
        <f t="shared" si="354"/>
        <v>0</v>
      </c>
      <c r="Y320" s="43">
        <f t="shared" si="354"/>
        <v>0</v>
      </c>
      <c r="Z320" s="43">
        <f t="shared" si="354"/>
        <v>0</v>
      </c>
      <c r="AA320" s="43">
        <f t="shared" si="354"/>
        <v>0</v>
      </c>
      <c r="AB320" s="43">
        <f t="shared" si="354"/>
        <v>0</v>
      </c>
      <c r="AC320" s="43">
        <f t="shared" si="354"/>
        <v>0</v>
      </c>
      <c r="AD320" s="43">
        <f t="shared" si="354"/>
        <v>0</v>
      </c>
      <c r="AE320" s="43">
        <f t="shared" si="354"/>
        <v>0</v>
      </c>
      <c r="AF320" s="43">
        <f t="shared" si="354"/>
        <v>0</v>
      </c>
      <c r="AG320" s="43">
        <f t="shared" si="354"/>
        <v>0</v>
      </c>
      <c r="AH320" s="43">
        <f t="shared" si="354"/>
        <v>0</v>
      </c>
      <c r="AI320" s="43">
        <f t="shared" si="354"/>
        <v>1.4663876394396147E-2</v>
      </c>
      <c r="AJ320" s="43">
        <f t="shared" ref="AJ320:AT320" si="355">MIN(AJ318:AJ319)</f>
        <v>0</v>
      </c>
      <c r="AK320" s="43">
        <f t="shared" si="355"/>
        <v>0</v>
      </c>
      <c r="AL320" s="43">
        <f t="shared" si="355"/>
        <v>0</v>
      </c>
      <c r="AM320" s="43">
        <f t="shared" si="355"/>
        <v>0</v>
      </c>
      <c r="AN320" s="42">
        <f t="shared" si="355"/>
        <v>0</v>
      </c>
      <c r="AO320" s="25">
        <f t="shared" si="355"/>
        <v>0</v>
      </c>
      <c r="AP320" s="25">
        <f t="shared" si="355"/>
        <v>0</v>
      </c>
      <c r="AQ320" s="25">
        <f t="shared" si="355"/>
        <v>0</v>
      </c>
      <c r="AR320" s="25">
        <f t="shared" si="355"/>
        <v>0</v>
      </c>
      <c r="AS320" s="25">
        <f t="shared" si="355"/>
        <v>0</v>
      </c>
      <c r="AT320" s="25">
        <f t="shared" si="355"/>
        <v>0</v>
      </c>
    </row>
    <row r="321" spans="1:46" x14ac:dyDescent="0.25">
      <c r="A321" s="43" t="s">
        <v>36</v>
      </c>
      <c r="B321" s="43"/>
      <c r="C321" s="43">
        <f>MIN(C252:C257)</f>
        <v>300</v>
      </c>
      <c r="D321" s="43">
        <f t="shared" ref="D321:S321" si="356">MIN(D252:D257)</f>
        <v>0</v>
      </c>
      <c r="E321" s="43">
        <f t="shared" si="356"/>
        <v>3853369.83</v>
      </c>
      <c r="F321" s="80">
        <f t="shared" si="356"/>
        <v>2464441.0499999998</v>
      </c>
      <c r="G321" s="43">
        <f t="shared" si="356"/>
        <v>2464441.0499999998</v>
      </c>
      <c r="H321" s="43">
        <f t="shared" si="356"/>
        <v>0.63955476861145188</v>
      </c>
      <c r="I321" s="43">
        <f t="shared" si="356"/>
        <v>7589.3646676300568</v>
      </c>
      <c r="J321" s="43">
        <f t="shared" si="356"/>
        <v>531595.9</v>
      </c>
      <c r="K321" s="43">
        <f t="shared" si="356"/>
        <v>531595.9</v>
      </c>
      <c r="L321" s="43">
        <f t="shared" si="356"/>
        <v>9.3870063635511952E-2</v>
      </c>
      <c r="M321" s="43">
        <f t="shared" si="356"/>
        <v>1123.234056338028</v>
      </c>
      <c r="N321" s="43">
        <f t="shared" si="356"/>
        <v>108152.8</v>
      </c>
      <c r="O321" s="43">
        <f t="shared" si="356"/>
        <v>108152.8</v>
      </c>
      <c r="P321" s="43">
        <f t="shared" si="356"/>
        <v>2.4253714656979654E-2</v>
      </c>
      <c r="Q321" s="43">
        <f t="shared" si="356"/>
        <v>5971.7956521739125</v>
      </c>
      <c r="R321" s="43">
        <f t="shared" si="356"/>
        <v>309.34977477477474</v>
      </c>
      <c r="S321" s="43">
        <f t="shared" si="356"/>
        <v>26122.9</v>
      </c>
      <c r="T321" s="43">
        <f t="shared" ref="T321:AI321" si="357">MIN(T252:T257)</f>
        <v>101368.1</v>
      </c>
      <c r="U321" s="43">
        <f t="shared" si="357"/>
        <v>101368.1</v>
      </c>
      <c r="V321" s="43">
        <f t="shared" si="357"/>
        <v>1.8586072970983258E-2</v>
      </c>
      <c r="W321" s="43">
        <f t="shared" si="357"/>
        <v>200.33221343873518</v>
      </c>
      <c r="X321" s="43">
        <f t="shared" si="357"/>
        <v>70505.55</v>
      </c>
      <c r="Y321" s="43">
        <f t="shared" si="357"/>
        <v>70505.55</v>
      </c>
      <c r="Z321" s="43">
        <f t="shared" si="357"/>
        <v>1.2927353843658E-2</v>
      </c>
      <c r="AA321" s="43">
        <f t="shared" si="357"/>
        <v>158867.75</v>
      </c>
      <c r="AB321" s="43">
        <f t="shared" si="357"/>
        <v>158867.75</v>
      </c>
      <c r="AC321" s="43">
        <f t="shared" si="357"/>
        <v>194.09777464788732</v>
      </c>
      <c r="AD321" s="43">
        <f t="shared" si="357"/>
        <v>1.6635411613311689E-2</v>
      </c>
      <c r="AE321" s="43">
        <f t="shared" si="357"/>
        <v>121925</v>
      </c>
      <c r="AF321" s="43">
        <f t="shared" si="357"/>
        <v>121925</v>
      </c>
      <c r="AG321" s="43">
        <f t="shared" si="357"/>
        <v>6.0075684258969145E-3</v>
      </c>
      <c r="AH321" s="43">
        <f t="shared" si="357"/>
        <v>6.0626420901475275E-3</v>
      </c>
      <c r="AI321" s="43">
        <f t="shared" si="357"/>
        <v>5.0242959234044843E-2</v>
      </c>
      <c r="AJ321" s="43">
        <f t="shared" ref="AJ321:AT321" si="358">MIN(AJ252:AJ257)</f>
        <v>82851.95</v>
      </c>
      <c r="AK321" s="43">
        <f t="shared" si="358"/>
        <v>82851.95</v>
      </c>
      <c r="AL321" s="43">
        <f t="shared" si="358"/>
        <v>0</v>
      </c>
      <c r="AM321" s="43">
        <f t="shared" si="358"/>
        <v>0</v>
      </c>
      <c r="AN321" s="42">
        <f t="shared" si="358"/>
        <v>2.3510270453316974E-2</v>
      </c>
      <c r="AO321" s="25">
        <f t="shared" si="358"/>
        <v>0</v>
      </c>
      <c r="AP321" s="25">
        <f t="shared" si="358"/>
        <v>0</v>
      </c>
      <c r="AQ321" s="25">
        <f t="shared" si="358"/>
        <v>0</v>
      </c>
      <c r="AR321" s="25">
        <f t="shared" si="358"/>
        <v>0</v>
      </c>
      <c r="AS321" s="25">
        <f t="shared" si="358"/>
        <v>0</v>
      </c>
      <c r="AT321" s="25">
        <f t="shared" si="358"/>
        <v>0</v>
      </c>
    </row>
    <row r="322" spans="1:46" x14ac:dyDescent="0.25">
      <c r="A322" s="43" t="s">
        <v>37</v>
      </c>
      <c r="B322" s="43"/>
      <c r="C322" s="43">
        <f t="shared" ref="C322:Q322" si="359">MIN(C272:C300)</f>
        <v>106</v>
      </c>
      <c r="D322" s="43">
        <f t="shared" si="359"/>
        <v>0</v>
      </c>
      <c r="E322" s="43">
        <f t="shared" si="359"/>
        <v>1579120.85</v>
      </c>
      <c r="F322" s="80">
        <f t="shared" si="359"/>
        <v>1106189.1000000001</v>
      </c>
      <c r="G322" s="43">
        <f t="shared" si="359"/>
        <v>1106189.1000000001</v>
      </c>
      <c r="H322" s="43">
        <f t="shared" si="359"/>
        <v>0.42613550881128959</v>
      </c>
      <c r="I322" s="43">
        <f t="shared" si="359"/>
        <v>8951.2573770491817</v>
      </c>
      <c r="J322" s="43">
        <f t="shared" si="359"/>
        <v>234996.55</v>
      </c>
      <c r="K322" s="43">
        <f t="shared" si="359"/>
        <v>234996.55</v>
      </c>
      <c r="L322" s="43">
        <f t="shared" si="359"/>
        <v>9.9233720237557305E-2</v>
      </c>
      <c r="M322" s="43">
        <f t="shared" si="359"/>
        <v>1488.2005464480876</v>
      </c>
      <c r="N322" s="43">
        <f t="shared" si="359"/>
        <v>57778.9</v>
      </c>
      <c r="O322" s="43">
        <f t="shared" si="359"/>
        <v>57778.9</v>
      </c>
      <c r="P322" s="43">
        <f t="shared" si="359"/>
        <v>1.8855976831022147E-2</v>
      </c>
      <c r="Q322" s="43">
        <f t="shared" si="359"/>
        <v>5537.85</v>
      </c>
      <c r="R322" s="43">
        <f t="shared" ref="R322:AG322" si="360">MIN(R272:R300)</f>
        <v>253.1010054844607</v>
      </c>
      <c r="S322" s="43">
        <f t="shared" si="360"/>
        <v>8716.4</v>
      </c>
      <c r="T322" s="43">
        <f t="shared" si="360"/>
        <v>22.5</v>
      </c>
      <c r="U322" s="43">
        <f t="shared" si="360"/>
        <v>22.5</v>
      </c>
      <c r="V322" s="43">
        <f t="shared" si="360"/>
        <v>1.2749031073638404E-5</v>
      </c>
      <c r="W322" s="43">
        <f t="shared" si="360"/>
        <v>0.21226415094339623</v>
      </c>
      <c r="X322" s="43">
        <f t="shared" si="360"/>
        <v>0</v>
      </c>
      <c r="Y322" s="43">
        <f t="shared" si="360"/>
        <v>0</v>
      </c>
      <c r="Z322" s="43">
        <f t="shared" si="360"/>
        <v>0</v>
      </c>
      <c r="AA322" s="43">
        <f t="shared" si="360"/>
        <v>14954.15</v>
      </c>
      <c r="AB322" s="43">
        <f t="shared" si="360"/>
        <v>14954.15</v>
      </c>
      <c r="AC322" s="43">
        <f t="shared" si="360"/>
        <v>73.304656862745091</v>
      </c>
      <c r="AD322" s="43">
        <f t="shared" si="360"/>
        <v>4.3021497730922134E-3</v>
      </c>
      <c r="AE322" s="43">
        <f t="shared" si="360"/>
        <v>0</v>
      </c>
      <c r="AF322" s="43">
        <f t="shared" si="360"/>
        <v>0</v>
      </c>
      <c r="AG322" s="43">
        <f t="shared" si="360"/>
        <v>0</v>
      </c>
      <c r="AH322" s="43">
        <f t="shared" ref="AH322:AT322" si="361">MIN(AH272:AH300)</f>
        <v>0</v>
      </c>
      <c r="AI322" s="43">
        <f t="shared" si="361"/>
        <v>1.8301106799606184E-2</v>
      </c>
      <c r="AJ322" s="43">
        <f t="shared" si="361"/>
        <v>26371.9</v>
      </c>
      <c r="AK322" s="43">
        <f t="shared" si="361"/>
        <v>26371.9</v>
      </c>
      <c r="AL322" s="43">
        <f t="shared" si="361"/>
        <v>0</v>
      </c>
      <c r="AM322" s="43">
        <f t="shared" si="361"/>
        <v>0</v>
      </c>
      <c r="AN322" s="42">
        <f t="shared" si="361"/>
        <v>1.138054127374874E-2</v>
      </c>
      <c r="AO322" s="25">
        <f t="shared" si="361"/>
        <v>0</v>
      </c>
      <c r="AP322" s="25">
        <f t="shared" si="361"/>
        <v>0</v>
      </c>
      <c r="AQ322" s="25">
        <f t="shared" si="361"/>
        <v>0</v>
      </c>
      <c r="AR322" s="25">
        <f t="shared" si="361"/>
        <v>0</v>
      </c>
      <c r="AS322" s="25">
        <f t="shared" si="361"/>
        <v>0</v>
      </c>
      <c r="AT322" s="25">
        <f t="shared" si="361"/>
        <v>0</v>
      </c>
    </row>
    <row r="323" spans="1:46" x14ac:dyDescent="0.25">
      <c r="AI323" s="16"/>
    </row>
  </sheetData>
  <sheetProtection password="D1CE" sheet="1" objects="1" scenarios="1"/>
  <printOptions horizontalCentered="1"/>
  <pageMargins left="0.19685039370078741" right="0.19685039370078741" top="0.39370078740157483" bottom="0.39370078740157483" header="0.19685039370078741" footer="0.19685039370078741"/>
  <pageSetup paperSize="9" fitToWidth="2" fitToHeight="8" orientation="landscape" horizontalDpi="4294967292" r:id="rId1"/>
  <headerFooter alignWithMargins="0">
    <oddHeader>&amp;R&amp;F/&amp;A</oddHeader>
  </headerFooter>
  <rowBreaks count="1" manualBreakCount="1">
    <brk id="300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548"/>
  <sheetViews>
    <sheetView workbookViewId="0">
      <pane xSplit="2" ySplit="7" topLeftCell="J8" activePane="bottomRight" state="frozen"/>
      <selection pane="topRight"/>
      <selection pane="bottomLeft"/>
      <selection pane="bottomRight" activeCell="K19" sqref="K19"/>
    </sheetView>
  </sheetViews>
  <sheetFormatPr baseColWidth="10" defaultColWidth="0" defaultRowHeight="13.5" x14ac:dyDescent="0.25"/>
  <cols>
    <col min="1" max="1" width="18.42578125" style="4" customWidth="1"/>
    <col min="2" max="2" width="5.7109375" style="4" customWidth="1"/>
    <col min="3" max="7" width="7.7109375" style="4" hidden="1"/>
    <col min="8" max="8" width="7.7109375" style="25" hidden="1"/>
    <col min="9" max="9" width="9" style="25" hidden="1"/>
    <col min="10" max="10" width="12.28515625" style="25" customWidth="1"/>
    <col min="11" max="11" width="13.140625" style="10" customWidth="1"/>
    <col min="12" max="12" width="13.140625" style="10" hidden="1"/>
    <col min="13" max="13" width="13.140625" style="25" customWidth="1"/>
    <col min="14" max="14" width="13.140625" style="25" hidden="1"/>
    <col min="15" max="15" width="13.140625" style="4" hidden="1"/>
    <col min="16" max="16" width="13.140625" style="25" hidden="1"/>
    <col min="17" max="17" width="12.42578125" style="4" customWidth="1"/>
    <col min="18" max="18" width="9.7109375" style="4" customWidth="1"/>
    <col min="19" max="20" width="11.5703125" style="25" customWidth="1"/>
    <col min="21" max="21" width="12.28515625" style="25" customWidth="1"/>
    <col min="22" max="75" width="12.42578125" style="4" hidden="1"/>
    <col min="76" max="16384" width="11.42578125" style="4" hidden="1"/>
  </cols>
  <sheetData>
    <row r="1" spans="1:83" ht="24" x14ac:dyDescent="0.25">
      <c r="A1" s="3" t="s">
        <v>260</v>
      </c>
      <c r="B1" s="3"/>
      <c r="C1" s="3"/>
      <c r="D1" s="3"/>
      <c r="E1" s="3"/>
      <c r="F1" s="3"/>
      <c r="G1" s="3"/>
      <c r="H1" s="28"/>
      <c r="I1" s="28"/>
      <c r="Q1" s="61"/>
      <c r="R1" s="61"/>
    </row>
    <row r="2" spans="1:83" x14ac:dyDescent="0.25">
      <c r="A2" s="418" t="s">
        <v>261</v>
      </c>
      <c r="B2" s="5"/>
      <c r="C2" s="5"/>
      <c r="D2" s="5"/>
      <c r="E2" s="5"/>
      <c r="F2" s="5"/>
      <c r="G2" s="5"/>
      <c r="H2" s="29"/>
      <c r="I2" s="29"/>
    </row>
    <row r="4" spans="1:83" x14ac:dyDescent="0.25">
      <c r="A4" s="71"/>
      <c r="C4" s="323" t="s">
        <v>262</v>
      </c>
      <c r="D4" s="323"/>
      <c r="E4" s="323"/>
      <c r="F4" s="323"/>
      <c r="K4" s="12"/>
      <c r="L4" s="12"/>
      <c r="M4" s="26"/>
      <c r="N4" s="26" t="s">
        <v>50</v>
      </c>
      <c r="O4" s="6"/>
      <c r="S4" s="26"/>
      <c r="T4" s="26"/>
      <c r="U4" s="26"/>
    </row>
    <row r="5" spans="1:83" s="51" customFormat="1" ht="51" customHeight="1" x14ac:dyDescent="0.2">
      <c r="A5" s="51" t="s">
        <v>2</v>
      </c>
      <c r="C5" s="62" t="s">
        <v>263</v>
      </c>
      <c r="D5" s="62"/>
      <c r="E5" s="62"/>
      <c r="F5" s="62"/>
      <c r="G5" s="62"/>
      <c r="H5" s="55"/>
      <c r="I5" s="55"/>
      <c r="J5" s="52" t="s">
        <v>264</v>
      </c>
      <c r="K5" s="63" t="s">
        <v>265</v>
      </c>
      <c r="L5" s="63" t="s">
        <v>266</v>
      </c>
      <c r="M5" s="52" t="s">
        <v>267</v>
      </c>
      <c r="N5" s="52" t="s">
        <v>268</v>
      </c>
      <c r="O5" s="56" t="s">
        <v>269</v>
      </c>
      <c r="P5" s="52" t="s">
        <v>270</v>
      </c>
      <c r="Q5" s="56" t="s">
        <v>271</v>
      </c>
      <c r="R5" s="64" t="s">
        <v>272</v>
      </c>
      <c r="S5" s="52" t="s">
        <v>273</v>
      </c>
      <c r="T5" s="52" t="s">
        <v>274</v>
      </c>
      <c r="U5" s="52" t="s">
        <v>275</v>
      </c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56"/>
      <c r="BT5" s="56"/>
      <c r="BU5" s="56"/>
      <c r="BV5" s="56"/>
      <c r="BW5" s="56"/>
      <c r="BX5" s="56"/>
      <c r="BY5" s="56"/>
      <c r="BZ5" s="56"/>
      <c r="CA5" s="56"/>
      <c r="CB5" s="56"/>
      <c r="CC5" s="56"/>
      <c r="CD5" s="56"/>
      <c r="CE5" s="56"/>
    </row>
    <row r="6" spans="1:83" s="67" customFormat="1" ht="19.899999999999999" hidden="1" customHeight="1" x14ac:dyDescent="0.3">
      <c r="C6" s="74"/>
      <c r="D6" s="74"/>
      <c r="E6" s="74"/>
      <c r="F6" s="378" t="s">
        <v>276</v>
      </c>
      <c r="G6" s="379"/>
      <c r="H6" s="299" t="s">
        <v>277</v>
      </c>
      <c r="I6" s="40" t="s">
        <v>85</v>
      </c>
      <c r="J6" s="126" t="s">
        <v>278</v>
      </c>
      <c r="K6" s="75"/>
      <c r="L6" s="72"/>
      <c r="M6" s="330">
        <v>4.0999999999999996</v>
      </c>
      <c r="N6" s="330">
        <v>4.2</v>
      </c>
      <c r="O6" s="70"/>
      <c r="P6" s="68"/>
      <c r="Q6" s="75" t="s">
        <v>255</v>
      </c>
      <c r="R6" s="73"/>
      <c r="S6" s="330"/>
      <c r="T6" s="330"/>
      <c r="U6" s="33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  <c r="AZ6" s="70"/>
      <c r="BA6" s="70"/>
      <c r="BB6" s="70"/>
      <c r="BC6" s="70"/>
      <c r="BD6" s="70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0"/>
      <c r="BP6" s="70"/>
      <c r="BQ6" s="70"/>
      <c r="BR6" s="70"/>
      <c r="BS6" s="70"/>
      <c r="BT6" s="70"/>
      <c r="BU6" s="70"/>
      <c r="BV6" s="70"/>
      <c r="BW6" s="70"/>
      <c r="BX6" s="70"/>
      <c r="BY6" s="70"/>
      <c r="BZ6" s="70"/>
      <c r="CA6" s="70"/>
      <c r="CB6" s="70"/>
      <c r="CC6" s="70"/>
      <c r="CD6" s="70"/>
      <c r="CE6" s="70"/>
    </row>
    <row r="7" spans="1:83" s="102" customFormat="1" ht="27" x14ac:dyDescent="0.25">
      <c r="A7" s="294"/>
      <c r="B7" s="294"/>
      <c r="C7" s="329" t="s">
        <v>279</v>
      </c>
      <c r="D7" s="329" t="s">
        <v>280</v>
      </c>
      <c r="E7" s="294" t="s">
        <v>281</v>
      </c>
      <c r="F7" s="329" t="s">
        <v>282</v>
      </c>
      <c r="G7" s="329" t="s">
        <v>283</v>
      </c>
      <c r="H7" s="295" t="s">
        <v>81</v>
      </c>
      <c r="I7" s="295" t="s">
        <v>284</v>
      </c>
      <c r="J7" s="295"/>
      <c r="K7" s="296"/>
      <c r="L7" s="296"/>
      <c r="M7" s="297"/>
      <c r="N7" s="297"/>
      <c r="O7" s="294"/>
      <c r="P7" s="295"/>
      <c r="Q7" s="294"/>
      <c r="R7" s="298"/>
      <c r="S7" s="297"/>
      <c r="T7" s="297"/>
      <c r="U7" s="297"/>
    </row>
    <row r="8" spans="1:83" x14ac:dyDescent="0.25">
      <c r="A8" t="str">
        <f>Funktional!A8</f>
        <v>Aadorf</v>
      </c>
      <c r="B8" t="str">
        <f>Funktional!B8</f>
        <v>PSG</v>
      </c>
      <c r="C8" s="366"/>
      <c r="D8" s="366">
        <v>47</v>
      </c>
      <c r="E8">
        <v>1</v>
      </c>
      <c r="F8" s="404">
        <f>323-35</f>
        <v>288</v>
      </c>
      <c r="G8" s="404">
        <v>35</v>
      </c>
      <c r="H8" s="43">
        <f>G8+F8</f>
        <v>323</v>
      </c>
      <c r="I8" s="43">
        <f>H8+D8</f>
        <v>370</v>
      </c>
      <c r="J8" s="43">
        <f>Funktional!E8</f>
        <v>4227970.3170719584</v>
      </c>
      <c r="K8" s="44">
        <f>Funktional!G8</f>
        <v>13089.691384123711</v>
      </c>
      <c r="L8" s="44" t="e">
        <f>J8/C8</f>
        <v>#DIV/0!</v>
      </c>
      <c r="M8" s="365">
        <v>2872674.05</v>
      </c>
      <c r="N8" s="365">
        <v>5524373.1699999999</v>
      </c>
      <c r="O8" s="44" t="e">
        <f>N8/C8</f>
        <v>#DIV/0!</v>
      </c>
      <c r="P8" s="43"/>
      <c r="Q8" s="44">
        <f>Funktional!AN8/Kennzahlen!H8</f>
        <v>28.23088060069918</v>
      </c>
      <c r="R8" s="46">
        <f>G8/(G8+F8)</f>
        <v>0.10835913312693499</v>
      </c>
      <c r="S8" s="365">
        <v>-766210.56000000006</v>
      </c>
      <c r="T8" s="365">
        <v>20164.599999999999</v>
      </c>
      <c r="U8" s="365">
        <v>61407.25</v>
      </c>
    </row>
    <row r="9" spans="1:83" x14ac:dyDescent="0.25">
      <c r="A9" t="str">
        <f>Funktional!A9</f>
        <v>Affeltrangen</v>
      </c>
      <c r="B9" t="str">
        <f>Funktional!B9</f>
        <v>PSG</v>
      </c>
      <c r="C9" s="366"/>
      <c r="D9" s="366">
        <v>20</v>
      </c>
      <c r="E9">
        <v>2</v>
      </c>
      <c r="F9" s="404">
        <v>56</v>
      </c>
      <c r="G9" s="404"/>
      <c r="H9" s="43">
        <f t="shared" ref="H9:H24" si="0">G9+F9</f>
        <v>56</v>
      </c>
      <c r="I9" s="43">
        <f t="shared" ref="I9:I24" si="1">H9+D9</f>
        <v>76</v>
      </c>
      <c r="J9" s="43">
        <f>Funktional!E9</f>
        <v>1049335.9330734359</v>
      </c>
      <c r="K9" s="44">
        <f>Funktional!G9</f>
        <v>18738.141662025642</v>
      </c>
      <c r="L9" s="44" t="e">
        <f t="shared" ref="L9:L14" si="2">J9/C9</f>
        <v>#DIV/0!</v>
      </c>
      <c r="M9" s="365">
        <v>793668.65</v>
      </c>
      <c r="N9" s="365">
        <v>1087217.33</v>
      </c>
      <c r="O9" s="44" t="e">
        <f t="shared" ref="O9:O14" si="3">N9/C9</f>
        <v>#DIV/0!</v>
      </c>
      <c r="P9" s="43"/>
      <c r="Q9" s="44">
        <f>Funktional!AN9/Kennzahlen!H9</f>
        <v>38.098226905623946</v>
      </c>
      <c r="R9" s="46">
        <f t="shared" ref="R9:R14" si="4">G9/(G9+F9)</f>
        <v>0</v>
      </c>
      <c r="S9" s="365">
        <v>86876.52</v>
      </c>
      <c r="T9" s="365">
        <v>8111.5</v>
      </c>
      <c r="U9" s="365">
        <v>17564.7</v>
      </c>
    </row>
    <row r="10" spans="1:83" x14ac:dyDescent="0.25">
      <c r="A10" t="str">
        <f>Funktional!A10</f>
        <v>Alterswilen</v>
      </c>
      <c r="B10" t="str">
        <f>Funktional!B10</f>
        <v>PSG</v>
      </c>
      <c r="C10" s="366"/>
      <c r="D10" s="366">
        <v>20</v>
      </c>
      <c r="E10">
        <v>1</v>
      </c>
      <c r="F10" s="404">
        <v>57</v>
      </c>
      <c r="G10" s="404"/>
      <c r="H10" s="43">
        <f t="shared" si="0"/>
        <v>57</v>
      </c>
      <c r="I10" s="43">
        <f t="shared" si="1"/>
        <v>77</v>
      </c>
      <c r="J10" s="43">
        <f>Funktional!E10</f>
        <v>961631.69882789068</v>
      </c>
      <c r="K10" s="44">
        <f>Funktional!G10</f>
        <v>16870.731558384046</v>
      </c>
      <c r="L10" s="44" t="e">
        <f t="shared" si="2"/>
        <v>#DIV/0!</v>
      </c>
      <c r="M10" s="365">
        <v>569897.30000000005</v>
      </c>
      <c r="N10" s="365">
        <v>876765.08</v>
      </c>
      <c r="O10" s="44" t="e">
        <f t="shared" si="3"/>
        <v>#DIV/0!</v>
      </c>
      <c r="P10" s="43"/>
      <c r="Q10" s="44">
        <f>Funktional!AN10/Kennzahlen!H10</f>
        <v>83.209805547028679</v>
      </c>
      <c r="R10" s="46">
        <f t="shared" si="4"/>
        <v>0</v>
      </c>
      <c r="S10" s="365">
        <v>-80687</v>
      </c>
      <c r="T10" s="365">
        <v>23256</v>
      </c>
      <c r="U10" s="365">
        <v>5360</v>
      </c>
    </row>
    <row r="11" spans="1:83" x14ac:dyDescent="0.25">
      <c r="A11" t="str">
        <f>Funktional!A11</f>
        <v>Altishausen-Graltshausen</v>
      </c>
      <c r="B11" t="str">
        <f>Funktional!B11</f>
        <v>PSG</v>
      </c>
      <c r="C11" s="366"/>
      <c r="D11" s="366">
        <v>0</v>
      </c>
      <c r="E11">
        <v>1</v>
      </c>
      <c r="F11" s="404">
        <v>27</v>
      </c>
      <c r="G11" s="404"/>
      <c r="H11" s="43">
        <f t="shared" si="0"/>
        <v>27</v>
      </c>
      <c r="I11" s="43">
        <f t="shared" si="1"/>
        <v>27</v>
      </c>
      <c r="J11" s="43">
        <f>Funktional!E11</f>
        <v>333918.95</v>
      </c>
      <c r="K11" s="44">
        <f>Funktional!G11</f>
        <v>12367.368518518519</v>
      </c>
      <c r="L11" s="44" t="e">
        <f t="shared" si="2"/>
        <v>#DIV/0!</v>
      </c>
      <c r="M11" s="365">
        <v>240694.3</v>
      </c>
      <c r="N11" s="365">
        <v>306801.31</v>
      </c>
      <c r="O11" s="44" t="e">
        <f t="shared" si="3"/>
        <v>#DIV/0!</v>
      </c>
      <c r="P11" s="43"/>
      <c r="Q11" s="44">
        <f>Funktional!AN11/Kennzahlen!H11</f>
        <v>97.957407407407402</v>
      </c>
      <c r="R11" s="46">
        <f t="shared" si="4"/>
        <v>0</v>
      </c>
      <c r="S11" s="365">
        <v>-20277.7</v>
      </c>
      <c r="T11" s="365">
        <v>11693</v>
      </c>
      <c r="U11" s="365">
        <v>2608.15</v>
      </c>
    </row>
    <row r="12" spans="1:83" x14ac:dyDescent="0.25">
      <c r="A12" t="str">
        <f>Funktional!A12</f>
        <v>Altnau</v>
      </c>
      <c r="B12" t="str">
        <f>Funktional!B12</f>
        <v>PSG</v>
      </c>
      <c r="C12" s="366"/>
      <c r="D12" s="366">
        <v>34</v>
      </c>
      <c r="E12">
        <v>1</v>
      </c>
      <c r="F12" s="404">
        <v>174</v>
      </c>
      <c r="G12" s="404"/>
      <c r="H12" s="43">
        <f t="shared" si="0"/>
        <v>174</v>
      </c>
      <c r="I12" s="43">
        <f t="shared" si="1"/>
        <v>208</v>
      </c>
      <c r="J12" s="43">
        <f>Funktional!E12</f>
        <v>2167915.3449251563</v>
      </c>
      <c r="K12" s="44">
        <f>Funktional!G12</f>
        <v>12459.283591523887</v>
      </c>
      <c r="L12" s="44" t="e">
        <f t="shared" si="2"/>
        <v>#DIV/0!</v>
      </c>
      <c r="M12" s="365">
        <v>1652665</v>
      </c>
      <c r="N12" s="365">
        <v>2203553.33</v>
      </c>
      <c r="O12" s="44" t="e">
        <f t="shared" si="3"/>
        <v>#DIV/0!</v>
      </c>
      <c r="P12" s="43"/>
      <c r="Q12" s="44">
        <f>Funktional!AN12/Kennzahlen!H12</f>
        <v>78.45927982666521</v>
      </c>
      <c r="R12" s="46">
        <f t="shared" si="4"/>
        <v>0</v>
      </c>
      <c r="S12" s="365">
        <v>-165795.45000000001</v>
      </c>
      <c r="T12" s="365">
        <v>133174.45000000001</v>
      </c>
      <c r="U12" s="365">
        <v>22654.05</v>
      </c>
    </row>
    <row r="13" spans="1:83" x14ac:dyDescent="0.25">
      <c r="A13" t="str">
        <f>Funktional!A13</f>
        <v>Amlikon</v>
      </c>
      <c r="B13" t="str">
        <f>Funktional!B13</f>
        <v>PSG</v>
      </c>
      <c r="C13" s="366"/>
      <c r="D13" s="366">
        <v>19</v>
      </c>
      <c r="E13">
        <v>2</v>
      </c>
      <c r="F13" s="404">
        <v>49</v>
      </c>
      <c r="G13" s="404"/>
      <c r="H13" s="43">
        <f t="shared" si="0"/>
        <v>49</v>
      </c>
      <c r="I13" s="43">
        <f t="shared" si="1"/>
        <v>68</v>
      </c>
      <c r="J13" s="43">
        <f>Funktional!E13</f>
        <v>694661.77246843197</v>
      </c>
      <c r="K13" s="44">
        <f>Funktional!G13</f>
        <v>14176.770866702693</v>
      </c>
      <c r="L13" s="44" t="e">
        <f t="shared" si="2"/>
        <v>#DIV/0!</v>
      </c>
      <c r="M13" s="365">
        <v>521651.35</v>
      </c>
      <c r="N13" s="365">
        <v>734720.21</v>
      </c>
      <c r="O13" s="44" t="e">
        <f t="shared" si="3"/>
        <v>#DIV/0!</v>
      </c>
      <c r="P13" s="43"/>
      <c r="Q13" s="44">
        <f>Funktional!AN13/Kennzahlen!H13</f>
        <v>72.339366585446484</v>
      </c>
      <c r="R13" s="46">
        <f t="shared" si="4"/>
        <v>0</v>
      </c>
      <c r="S13" s="365">
        <v>-245621.55</v>
      </c>
      <c r="T13" s="365">
        <v>18277.45</v>
      </c>
      <c r="U13" s="365">
        <v>7334.1</v>
      </c>
    </row>
    <row r="14" spans="1:83" x14ac:dyDescent="0.25">
      <c r="A14" t="str">
        <f>Funktional!A14</f>
        <v>Amriswil</v>
      </c>
      <c r="B14" t="str">
        <f>Funktional!B14</f>
        <v>PSG</v>
      </c>
      <c r="C14" s="366"/>
      <c r="D14" s="366">
        <v>210</v>
      </c>
      <c r="E14">
        <v>1</v>
      </c>
      <c r="F14" s="404">
        <f>960-65</f>
        <v>895</v>
      </c>
      <c r="G14" s="404">
        <v>65</v>
      </c>
      <c r="H14" s="43">
        <f t="shared" si="0"/>
        <v>960</v>
      </c>
      <c r="I14" s="43">
        <f t="shared" si="1"/>
        <v>1170</v>
      </c>
      <c r="J14" s="43">
        <f>Funktional!E14</f>
        <v>11190479.228150208</v>
      </c>
      <c r="K14" s="44">
        <f>Funktional!G14</f>
        <v>11656.7491959898</v>
      </c>
      <c r="L14" s="44" t="e">
        <f t="shared" si="2"/>
        <v>#DIV/0!</v>
      </c>
      <c r="M14" s="365">
        <v>8658498.0999999996</v>
      </c>
      <c r="N14" s="365">
        <v>13531379.380000001</v>
      </c>
      <c r="O14" s="44" t="e">
        <f t="shared" si="3"/>
        <v>#DIV/0!</v>
      </c>
      <c r="P14" s="43"/>
      <c r="Q14" s="44">
        <f>Funktional!AN14/Kennzahlen!H14</f>
        <v>55.735093214858338</v>
      </c>
      <c r="R14" s="46">
        <f t="shared" si="4"/>
        <v>6.7708333333333329E-2</v>
      </c>
      <c r="S14" s="365">
        <v>-49395.35</v>
      </c>
      <c r="T14" s="365">
        <v>490513.7</v>
      </c>
      <c r="U14" s="365">
        <v>253953.55</v>
      </c>
    </row>
    <row r="15" spans="1:83" x14ac:dyDescent="0.25">
      <c r="A15" t="str">
        <f>Funktional!A15</f>
        <v>Au</v>
      </c>
      <c r="B15" t="str">
        <f>Funktional!B15</f>
        <v>PSG</v>
      </c>
      <c r="C15" s="366"/>
      <c r="D15" s="366">
        <v>0</v>
      </c>
      <c r="E15">
        <v>2</v>
      </c>
      <c r="F15" s="404">
        <v>20</v>
      </c>
      <c r="G15" s="404"/>
      <c r="H15" s="43">
        <f t="shared" si="0"/>
        <v>20</v>
      </c>
      <c r="I15" s="43">
        <f t="shared" si="1"/>
        <v>20</v>
      </c>
      <c r="J15" s="43">
        <f>Funktional!E15</f>
        <v>224972.55</v>
      </c>
      <c r="K15" s="44">
        <f>Funktional!G15</f>
        <v>11248.627499999999</v>
      </c>
      <c r="L15" s="44" t="e">
        <f t="shared" ref="L15:L23" si="5">J15/C15</f>
        <v>#DIV/0!</v>
      </c>
      <c r="M15" s="365">
        <v>68395.3</v>
      </c>
      <c r="N15" s="365">
        <v>136790.6</v>
      </c>
      <c r="O15" s="44" t="e">
        <f t="shared" ref="O15:O23" si="6">N15/C15</f>
        <v>#DIV/0!</v>
      </c>
      <c r="P15" s="43"/>
      <c r="Q15" s="44">
        <f>Funktional!AN15/Kennzahlen!H15</f>
        <v>27.847500000000004</v>
      </c>
      <c r="R15" s="46">
        <f t="shared" ref="R15:R23" si="7">G15/(G15+F15)</f>
        <v>0</v>
      </c>
      <c r="S15" s="365">
        <v>10615.15</v>
      </c>
      <c r="T15" s="365">
        <v>85.8</v>
      </c>
      <c r="U15" s="365">
        <v>0</v>
      </c>
    </row>
    <row r="16" spans="1:83" x14ac:dyDescent="0.25">
      <c r="A16" t="str">
        <f>Funktional!A16</f>
        <v>Balterswil</v>
      </c>
      <c r="B16" t="str">
        <f>Funktional!B16</f>
        <v>PSG</v>
      </c>
      <c r="C16" s="366"/>
      <c r="D16" s="366">
        <v>40</v>
      </c>
      <c r="E16">
        <v>2</v>
      </c>
      <c r="F16" s="404">
        <v>100</v>
      </c>
      <c r="G16" s="404"/>
      <c r="H16" s="43">
        <f t="shared" si="0"/>
        <v>100</v>
      </c>
      <c r="I16" s="43">
        <f t="shared" si="1"/>
        <v>140</v>
      </c>
      <c r="J16" s="43">
        <f>Funktional!E16</f>
        <v>1360781.641981801</v>
      </c>
      <c r="K16" s="44">
        <f>Funktional!G16</f>
        <v>13607.816419818009</v>
      </c>
      <c r="L16" s="44" t="e">
        <f t="shared" si="5"/>
        <v>#DIV/0!</v>
      </c>
      <c r="M16" s="365">
        <v>1432738.7</v>
      </c>
      <c r="N16" s="365">
        <v>1591931.89</v>
      </c>
      <c r="O16" s="44" t="e">
        <f t="shared" si="6"/>
        <v>#DIV/0!</v>
      </c>
      <c r="P16" s="43"/>
      <c r="Q16" s="44">
        <f>Funktional!AN16/Kennzahlen!H16</f>
        <v>30.14946340893599</v>
      </c>
      <c r="R16" s="46">
        <f t="shared" si="7"/>
        <v>0</v>
      </c>
      <c r="S16" s="365">
        <v>114237.85</v>
      </c>
      <c r="T16" s="365">
        <v>21300.5</v>
      </c>
      <c r="U16" s="365">
        <v>5433.25</v>
      </c>
    </row>
    <row r="17" spans="1:21" x14ac:dyDescent="0.25">
      <c r="A17" t="str">
        <f>Funktional!A17</f>
        <v xml:space="preserve">Basadingen-Willisdorf </v>
      </c>
      <c r="B17" t="str">
        <f>Funktional!B17</f>
        <v>PSG</v>
      </c>
      <c r="C17" s="366"/>
      <c r="D17" s="366">
        <v>33</v>
      </c>
      <c r="E17">
        <v>2</v>
      </c>
      <c r="F17" s="404">
        <v>96</v>
      </c>
      <c r="G17" s="404"/>
      <c r="H17" s="43">
        <f t="shared" si="0"/>
        <v>96</v>
      </c>
      <c r="I17" s="43">
        <f t="shared" si="1"/>
        <v>129</v>
      </c>
      <c r="J17" s="43">
        <f>Funktional!E17</f>
        <v>1070695.4093170799</v>
      </c>
      <c r="K17" s="44">
        <f>Funktional!G17</f>
        <v>11153.07718038625</v>
      </c>
      <c r="L17" s="44" t="e">
        <f t="shared" si="5"/>
        <v>#DIV/0!</v>
      </c>
      <c r="M17" s="365">
        <v>1048659.55</v>
      </c>
      <c r="N17" s="365">
        <v>1542146.4</v>
      </c>
      <c r="O17" s="44" t="e">
        <f t="shared" si="6"/>
        <v>#DIV/0!</v>
      </c>
      <c r="P17" s="43"/>
      <c r="Q17" s="44">
        <f>Funktional!AN17/Kennzahlen!H17</f>
        <v>109.89793743194519</v>
      </c>
      <c r="R17" s="46">
        <f t="shared" si="7"/>
        <v>0</v>
      </c>
      <c r="S17" s="365">
        <v>-110958.35</v>
      </c>
      <c r="T17" s="365">
        <v>0</v>
      </c>
      <c r="U17" s="365">
        <v>12608.05</v>
      </c>
    </row>
    <row r="18" spans="1:21" x14ac:dyDescent="0.25">
      <c r="A18" t="str">
        <f>Funktional!A18</f>
        <v>Berg</v>
      </c>
      <c r="B18" t="str">
        <f>Funktional!B18</f>
        <v>PSG</v>
      </c>
      <c r="C18" s="366"/>
      <c r="D18" s="366">
        <v>55</v>
      </c>
      <c r="E18">
        <v>2</v>
      </c>
      <c r="F18" s="404">
        <v>190</v>
      </c>
      <c r="G18" s="404"/>
      <c r="H18" s="43">
        <f t="shared" si="0"/>
        <v>190</v>
      </c>
      <c r="I18" s="43">
        <f t="shared" si="1"/>
        <v>245</v>
      </c>
      <c r="J18" s="43">
        <f>Funktional!E18</f>
        <v>1907735.1994831539</v>
      </c>
      <c r="K18" s="44">
        <f>Funktional!G18</f>
        <v>10040.711576227126</v>
      </c>
      <c r="L18" s="44" t="e">
        <f t="shared" si="5"/>
        <v>#DIV/0!</v>
      </c>
      <c r="M18" s="365">
        <v>2210726.5</v>
      </c>
      <c r="N18" s="365">
        <v>3401117.69</v>
      </c>
      <c r="O18" s="44" t="e">
        <f t="shared" si="6"/>
        <v>#DIV/0!</v>
      </c>
      <c r="P18" s="43"/>
      <c r="Q18" s="44">
        <f>Funktional!AN18/Kennzahlen!H18</f>
        <v>55.987816179333279</v>
      </c>
      <c r="R18" s="46">
        <f t="shared" si="7"/>
        <v>0</v>
      </c>
      <c r="S18" s="365">
        <v>59136.6</v>
      </c>
      <c r="T18" s="365">
        <v>47853.65</v>
      </c>
      <c r="U18" s="365">
        <v>30962.95</v>
      </c>
    </row>
    <row r="19" spans="1:21" x14ac:dyDescent="0.25">
      <c r="A19" t="str">
        <f>Funktional!A19</f>
        <v>Berlingen</v>
      </c>
      <c r="B19" t="str">
        <f>Funktional!B19</f>
        <v>PSG</v>
      </c>
      <c r="C19" s="366"/>
      <c r="D19" s="366">
        <v>12</v>
      </c>
      <c r="E19">
        <v>2</v>
      </c>
      <c r="F19" s="404">
        <v>73</v>
      </c>
      <c r="G19" s="404"/>
      <c r="H19" s="43">
        <f t="shared" si="0"/>
        <v>73</v>
      </c>
      <c r="I19" s="43">
        <f t="shared" si="1"/>
        <v>85</v>
      </c>
      <c r="J19" s="43">
        <f>Funktional!E19</f>
        <v>869479.31466669426</v>
      </c>
      <c r="K19" s="44">
        <f>Funktional!G19</f>
        <v>11910.675543379373</v>
      </c>
      <c r="L19" s="44" t="e">
        <f t="shared" si="5"/>
        <v>#DIV/0!</v>
      </c>
      <c r="M19" s="365">
        <v>935476.8</v>
      </c>
      <c r="N19" s="365">
        <v>1299273.33</v>
      </c>
      <c r="O19" s="44" t="e">
        <f t="shared" si="6"/>
        <v>#DIV/0!</v>
      </c>
      <c r="P19" s="43"/>
      <c r="Q19" s="44">
        <f>Funktional!AN19/Kennzahlen!H19</f>
        <v>119.9518318290304</v>
      </c>
      <c r="R19" s="46">
        <f t="shared" si="7"/>
        <v>0</v>
      </c>
      <c r="S19" s="365">
        <v>-160675.1</v>
      </c>
      <c r="T19" s="365">
        <v>7554.1</v>
      </c>
      <c r="U19" s="365">
        <v>2749.05</v>
      </c>
    </row>
    <row r="20" spans="1:21" x14ac:dyDescent="0.25">
      <c r="A20" t="str">
        <f>Funktional!A20</f>
        <v>Bettwiesen</v>
      </c>
      <c r="B20" t="str">
        <f>Funktional!B20</f>
        <v>PSG</v>
      </c>
      <c r="C20" s="366"/>
      <c r="D20" s="366">
        <v>32</v>
      </c>
      <c r="E20">
        <v>2</v>
      </c>
      <c r="F20" s="404">
        <v>115</v>
      </c>
      <c r="G20" s="404"/>
      <c r="H20" s="43">
        <f t="shared" si="0"/>
        <v>115</v>
      </c>
      <c r="I20" s="43">
        <f t="shared" si="1"/>
        <v>147</v>
      </c>
      <c r="J20" s="43">
        <f>Funktional!E20</f>
        <v>1277383.453355127</v>
      </c>
      <c r="K20" s="44">
        <f>Funktional!G20</f>
        <v>11107.682203088061</v>
      </c>
      <c r="L20" s="44" t="e">
        <f t="shared" si="5"/>
        <v>#DIV/0!</v>
      </c>
      <c r="M20" s="365">
        <v>876786.1</v>
      </c>
      <c r="N20" s="365">
        <v>1202323.72</v>
      </c>
      <c r="O20" s="44" t="e">
        <f t="shared" si="6"/>
        <v>#DIV/0!</v>
      </c>
      <c r="P20" s="43"/>
      <c r="Q20" s="44">
        <f>Funktional!AN20/Kennzahlen!H20</f>
        <v>19.660952787365542</v>
      </c>
      <c r="R20" s="46">
        <f t="shared" si="7"/>
        <v>0</v>
      </c>
      <c r="S20" s="365">
        <v>73433.100000000006</v>
      </c>
      <c r="T20" s="365">
        <v>14715.6</v>
      </c>
      <c r="U20" s="365">
        <v>9154.4500000000007</v>
      </c>
    </row>
    <row r="21" spans="1:21" x14ac:dyDescent="0.25">
      <c r="A21" t="str">
        <f>Funktional!A21</f>
        <v>Bichelsee</v>
      </c>
      <c r="B21" t="str">
        <f>Funktional!B21</f>
        <v>PSG</v>
      </c>
      <c r="C21" s="366"/>
      <c r="D21" s="366">
        <v>38</v>
      </c>
      <c r="E21">
        <v>2</v>
      </c>
      <c r="F21" s="404">
        <v>101</v>
      </c>
      <c r="G21" s="404"/>
      <c r="H21" s="43">
        <f t="shared" si="0"/>
        <v>101</v>
      </c>
      <c r="I21" s="43">
        <f t="shared" si="1"/>
        <v>139</v>
      </c>
      <c r="J21" s="43">
        <f>Funktional!E21</f>
        <v>1034573.3818698584</v>
      </c>
      <c r="K21" s="44">
        <f>Funktional!G21</f>
        <v>10243.300810592656</v>
      </c>
      <c r="L21" s="44" t="e">
        <f t="shared" si="5"/>
        <v>#DIV/0!</v>
      </c>
      <c r="M21" s="365">
        <v>942164.1</v>
      </c>
      <c r="N21" s="365">
        <v>1177705.1299999999</v>
      </c>
      <c r="O21" s="44" t="e">
        <f t="shared" si="6"/>
        <v>#DIV/0!</v>
      </c>
      <c r="P21" s="43"/>
      <c r="Q21" s="44">
        <f>Funktional!AN21/Kennzahlen!H21</f>
        <v>15.419524541637617</v>
      </c>
      <c r="R21" s="46">
        <f t="shared" si="7"/>
        <v>0</v>
      </c>
      <c r="S21" s="365">
        <v>227388.45</v>
      </c>
      <c r="T21" s="365">
        <v>23596.55</v>
      </c>
      <c r="U21" s="365">
        <v>9312.9500000000007</v>
      </c>
    </row>
    <row r="22" spans="1:21" x14ac:dyDescent="0.25">
      <c r="A22" t="str">
        <f>Funktional!A22</f>
        <v>Bischofszell</v>
      </c>
      <c r="B22" t="str">
        <f>Funktional!B22</f>
        <v>PSG</v>
      </c>
      <c r="C22" s="366"/>
      <c r="D22" s="366">
        <v>85</v>
      </c>
      <c r="E22">
        <v>1</v>
      </c>
      <c r="F22" s="404">
        <f>386-8</f>
        <v>378</v>
      </c>
      <c r="G22" s="404">
        <v>8</v>
      </c>
      <c r="H22" s="43">
        <f t="shared" si="0"/>
        <v>386</v>
      </c>
      <c r="I22" s="43">
        <f t="shared" si="1"/>
        <v>471</v>
      </c>
      <c r="J22" s="43">
        <f>Funktional!E22</f>
        <v>4917090.858897699</v>
      </c>
      <c r="K22" s="44">
        <f>Funktional!G22</f>
        <v>12738.577354657251</v>
      </c>
      <c r="L22" s="44" t="e">
        <f t="shared" si="5"/>
        <v>#DIV/0!</v>
      </c>
      <c r="M22" s="365">
        <v>4434655.25</v>
      </c>
      <c r="N22" s="365">
        <v>6618888.4299999997</v>
      </c>
      <c r="O22" s="44" t="e">
        <f t="shared" si="6"/>
        <v>#DIV/0!</v>
      </c>
      <c r="P22" s="43"/>
      <c r="Q22" s="44">
        <f>Funktional!AN22/Kennzahlen!H22</f>
        <v>21.448429996192186</v>
      </c>
      <c r="R22" s="46">
        <f t="shared" si="7"/>
        <v>2.072538860103627E-2</v>
      </c>
      <c r="S22" s="365">
        <v>-539723.9</v>
      </c>
      <c r="T22" s="365">
        <v>33739.75</v>
      </c>
      <c r="U22" s="365">
        <v>31612.400000000001</v>
      </c>
    </row>
    <row r="23" spans="1:21" x14ac:dyDescent="0.25">
      <c r="A23" t="str">
        <f>Funktional!A23</f>
        <v>Blidegg</v>
      </c>
      <c r="B23" t="str">
        <f>Funktional!B23</f>
        <v>PSG</v>
      </c>
      <c r="C23" s="366"/>
      <c r="D23" s="366">
        <v>0</v>
      </c>
      <c r="E23">
        <v>2</v>
      </c>
      <c r="F23" s="404">
        <v>28</v>
      </c>
      <c r="G23" s="404"/>
      <c r="H23" s="43">
        <f t="shared" si="0"/>
        <v>28</v>
      </c>
      <c r="I23" s="43">
        <f t="shared" si="1"/>
        <v>28</v>
      </c>
      <c r="J23" s="43">
        <f>Funktional!E23</f>
        <v>428661.65</v>
      </c>
      <c r="K23" s="44">
        <f>Funktional!G23</f>
        <v>15309.344642857144</v>
      </c>
      <c r="L23" s="44" t="e">
        <f t="shared" si="5"/>
        <v>#DIV/0!</v>
      </c>
      <c r="M23" s="365">
        <v>179550.5</v>
      </c>
      <c r="N23" s="365">
        <v>276231.53999999998</v>
      </c>
      <c r="O23" s="44" t="e">
        <f t="shared" si="6"/>
        <v>#DIV/0!</v>
      </c>
      <c r="P23" s="43"/>
      <c r="Q23" s="44">
        <f>Funktional!AN23/Kennzahlen!H23</f>
        <v>42.903571428571425</v>
      </c>
      <c r="R23" s="46">
        <f t="shared" si="7"/>
        <v>0</v>
      </c>
      <c r="S23" s="365">
        <v>-158275.4</v>
      </c>
      <c r="T23" s="365">
        <v>11943.7</v>
      </c>
      <c r="U23" s="365">
        <v>-106.95</v>
      </c>
    </row>
    <row r="24" spans="1:21" x14ac:dyDescent="0.25">
      <c r="A24" t="str">
        <f>Funktional!A24</f>
        <v>Bottighofen</v>
      </c>
      <c r="B24" t="str">
        <f>Funktional!B24</f>
        <v>PSG</v>
      </c>
      <c r="C24" s="366"/>
      <c r="D24" s="366">
        <v>31</v>
      </c>
      <c r="E24">
        <v>2</v>
      </c>
      <c r="F24" s="404">
        <v>101</v>
      </c>
      <c r="G24" s="404"/>
      <c r="H24" s="43">
        <f t="shared" si="0"/>
        <v>101</v>
      </c>
      <c r="I24" s="43">
        <f t="shared" si="1"/>
        <v>132</v>
      </c>
      <c r="J24" s="43">
        <f>Funktional!E24</f>
        <v>7506882.8553178748</v>
      </c>
      <c r="K24" s="44">
        <f>Funktional!G24</f>
        <v>74325.572824929448</v>
      </c>
      <c r="L24" s="44" t="e">
        <f t="shared" ref="L24:L39" si="8">J24/C24</f>
        <v>#DIV/0!</v>
      </c>
      <c r="M24" s="365">
        <v>10178858.25</v>
      </c>
      <c r="N24" s="365">
        <v>33929527.5</v>
      </c>
      <c r="O24" s="44" t="e">
        <f t="shared" ref="O24:O39" si="9">N24/C24</f>
        <v>#DIV/0!</v>
      </c>
      <c r="P24" s="43"/>
      <c r="Q24" s="44">
        <f>Funktional!AN24/Kennzahlen!H24</f>
        <v>161.01566518993295</v>
      </c>
      <c r="R24" s="46">
        <f t="shared" ref="R24:R39" si="10">G24/(G24+F24)</f>
        <v>0</v>
      </c>
      <c r="S24" s="365">
        <v>1362731.25</v>
      </c>
      <c r="T24" s="365">
        <v>14538.85</v>
      </c>
      <c r="U24" s="365">
        <v>0</v>
      </c>
    </row>
    <row r="25" spans="1:21" x14ac:dyDescent="0.25">
      <c r="A25" t="str">
        <f>Funktional!A25</f>
        <v>Braunau</v>
      </c>
      <c r="B25" t="str">
        <f>Funktional!B25</f>
        <v>PSG</v>
      </c>
      <c r="C25" s="366"/>
      <c r="D25" s="366">
        <v>16</v>
      </c>
      <c r="E25">
        <v>1</v>
      </c>
      <c r="F25" s="404">
        <v>63</v>
      </c>
      <c r="G25" s="404"/>
      <c r="H25" s="43">
        <f t="shared" ref="H25:H40" si="11">G25+F25</f>
        <v>63</v>
      </c>
      <c r="I25" s="43">
        <f t="shared" ref="I25:I40" si="12">H25+D25</f>
        <v>79</v>
      </c>
      <c r="J25" s="43">
        <f>Funktional!E25</f>
        <v>695301.66079225868</v>
      </c>
      <c r="K25" s="44">
        <f>Funktional!G25</f>
        <v>11036.53429828982</v>
      </c>
      <c r="L25" s="44" t="e">
        <f t="shared" si="8"/>
        <v>#DIV/0!</v>
      </c>
      <c r="M25" s="365">
        <v>472987.15</v>
      </c>
      <c r="N25" s="365">
        <v>647927.6</v>
      </c>
      <c r="O25" s="44" t="e">
        <f t="shared" si="9"/>
        <v>#DIV/0!</v>
      </c>
      <c r="P25" s="43"/>
      <c r="Q25" s="44">
        <f>Funktional!AN25/Kennzahlen!H25</f>
        <v>-23.86241035289946</v>
      </c>
      <c r="R25" s="46">
        <f t="shared" si="10"/>
        <v>0</v>
      </c>
      <c r="S25" s="365">
        <v>-12109.5</v>
      </c>
      <c r="T25" s="365">
        <v>24876.9</v>
      </c>
      <c r="U25" s="365">
        <v>2560.75</v>
      </c>
    </row>
    <row r="26" spans="1:21" x14ac:dyDescent="0.25">
      <c r="A26" t="str">
        <f>Funktional!A26</f>
        <v>Buch bei Frauenfeld</v>
      </c>
      <c r="B26" t="str">
        <f>Funktional!B26</f>
        <v>PSG</v>
      </c>
      <c r="C26" s="366"/>
      <c r="D26" s="366">
        <v>0</v>
      </c>
      <c r="E26">
        <v>2</v>
      </c>
      <c r="F26" s="404">
        <v>43</v>
      </c>
      <c r="G26" s="404"/>
      <c r="H26" s="43">
        <f t="shared" si="11"/>
        <v>43</v>
      </c>
      <c r="I26" s="43">
        <f t="shared" si="12"/>
        <v>43</v>
      </c>
      <c r="J26" s="43">
        <f>Funktional!E26</f>
        <v>425670.6</v>
      </c>
      <c r="K26" s="44">
        <f>Funktional!G26</f>
        <v>9899.3162790697661</v>
      </c>
      <c r="L26" s="44" t="e">
        <f t="shared" si="8"/>
        <v>#DIV/0!</v>
      </c>
      <c r="M26" s="365">
        <v>265622.7</v>
      </c>
      <c r="N26" s="365">
        <v>358044.66</v>
      </c>
      <c r="O26" s="44" t="e">
        <f t="shared" si="9"/>
        <v>#DIV/0!</v>
      </c>
      <c r="P26" s="43"/>
      <c r="Q26" s="44">
        <f>Funktional!AN26/Kennzahlen!H26</f>
        <v>32.623255813953485</v>
      </c>
      <c r="R26" s="46">
        <f t="shared" si="10"/>
        <v>0</v>
      </c>
      <c r="S26" s="365">
        <v>-7413.9</v>
      </c>
      <c r="T26" s="365">
        <v>0</v>
      </c>
      <c r="U26" s="365">
        <v>825.25</v>
      </c>
    </row>
    <row r="27" spans="1:21" x14ac:dyDescent="0.25">
      <c r="A27" t="str">
        <f>Funktional!A27</f>
        <v>Buhwil-Neukirch an der Thur</v>
      </c>
      <c r="B27" t="str">
        <f>Funktional!B27</f>
        <v>PSG</v>
      </c>
      <c r="C27" s="366"/>
      <c r="D27" s="366">
        <v>18</v>
      </c>
      <c r="E27">
        <v>2</v>
      </c>
      <c r="F27" s="404">
        <v>80</v>
      </c>
      <c r="G27" s="404"/>
      <c r="H27" s="43">
        <f t="shared" si="11"/>
        <v>80</v>
      </c>
      <c r="I27" s="43">
        <f t="shared" si="12"/>
        <v>98</v>
      </c>
      <c r="J27" s="43">
        <f>Funktional!E27</f>
        <v>975539.30523751676</v>
      </c>
      <c r="K27" s="44">
        <f>Funktional!G27</f>
        <v>12194.24131546896</v>
      </c>
      <c r="L27" s="44" t="e">
        <f t="shared" si="8"/>
        <v>#DIV/0!</v>
      </c>
      <c r="M27" s="365">
        <v>318892.55</v>
      </c>
      <c r="N27" s="365">
        <v>579804.64</v>
      </c>
      <c r="O27" s="44" t="e">
        <f t="shared" si="9"/>
        <v>#DIV/0!</v>
      </c>
      <c r="P27" s="43"/>
      <c r="Q27" s="44">
        <f>Funktional!AN27/Kennzahlen!H27</f>
        <v>39.939630306320495</v>
      </c>
      <c r="R27" s="46">
        <f t="shared" si="10"/>
        <v>0</v>
      </c>
      <c r="S27" s="365">
        <v>-155985.5</v>
      </c>
      <c r="T27" s="365">
        <v>0</v>
      </c>
      <c r="U27" s="365">
        <v>2541.4499999999998</v>
      </c>
    </row>
    <row r="28" spans="1:21" x14ac:dyDescent="0.25">
      <c r="A28" t="str">
        <f>Funktional!A28</f>
        <v>Bürglen</v>
      </c>
      <c r="B28" t="str">
        <f>Funktional!B28</f>
        <v>PSG</v>
      </c>
      <c r="C28" s="366"/>
      <c r="D28" s="366">
        <v>66</v>
      </c>
      <c r="E28">
        <v>2</v>
      </c>
      <c r="F28" s="404">
        <f>218-30</f>
        <v>188</v>
      </c>
      <c r="G28" s="404">
        <v>30</v>
      </c>
      <c r="H28" s="43">
        <f t="shared" si="11"/>
        <v>218</v>
      </c>
      <c r="I28" s="43">
        <f t="shared" si="12"/>
        <v>284</v>
      </c>
      <c r="J28" s="43">
        <f>Funktional!E28</f>
        <v>3112036.9978763079</v>
      </c>
      <c r="K28" s="44">
        <f>Funktional!G28</f>
        <v>14275.3990728271</v>
      </c>
      <c r="L28" s="44" t="e">
        <f t="shared" si="8"/>
        <v>#DIV/0!</v>
      </c>
      <c r="M28" s="365">
        <v>1795260.45</v>
      </c>
      <c r="N28" s="365">
        <v>3149579.74</v>
      </c>
      <c r="O28" s="44" t="e">
        <f t="shared" si="9"/>
        <v>#DIV/0!</v>
      </c>
      <c r="P28" s="43"/>
      <c r="Q28" s="44">
        <f>Funktional!AN28/Kennzahlen!H28</f>
        <v>43.450332021891029</v>
      </c>
      <c r="R28" s="46">
        <f t="shared" si="10"/>
        <v>0.13761467889908258</v>
      </c>
      <c r="S28" s="365">
        <v>-87088.8</v>
      </c>
      <c r="T28" s="365">
        <v>78044.399999999994</v>
      </c>
      <c r="U28" s="365">
        <v>34432.400000000001</v>
      </c>
    </row>
    <row r="29" spans="1:21" x14ac:dyDescent="0.25">
      <c r="A29" t="str">
        <f>Funktional!A29</f>
        <v>Bussnang-Rothenhausen</v>
      </c>
      <c r="B29" t="str">
        <f>Funktional!B29</f>
        <v>PSG</v>
      </c>
      <c r="C29" s="366"/>
      <c r="D29" s="366">
        <v>28</v>
      </c>
      <c r="E29">
        <v>2</v>
      </c>
      <c r="F29" s="404">
        <v>96</v>
      </c>
      <c r="G29" s="404"/>
      <c r="H29" s="43">
        <f t="shared" si="11"/>
        <v>96</v>
      </c>
      <c r="I29" s="43">
        <f t="shared" si="12"/>
        <v>124</v>
      </c>
      <c r="J29" s="43">
        <f>Funktional!E29</f>
        <v>1006226.0938906537</v>
      </c>
      <c r="K29" s="44">
        <f>Funktional!G29</f>
        <v>10481.521811360975</v>
      </c>
      <c r="L29" s="44" t="e">
        <f t="shared" si="8"/>
        <v>#DIV/0!</v>
      </c>
      <c r="M29" s="365">
        <v>773318.25</v>
      </c>
      <c r="N29" s="365">
        <v>1089180.6299999999</v>
      </c>
      <c r="O29" s="44" t="e">
        <f t="shared" si="9"/>
        <v>#DIV/0!</v>
      </c>
      <c r="P29" s="43"/>
      <c r="Q29" s="44">
        <f>Funktional!AN29/Kennzahlen!H29</f>
        <v>30.000786062964405</v>
      </c>
      <c r="R29" s="46">
        <f t="shared" si="10"/>
        <v>0</v>
      </c>
      <c r="S29" s="365">
        <v>-290588.2</v>
      </c>
      <c r="T29" s="365">
        <v>25033.45</v>
      </c>
      <c r="U29" s="365">
        <v>2205.65</v>
      </c>
    </row>
    <row r="30" spans="1:21" x14ac:dyDescent="0.25">
      <c r="A30" t="str">
        <f>Funktional!A30</f>
        <v>Busswil</v>
      </c>
      <c r="B30" t="str">
        <f>Funktional!B30</f>
        <v>PSG</v>
      </c>
      <c r="C30" s="366"/>
      <c r="D30" s="366">
        <v>15</v>
      </c>
      <c r="E30">
        <v>2</v>
      </c>
      <c r="F30" s="404">
        <v>89</v>
      </c>
      <c r="G30" s="404"/>
      <c r="H30" s="43">
        <f t="shared" si="11"/>
        <v>89</v>
      </c>
      <c r="I30" s="43">
        <f t="shared" si="12"/>
        <v>104</v>
      </c>
      <c r="J30" s="43">
        <f>Funktional!E30</f>
        <v>907467.50536806975</v>
      </c>
      <c r="K30" s="44">
        <f>Funktional!G30</f>
        <v>10196.26410525921</v>
      </c>
      <c r="L30" s="44" t="e">
        <f t="shared" si="8"/>
        <v>#DIV/0!</v>
      </c>
      <c r="M30" s="365">
        <v>496013.15</v>
      </c>
      <c r="N30" s="365">
        <v>763097.15</v>
      </c>
      <c r="O30" s="44" t="e">
        <f t="shared" si="9"/>
        <v>#DIV/0!</v>
      </c>
      <c r="P30" s="43"/>
      <c r="Q30" s="44">
        <f>Funktional!AN30/Kennzahlen!H30</f>
        <v>32.023563569790191</v>
      </c>
      <c r="R30" s="46">
        <f t="shared" si="10"/>
        <v>0</v>
      </c>
      <c r="S30" s="365">
        <v>-198251.3</v>
      </c>
      <c r="T30" s="365">
        <v>33230.9</v>
      </c>
      <c r="U30" s="365">
        <v>5572.95</v>
      </c>
    </row>
    <row r="31" spans="1:21" x14ac:dyDescent="0.25">
      <c r="A31" t="str">
        <f>Funktional!A31</f>
        <v>Dettighofen-Lanzenneunforn</v>
      </c>
      <c r="B31" t="str">
        <f>Funktional!B31</f>
        <v>PSG</v>
      </c>
      <c r="C31" s="366"/>
      <c r="D31" s="366">
        <v>25</v>
      </c>
      <c r="E31">
        <v>2</v>
      </c>
      <c r="F31" s="404">
        <v>91</v>
      </c>
      <c r="G31" s="404"/>
      <c r="H31" s="43">
        <f t="shared" si="11"/>
        <v>91</v>
      </c>
      <c r="I31" s="43">
        <f t="shared" si="12"/>
        <v>116</v>
      </c>
      <c r="J31" s="43">
        <f>Funktional!E31</f>
        <v>896807.98999241239</v>
      </c>
      <c r="K31" s="44">
        <f>Funktional!G31</f>
        <v>9855.0328570594775</v>
      </c>
      <c r="L31" s="44" t="e">
        <f t="shared" si="8"/>
        <v>#DIV/0!</v>
      </c>
      <c r="M31" s="365">
        <v>549854.35</v>
      </c>
      <c r="N31" s="365">
        <v>743046.42</v>
      </c>
      <c r="O31" s="44" t="e">
        <f t="shared" si="9"/>
        <v>#DIV/0!</v>
      </c>
      <c r="P31" s="43"/>
      <c r="Q31" s="44">
        <f>Funktional!AN31/Kennzahlen!H31</f>
        <v>43.968349393137046</v>
      </c>
      <c r="R31" s="46">
        <f t="shared" si="10"/>
        <v>0</v>
      </c>
      <c r="S31" s="365">
        <v>51814.5</v>
      </c>
      <c r="T31" s="365">
        <v>8780.7999999999993</v>
      </c>
      <c r="U31" s="365">
        <v>2916.5</v>
      </c>
    </row>
    <row r="32" spans="1:21" x14ac:dyDescent="0.25">
      <c r="A32" t="str">
        <f>Funktional!A32</f>
        <v>Diessenhofen</v>
      </c>
      <c r="B32" t="str">
        <f>Funktional!B32</f>
        <v>PSG</v>
      </c>
      <c r="C32" s="366"/>
      <c r="D32" s="366">
        <v>66</v>
      </c>
      <c r="E32">
        <v>2</v>
      </c>
      <c r="F32" s="404">
        <f>233-12</f>
        <v>221</v>
      </c>
      <c r="G32" s="404">
        <v>12</v>
      </c>
      <c r="H32" s="43">
        <f t="shared" si="11"/>
        <v>233</v>
      </c>
      <c r="I32" s="43">
        <f t="shared" si="12"/>
        <v>299</v>
      </c>
      <c r="J32" s="43">
        <f>Funktional!E32</f>
        <v>2582168.2949821511</v>
      </c>
      <c r="K32" s="44">
        <f>Funktional!G32</f>
        <v>11082.267360438416</v>
      </c>
      <c r="L32" s="44" t="e">
        <f t="shared" si="8"/>
        <v>#DIV/0!</v>
      </c>
      <c r="M32" s="365">
        <v>2883027.85</v>
      </c>
      <c r="N32" s="365">
        <v>4435427.46</v>
      </c>
      <c r="O32" s="44" t="e">
        <f t="shared" si="9"/>
        <v>#DIV/0!</v>
      </c>
      <c r="P32" s="43"/>
      <c r="Q32" s="44">
        <f>Funktional!AN32/Kennzahlen!H32</f>
        <v>46.568545931479164</v>
      </c>
      <c r="R32" s="46">
        <f t="shared" si="10"/>
        <v>5.1502145922746781E-2</v>
      </c>
      <c r="S32" s="365">
        <v>346529</v>
      </c>
      <c r="T32" s="365">
        <v>5867.5</v>
      </c>
      <c r="U32" s="365">
        <v>33155.199999999997</v>
      </c>
    </row>
    <row r="33" spans="1:21" x14ac:dyDescent="0.25">
      <c r="A33" t="str">
        <f>Funktional!A33</f>
        <v>Dingetswil</v>
      </c>
      <c r="B33" t="str">
        <f>Funktional!B33</f>
        <v>PSG</v>
      </c>
      <c r="C33" s="366"/>
      <c r="D33" s="366"/>
      <c r="E33">
        <v>2</v>
      </c>
      <c r="F33" s="378">
        <v>1</v>
      </c>
      <c r="G33" s="404"/>
      <c r="H33" s="43">
        <f t="shared" si="11"/>
        <v>1</v>
      </c>
      <c r="I33" s="43">
        <f t="shared" si="12"/>
        <v>1</v>
      </c>
      <c r="J33" s="43">
        <f>Funktional!E33</f>
        <v>45912.600000000006</v>
      </c>
      <c r="K33" s="44">
        <f>Funktional!G33</f>
        <v>0</v>
      </c>
      <c r="L33" s="44" t="e">
        <f t="shared" si="8"/>
        <v>#DIV/0!</v>
      </c>
      <c r="M33" s="365">
        <v>45658.9</v>
      </c>
      <c r="N33" s="365">
        <v>91317.8</v>
      </c>
      <c r="O33" s="44" t="e">
        <f t="shared" si="9"/>
        <v>#DIV/0!</v>
      </c>
      <c r="P33" s="43"/>
      <c r="Q33" s="44"/>
      <c r="R33" s="46"/>
      <c r="S33" s="365">
        <v>42600.4</v>
      </c>
      <c r="T33" s="365">
        <v>0</v>
      </c>
      <c r="U33" s="365">
        <v>1027.2</v>
      </c>
    </row>
    <row r="34" spans="1:21" x14ac:dyDescent="0.25">
      <c r="A34" t="str">
        <f>Funktional!A34</f>
        <v>Donzhausen</v>
      </c>
      <c r="B34" t="str">
        <f>Funktional!B34</f>
        <v>PSG</v>
      </c>
      <c r="C34" s="366"/>
      <c r="D34" s="366">
        <v>11</v>
      </c>
      <c r="E34">
        <v>2</v>
      </c>
      <c r="F34" s="404">
        <v>36</v>
      </c>
      <c r="G34" s="404"/>
      <c r="H34" s="43">
        <f t="shared" si="11"/>
        <v>36</v>
      </c>
      <c r="I34" s="43">
        <f t="shared" si="12"/>
        <v>47</v>
      </c>
      <c r="J34" s="43">
        <f>Funktional!E34</f>
        <v>527445.99267810036</v>
      </c>
      <c r="K34" s="44">
        <f>Funktional!G34</f>
        <v>14651.277574391677</v>
      </c>
      <c r="L34" s="44" t="e">
        <f t="shared" si="8"/>
        <v>#DIV/0!</v>
      </c>
      <c r="M34" s="365">
        <v>155156.95000000001</v>
      </c>
      <c r="N34" s="365">
        <v>224865.14</v>
      </c>
      <c r="O34" s="44" t="e">
        <f t="shared" si="9"/>
        <v>#DIV/0!</v>
      </c>
      <c r="P34" s="43"/>
      <c r="Q34" s="44">
        <f>Funktional!AN34/Kennzahlen!H34</f>
        <v>82.494241562438134</v>
      </c>
      <c r="R34" s="46">
        <f t="shared" si="10"/>
        <v>0</v>
      </c>
      <c r="S34" s="365">
        <v>-74029.600000000006</v>
      </c>
      <c r="T34" s="365">
        <v>1157.7</v>
      </c>
      <c r="U34" s="365">
        <v>2230.8000000000002</v>
      </c>
    </row>
    <row r="35" spans="1:21" x14ac:dyDescent="0.25">
      <c r="A35" t="str">
        <f>Funktional!A35</f>
        <v>Dozwil</v>
      </c>
      <c r="B35" t="str">
        <f>Funktional!B35</f>
        <v>PSG</v>
      </c>
      <c r="C35" s="366"/>
      <c r="D35" s="366">
        <v>0</v>
      </c>
      <c r="E35">
        <v>1</v>
      </c>
      <c r="F35" s="404">
        <v>48</v>
      </c>
      <c r="G35" s="404"/>
      <c r="H35" s="43">
        <f t="shared" si="11"/>
        <v>48</v>
      </c>
      <c r="I35" s="43">
        <f t="shared" si="12"/>
        <v>48</v>
      </c>
      <c r="J35" s="43">
        <f>Funktional!E35</f>
        <v>477479.55</v>
      </c>
      <c r="K35" s="44">
        <f>Funktional!G35</f>
        <v>9947.4906250000004</v>
      </c>
      <c r="L35" s="44" t="e">
        <f t="shared" si="8"/>
        <v>#DIV/0!</v>
      </c>
      <c r="M35" s="365">
        <v>291168.75</v>
      </c>
      <c r="N35" s="365">
        <v>462172.62</v>
      </c>
      <c r="O35" s="44" t="e">
        <f t="shared" si="9"/>
        <v>#DIV/0!</v>
      </c>
      <c r="P35" s="43"/>
      <c r="Q35" s="44">
        <f>Funktional!AN35/Kennzahlen!H35</f>
        <v>41.05104166666667</v>
      </c>
      <c r="R35" s="46">
        <f t="shared" si="10"/>
        <v>0</v>
      </c>
      <c r="S35" s="365">
        <v>-34183.35</v>
      </c>
      <c r="T35" s="365">
        <v>5042.1499999999996</v>
      </c>
      <c r="U35" s="365">
        <v>5192.1000000000004</v>
      </c>
    </row>
    <row r="36" spans="1:21" x14ac:dyDescent="0.25">
      <c r="A36" t="str">
        <f>Funktional!A36</f>
        <v>Dussnang-Oberwangen</v>
      </c>
      <c r="B36" t="str">
        <f>Funktional!B36</f>
        <v>PSG</v>
      </c>
      <c r="C36" s="366"/>
      <c r="D36" s="366">
        <v>33</v>
      </c>
      <c r="E36">
        <v>1</v>
      </c>
      <c r="F36" s="404">
        <v>180</v>
      </c>
      <c r="G36" s="404"/>
      <c r="H36" s="43">
        <f t="shared" si="11"/>
        <v>180</v>
      </c>
      <c r="I36" s="43">
        <f t="shared" si="12"/>
        <v>213</v>
      </c>
      <c r="J36" s="43">
        <f>Funktional!E36</f>
        <v>1900547.0929663209</v>
      </c>
      <c r="K36" s="44">
        <f>Funktional!G36</f>
        <v>10558.594960924005</v>
      </c>
      <c r="L36" s="44" t="e">
        <f t="shared" si="8"/>
        <v>#DIV/0!</v>
      </c>
      <c r="M36" s="365">
        <v>963594.75</v>
      </c>
      <c r="N36" s="365">
        <v>1927189.5</v>
      </c>
      <c r="O36" s="44" t="e">
        <f t="shared" si="9"/>
        <v>#DIV/0!</v>
      </c>
      <c r="P36" s="43"/>
      <c r="Q36" s="44">
        <f>Funktional!AN36/Kennzahlen!H36</f>
        <v>51.965425097672401</v>
      </c>
      <c r="R36" s="46">
        <f t="shared" si="10"/>
        <v>0</v>
      </c>
      <c r="S36" s="365">
        <v>-30259.55</v>
      </c>
      <c r="T36" s="365">
        <v>26305.9</v>
      </c>
      <c r="U36" s="365">
        <v>12167.65</v>
      </c>
    </row>
    <row r="37" spans="1:21" x14ac:dyDescent="0.25">
      <c r="A37" t="str">
        <f>Funktional!A37</f>
        <v>Egg</v>
      </c>
      <c r="B37" t="str">
        <f>Funktional!B37</f>
        <v>PSG</v>
      </c>
      <c r="C37" s="366"/>
      <c r="D37" s="366">
        <v>21</v>
      </c>
      <c r="E37">
        <v>2</v>
      </c>
      <c r="F37" s="404">
        <v>83</v>
      </c>
      <c r="G37" s="404"/>
      <c r="H37" s="43">
        <f t="shared" si="11"/>
        <v>83</v>
      </c>
      <c r="I37" s="43">
        <f t="shared" si="12"/>
        <v>104</v>
      </c>
      <c r="J37" s="43">
        <f>Funktional!E37</f>
        <v>753460.81603016553</v>
      </c>
      <c r="K37" s="44">
        <f>Funktional!G37</f>
        <v>9077.8411569899454</v>
      </c>
      <c r="L37" s="44" t="e">
        <f t="shared" si="8"/>
        <v>#DIV/0!</v>
      </c>
      <c r="M37" s="365">
        <v>421370.95</v>
      </c>
      <c r="N37" s="365">
        <v>712979.8</v>
      </c>
      <c r="O37" s="44" t="e">
        <f t="shared" si="9"/>
        <v>#DIV/0!</v>
      </c>
      <c r="P37" s="43"/>
      <c r="Q37" s="44">
        <f>Funktional!AN37/Kennzahlen!H37</f>
        <v>33.36775435063813</v>
      </c>
      <c r="R37" s="46">
        <f t="shared" si="10"/>
        <v>0</v>
      </c>
      <c r="S37" s="365">
        <v>-46005.45</v>
      </c>
      <c r="T37" s="365">
        <v>6113</v>
      </c>
      <c r="U37" s="365">
        <v>3330.3</v>
      </c>
    </row>
    <row r="38" spans="1:21" x14ac:dyDescent="0.25">
      <c r="A38" t="str">
        <f>Funktional!A38</f>
        <v>Eggethof</v>
      </c>
      <c r="B38" t="str">
        <f>Funktional!B38</f>
        <v>PSG</v>
      </c>
      <c r="C38" s="366"/>
      <c r="D38" s="366">
        <v>0</v>
      </c>
      <c r="E38">
        <v>1</v>
      </c>
      <c r="F38" s="404">
        <v>38</v>
      </c>
      <c r="G38" s="404"/>
      <c r="H38" s="43">
        <f t="shared" si="11"/>
        <v>38</v>
      </c>
      <c r="I38" s="43">
        <f t="shared" si="12"/>
        <v>38</v>
      </c>
      <c r="J38" s="43">
        <f>Funktional!E38</f>
        <v>443832.25</v>
      </c>
      <c r="K38" s="44">
        <f>Funktional!G38</f>
        <v>11679.796052631578</v>
      </c>
      <c r="L38" s="44" t="e">
        <f t="shared" si="8"/>
        <v>#DIV/0!</v>
      </c>
      <c r="M38" s="365">
        <v>147059.85</v>
      </c>
      <c r="N38" s="365">
        <v>245099.75</v>
      </c>
      <c r="O38" s="44" t="e">
        <f t="shared" si="9"/>
        <v>#DIV/0!</v>
      </c>
      <c r="P38" s="43"/>
      <c r="Q38" s="44">
        <f>Funktional!AN38/Kennzahlen!H38</f>
        <v>100.06447368421053</v>
      </c>
      <c r="R38" s="46">
        <f t="shared" si="10"/>
        <v>0</v>
      </c>
      <c r="S38" s="365">
        <v>-66588.600000000006</v>
      </c>
      <c r="T38" s="365">
        <v>3860.1</v>
      </c>
      <c r="U38" s="365">
        <v>1061.4000000000001</v>
      </c>
    </row>
    <row r="39" spans="1:21" x14ac:dyDescent="0.25">
      <c r="A39" t="str">
        <f>Funktional!A39</f>
        <v>Egnach</v>
      </c>
      <c r="B39" t="str">
        <f>Funktional!B39</f>
        <v>PSG</v>
      </c>
      <c r="C39" s="366"/>
      <c r="D39" s="366">
        <v>32</v>
      </c>
      <c r="E39">
        <v>2</v>
      </c>
      <c r="F39" s="404">
        <v>166</v>
      </c>
      <c r="G39" s="404"/>
      <c r="H39" s="43">
        <f t="shared" si="11"/>
        <v>166</v>
      </c>
      <c r="I39" s="43">
        <f t="shared" si="12"/>
        <v>198</v>
      </c>
      <c r="J39" s="43">
        <f>Funktional!E39</f>
        <v>1308674.7619144765</v>
      </c>
      <c r="K39" s="44">
        <f>Funktional!G39</f>
        <v>7883.5829030992563</v>
      </c>
      <c r="L39" s="44" t="e">
        <f t="shared" si="8"/>
        <v>#DIV/0!</v>
      </c>
      <c r="M39" s="365">
        <v>1238663.7</v>
      </c>
      <c r="N39" s="365">
        <v>1997844.68</v>
      </c>
      <c r="O39" s="44" t="e">
        <f t="shared" si="9"/>
        <v>#DIV/0!</v>
      </c>
      <c r="P39" s="43"/>
      <c r="Q39" s="44">
        <f>Funktional!AN39/Kennzahlen!H39</f>
        <v>50.731737543495228</v>
      </c>
      <c r="R39" s="46">
        <f t="shared" si="10"/>
        <v>0</v>
      </c>
      <c r="S39" s="365">
        <v>-178838.65</v>
      </c>
      <c r="T39" s="365">
        <v>17408.2</v>
      </c>
      <c r="U39" s="365">
        <v>19046.8</v>
      </c>
    </row>
    <row r="40" spans="1:21" x14ac:dyDescent="0.25">
      <c r="A40" t="str">
        <f>Funktional!A40</f>
        <v>Engelswilen-Dotnacht</v>
      </c>
      <c r="B40" t="str">
        <f>Funktional!B40</f>
        <v>PSG</v>
      </c>
      <c r="C40" s="366"/>
      <c r="D40" s="366">
        <v>0</v>
      </c>
      <c r="E40">
        <v>2</v>
      </c>
      <c r="F40" s="404">
        <v>39</v>
      </c>
      <c r="G40" s="404"/>
      <c r="H40" s="43">
        <f t="shared" si="11"/>
        <v>39</v>
      </c>
      <c r="I40" s="43">
        <f t="shared" si="12"/>
        <v>39</v>
      </c>
      <c r="J40" s="43">
        <f>Funktional!E40</f>
        <v>590143.9</v>
      </c>
      <c r="K40" s="44">
        <f>Funktional!G40</f>
        <v>15131.894871794872</v>
      </c>
      <c r="L40" s="44" t="e">
        <f t="shared" ref="L40:L48" si="13">J40/C40</f>
        <v>#DIV/0!</v>
      </c>
      <c r="M40" s="365">
        <v>177005.65</v>
      </c>
      <c r="N40" s="365">
        <v>264811.28000000003</v>
      </c>
      <c r="O40" s="44" t="e">
        <f t="shared" ref="O40:O48" si="14">N40/C40</f>
        <v>#DIV/0!</v>
      </c>
      <c r="P40" s="43"/>
      <c r="Q40" s="44">
        <f>Funktional!AN40/Kennzahlen!H40</f>
        <v>66.783333333333331</v>
      </c>
      <c r="R40" s="46">
        <f t="shared" ref="R40:R48" si="15">G40/(G40+F40)</f>
        <v>0</v>
      </c>
      <c r="S40" s="365">
        <v>-59394.05</v>
      </c>
      <c r="T40" s="365">
        <v>14007.95</v>
      </c>
      <c r="U40" s="365">
        <v>4994.6499999999996</v>
      </c>
    </row>
    <row r="41" spans="1:21" x14ac:dyDescent="0.25">
      <c r="A41" t="str">
        <f>Funktional!A41</f>
        <v>Engwang-Wagerswil</v>
      </c>
      <c r="B41" t="str">
        <f>Funktional!B41</f>
        <v>PSG</v>
      </c>
      <c r="C41" s="366"/>
      <c r="D41" s="366">
        <v>0</v>
      </c>
      <c r="E41">
        <v>2</v>
      </c>
      <c r="F41" s="404">
        <v>51</v>
      </c>
      <c r="G41" s="404"/>
      <c r="H41" s="43">
        <f t="shared" ref="H41:H56" si="16">G41+F41</f>
        <v>51</v>
      </c>
      <c r="I41" s="43">
        <f t="shared" ref="I41:I56" si="17">H41+D41</f>
        <v>51</v>
      </c>
      <c r="J41" s="43">
        <f>Funktional!E41</f>
        <v>461288</v>
      </c>
      <c r="K41" s="44">
        <f>Funktional!G41</f>
        <v>9044.8627450980384</v>
      </c>
      <c r="L41" s="44" t="e">
        <f t="shared" si="13"/>
        <v>#DIV/0!</v>
      </c>
      <c r="M41" s="365">
        <v>121917.5</v>
      </c>
      <c r="N41" s="365">
        <v>234456.73</v>
      </c>
      <c r="O41" s="44" t="e">
        <f t="shared" si="14"/>
        <v>#DIV/0!</v>
      </c>
      <c r="P41" s="43"/>
      <c r="Q41" s="44">
        <f>Funktional!AN41/Kennzahlen!H41</f>
        <v>19.411764705882351</v>
      </c>
      <c r="R41" s="46">
        <f t="shared" si="15"/>
        <v>0</v>
      </c>
      <c r="S41" s="365">
        <v>-16116.2</v>
      </c>
      <c r="T41" s="365">
        <v>2946.05</v>
      </c>
      <c r="U41" s="365">
        <v>2576.4499999999998</v>
      </c>
    </row>
    <row r="42" spans="1:21" x14ac:dyDescent="0.25">
      <c r="A42" t="str">
        <f>Funktional!A42</f>
        <v>Ermatingen</v>
      </c>
      <c r="B42" t="str">
        <f>Funktional!B42</f>
        <v>PSG</v>
      </c>
      <c r="C42" s="366"/>
      <c r="D42" s="366">
        <v>55</v>
      </c>
      <c r="E42">
        <v>2</v>
      </c>
      <c r="F42" s="404">
        <v>180</v>
      </c>
      <c r="G42" s="404"/>
      <c r="H42" s="43">
        <f t="shared" si="16"/>
        <v>180</v>
      </c>
      <c r="I42" s="43">
        <f t="shared" si="17"/>
        <v>235</v>
      </c>
      <c r="J42" s="43">
        <f>Funktional!E42</f>
        <v>2546020.0970489569</v>
      </c>
      <c r="K42" s="44">
        <f>Funktional!G42</f>
        <v>14144.556094716427</v>
      </c>
      <c r="L42" s="44" t="e">
        <f t="shared" si="13"/>
        <v>#DIV/0!</v>
      </c>
      <c r="M42" s="365">
        <v>2218730.4</v>
      </c>
      <c r="N42" s="365">
        <v>4437460.8</v>
      </c>
      <c r="O42" s="44" t="e">
        <f t="shared" si="14"/>
        <v>#DIV/0!</v>
      </c>
      <c r="P42" s="43"/>
      <c r="Q42" s="44">
        <f>Funktional!AN42/Kennzahlen!H42</f>
        <v>46.456316923140221</v>
      </c>
      <c r="R42" s="46">
        <f t="shared" si="15"/>
        <v>0</v>
      </c>
      <c r="S42" s="365">
        <v>-531628.1</v>
      </c>
      <c r="T42" s="365">
        <v>129067.7</v>
      </c>
      <c r="U42" s="365">
        <v>13344.75</v>
      </c>
    </row>
    <row r="43" spans="1:21" x14ac:dyDescent="0.25">
      <c r="A43" t="str">
        <f>Funktional!A43</f>
        <v>Eschenz</v>
      </c>
      <c r="B43" t="str">
        <f>Funktional!B43</f>
        <v>PSG</v>
      </c>
      <c r="C43" s="366"/>
      <c r="D43" s="366">
        <v>48</v>
      </c>
      <c r="E43">
        <v>2</v>
      </c>
      <c r="F43" s="404">
        <v>148</v>
      </c>
      <c r="G43" s="404"/>
      <c r="H43" s="43">
        <f t="shared" si="16"/>
        <v>148</v>
      </c>
      <c r="I43" s="43">
        <f t="shared" si="17"/>
        <v>196</v>
      </c>
      <c r="J43" s="43">
        <f>Funktional!E43</f>
        <v>1316131.5843503876</v>
      </c>
      <c r="K43" s="44">
        <f>Funktional!G43</f>
        <v>8892.7809753404563</v>
      </c>
      <c r="L43" s="44" t="e">
        <f t="shared" si="13"/>
        <v>#DIV/0!</v>
      </c>
      <c r="M43" s="365">
        <v>1027245.9</v>
      </c>
      <c r="N43" s="365">
        <v>1580378.31</v>
      </c>
      <c r="O43" s="44" t="e">
        <f t="shared" si="14"/>
        <v>#DIV/0!</v>
      </c>
      <c r="P43" s="43"/>
      <c r="Q43" s="44">
        <f>Funktional!AN43/Kennzahlen!H43</f>
        <v>39.339423653647223</v>
      </c>
      <c r="R43" s="46">
        <f t="shared" si="15"/>
        <v>0</v>
      </c>
      <c r="S43" s="365">
        <v>-143426.70000000001</v>
      </c>
      <c r="T43" s="365">
        <v>19950</v>
      </c>
      <c r="U43" s="365">
        <v>17766.849999999999</v>
      </c>
    </row>
    <row r="44" spans="1:21" x14ac:dyDescent="0.25">
      <c r="A44" t="str">
        <f>Funktional!A44</f>
        <v>Ettenhausen</v>
      </c>
      <c r="B44" t="str">
        <f>Funktional!B44</f>
        <v>PSG</v>
      </c>
      <c r="C44" s="366"/>
      <c r="D44" s="366">
        <v>28</v>
      </c>
      <c r="E44">
        <v>2</v>
      </c>
      <c r="F44" s="404">
        <v>99</v>
      </c>
      <c r="G44" s="404"/>
      <c r="H44" s="43">
        <f t="shared" si="16"/>
        <v>99</v>
      </c>
      <c r="I44" s="43">
        <f t="shared" si="17"/>
        <v>127</v>
      </c>
      <c r="J44" s="43">
        <f>Funktional!E44</f>
        <v>876884.13939621847</v>
      </c>
      <c r="K44" s="44">
        <f>Funktional!G44</f>
        <v>8857.4155494567531</v>
      </c>
      <c r="L44" s="44" t="e">
        <f t="shared" si="13"/>
        <v>#DIV/0!</v>
      </c>
      <c r="M44" s="365">
        <v>756043.35</v>
      </c>
      <c r="N44" s="365">
        <v>1453929.52</v>
      </c>
      <c r="O44" s="44" t="e">
        <f t="shared" si="14"/>
        <v>#DIV/0!</v>
      </c>
      <c r="P44" s="43"/>
      <c r="Q44" s="44">
        <f>Funktional!AN44/Kennzahlen!H44</f>
        <v>36.710095616642363</v>
      </c>
      <c r="R44" s="46">
        <f t="shared" si="15"/>
        <v>0</v>
      </c>
      <c r="S44" s="365">
        <v>-6740.4</v>
      </c>
      <c r="T44" s="365">
        <v>15443</v>
      </c>
      <c r="U44" s="365">
        <v>1082</v>
      </c>
    </row>
    <row r="45" spans="1:21" x14ac:dyDescent="0.25">
      <c r="A45" t="str">
        <f>Funktional!A45</f>
        <v>Felben-Wellhausen</v>
      </c>
      <c r="B45" t="str">
        <f>Funktional!B45</f>
        <v>PSG</v>
      </c>
      <c r="C45" s="366"/>
      <c r="D45" s="366">
        <v>60</v>
      </c>
      <c r="E45">
        <v>2</v>
      </c>
      <c r="F45" s="404">
        <v>178</v>
      </c>
      <c r="G45" s="404"/>
      <c r="H45" s="43">
        <f t="shared" si="16"/>
        <v>178</v>
      </c>
      <c r="I45" s="43">
        <f t="shared" si="17"/>
        <v>238</v>
      </c>
      <c r="J45" s="43">
        <f>Funktional!E45</f>
        <v>1895187.3204156929</v>
      </c>
      <c r="K45" s="44">
        <f>Funktional!G45</f>
        <v>10647.119777616252</v>
      </c>
      <c r="L45" s="44" t="e">
        <f t="shared" si="13"/>
        <v>#DIV/0!</v>
      </c>
      <c r="M45" s="365">
        <v>2899736.05</v>
      </c>
      <c r="N45" s="365">
        <v>3624670.06</v>
      </c>
      <c r="O45" s="44" t="e">
        <f t="shared" si="14"/>
        <v>#DIV/0!</v>
      </c>
      <c r="P45" s="43"/>
      <c r="Q45" s="44">
        <f>Funktional!AN45/Kennzahlen!H45</f>
        <v>54.378170502809745</v>
      </c>
      <c r="R45" s="46">
        <f t="shared" si="15"/>
        <v>0</v>
      </c>
      <c r="S45" s="365">
        <v>832656.5</v>
      </c>
      <c r="T45" s="365">
        <v>7015</v>
      </c>
      <c r="U45" s="365">
        <v>21806.05</v>
      </c>
    </row>
    <row r="46" spans="1:21" x14ac:dyDescent="0.25">
      <c r="A46" t="str">
        <f>Funktional!A46</f>
        <v>Fimmelsberg-Holzhäusern</v>
      </c>
      <c r="B46" t="str">
        <f>Funktional!B46</f>
        <v>PSG</v>
      </c>
      <c r="C46" s="366"/>
      <c r="D46" s="366">
        <v>15</v>
      </c>
      <c r="E46">
        <v>1</v>
      </c>
      <c r="F46" s="404">
        <v>71</v>
      </c>
      <c r="G46" s="404"/>
      <c r="H46" s="43">
        <f t="shared" si="16"/>
        <v>71</v>
      </c>
      <c r="I46" s="43">
        <f t="shared" si="17"/>
        <v>86</v>
      </c>
      <c r="J46" s="43">
        <f>Funktional!E46</f>
        <v>566059.98820103146</v>
      </c>
      <c r="K46" s="44">
        <f>Funktional!G46</f>
        <v>7972.6758901553731</v>
      </c>
      <c r="L46" s="44" t="e">
        <f t="shared" si="13"/>
        <v>#DIV/0!</v>
      </c>
      <c r="M46" s="365">
        <v>379892.65</v>
      </c>
      <c r="N46" s="365">
        <v>535060.06999999995</v>
      </c>
      <c r="O46" s="44" t="e">
        <f t="shared" si="14"/>
        <v>#DIV/0!</v>
      </c>
      <c r="P46" s="43"/>
      <c r="Q46" s="44">
        <f>Funktional!AN46/Kennzahlen!H46</f>
        <v>40.589166252458767</v>
      </c>
      <c r="R46" s="46">
        <f t="shared" si="15"/>
        <v>0</v>
      </c>
      <c r="S46" s="365">
        <v>-6381.14</v>
      </c>
      <c r="T46" s="365">
        <v>13442.8</v>
      </c>
      <c r="U46" s="365">
        <v>4582.25</v>
      </c>
    </row>
    <row r="47" spans="1:21" x14ac:dyDescent="0.25">
      <c r="A47" t="str">
        <f>Funktional!A47</f>
        <v>Fischingen</v>
      </c>
      <c r="B47" t="str">
        <f>Funktional!B47</f>
        <v>PSG</v>
      </c>
      <c r="C47" s="366"/>
      <c r="D47" s="366">
        <v>20</v>
      </c>
      <c r="E47">
        <v>2</v>
      </c>
      <c r="F47" s="404">
        <v>39</v>
      </c>
      <c r="G47" s="404"/>
      <c r="H47" s="43">
        <f t="shared" si="16"/>
        <v>39</v>
      </c>
      <c r="I47" s="43">
        <f t="shared" si="17"/>
        <v>59</v>
      </c>
      <c r="J47" s="43">
        <f>Funktional!E47</f>
        <v>484203.09990351542</v>
      </c>
      <c r="K47" s="44">
        <f>Funktional!G47</f>
        <v>12415.464100090139</v>
      </c>
      <c r="L47" s="44" t="e">
        <f t="shared" si="13"/>
        <v>#DIV/0!</v>
      </c>
      <c r="M47" s="365">
        <v>236623.15</v>
      </c>
      <c r="N47" s="365">
        <v>473246.3</v>
      </c>
      <c r="O47" s="44" t="e">
        <f t="shared" si="14"/>
        <v>#DIV/0!</v>
      </c>
      <c r="P47" s="43"/>
      <c r="Q47" s="44">
        <f>Funktional!AN47/Kennzahlen!H47</f>
        <v>28.355550850958299</v>
      </c>
      <c r="R47" s="46">
        <f t="shared" si="15"/>
        <v>0</v>
      </c>
      <c r="S47" s="365">
        <v>-35826.199999999997</v>
      </c>
      <c r="T47" s="365">
        <v>2300</v>
      </c>
      <c r="U47" s="365">
        <v>2523.0500000000002</v>
      </c>
    </row>
    <row r="48" spans="1:21" x14ac:dyDescent="0.25">
      <c r="A48" t="str">
        <f>Funktional!A48</f>
        <v>Frauenfeld</v>
      </c>
      <c r="B48" t="str">
        <f>Funktional!B48</f>
        <v>PSG</v>
      </c>
      <c r="C48" s="366"/>
      <c r="D48" s="366">
        <v>476</v>
      </c>
      <c r="E48">
        <v>2</v>
      </c>
      <c r="F48" s="404">
        <f>1599-144</f>
        <v>1455</v>
      </c>
      <c r="G48" s="404">
        <v>144</v>
      </c>
      <c r="H48" s="43">
        <f t="shared" si="16"/>
        <v>1599</v>
      </c>
      <c r="I48" s="43">
        <f t="shared" si="17"/>
        <v>2075</v>
      </c>
      <c r="J48" s="43">
        <f>Funktional!E48</f>
        <v>16960169.746721085</v>
      </c>
      <c r="K48" s="44">
        <f>Funktional!G48</f>
        <v>10606.735301263969</v>
      </c>
      <c r="L48" s="44" t="e">
        <f t="shared" si="13"/>
        <v>#DIV/0!</v>
      </c>
      <c r="M48" s="365">
        <v>19754749.75</v>
      </c>
      <c r="N48" s="365">
        <v>38742951.530000001</v>
      </c>
      <c r="O48" s="44" t="e">
        <f t="shared" si="14"/>
        <v>#DIV/0!</v>
      </c>
      <c r="P48" s="43"/>
      <c r="Q48" s="44">
        <f>Funktional!AN48/Kennzahlen!H48</f>
        <v>-35.438972538212973</v>
      </c>
      <c r="R48" s="46">
        <f t="shared" si="15"/>
        <v>9.0056285178236398E-2</v>
      </c>
      <c r="S48" s="365">
        <v>-68830.3</v>
      </c>
      <c r="T48" s="365">
        <v>981368.2</v>
      </c>
      <c r="U48" s="365">
        <v>265909.40000000002</v>
      </c>
    </row>
    <row r="49" spans="1:21" x14ac:dyDescent="0.25">
      <c r="A49" t="str">
        <f>Funktional!A49</f>
        <v>Friltschen</v>
      </c>
      <c r="B49" t="str">
        <f>Funktional!B49</f>
        <v>PSG</v>
      </c>
      <c r="C49" s="366"/>
      <c r="D49" s="366">
        <v>0</v>
      </c>
      <c r="E49">
        <v>2</v>
      </c>
      <c r="F49" s="404">
        <v>37</v>
      </c>
      <c r="G49" s="404"/>
      <c r="H49" s="43">
        <f t="shared" si="16"/>
        <v>37</v>
      </c>
      <c r="I49" s="43">
        <f t="shared" si="17"/>
        <v>37</v>
      </c>
      <c r="J49" s="43">
        <f>Funktional!E49</f>
        <v>473956.55</v>
      </c>
      <c r="K49" s="44">
        <f>Funktional!G49</f>
        <v>12809.636486486486</v>
      </c>
      <c r="L49" s="44" t="e">
        <f t="shared" ref="L49:L53" si="18">J49/C49</f>
        <v>#DIV/0!</v>
      </c>
      <c r="M49" s="365">
        <v>183899.85</v>
      </c>
      <c r="N49" s="365">
        <v>291904.52</v>
      </c>
      <c r="O49" s="44" t="e">
        <f t="shared" ref="O49:O53" si="19">N49/C49</f>
        <v>#DIV/0!</v>
      </c>
      <c r="P49" s="43"/>
      <c r="Q49" s="44">
        <f>Funktional!AN49/Kennzahlen!H49</f>
        <v>36.767567567567568</v>
      </c>
      <c r="R49" s="46">
        <f t="shared" ref="R49:R53" si="20">G49/(G49+F49)</f>
        <v>0</v>
      </c>
      <c r="S49" s="365">
        <v>51382.2</v>
      </c>
      <c r="T49" s="365">
        <v>3443.65</v>
      </c>
      <c r="U49" s="365">
        <v>7479.7</v>
      </c>
    </row>
    <row r="50" spans="1:21" x14ac:dyDescent="0.25">
      <c r="A50" t="str">
        <f>Funktional!A50</f>
        <v>Gachnang</v>
      </c>
      <c r="B50" t="str">
        <f>Funktional!B50</f>
        <v>PSG</v>
      </c>
      <c r="C50" s="366"/>
      <c r="D50" s="366">
        <v>87</v>
      </c>
      <c r="E50">
        <v>2</v>
      </c>
      <c r="F50" s="404">
        <v>254</v>
      </c>
      <c r="G50" s="404"/>
      <c r="H50" s="43">
        <f t="shared" si="16"/>
        <v>254</v>
      </c>
      <c r="I50" s="43">
        <f t="shared" si="17"/>
        <v>341</v>
      </c>
      <c r="J50" s="43">
        <f>Funktional!E50</f>
        <v>2733301.4999201028</v>
      </c>
      <c r="K50" s="44">
        <f>Funktional!G50</f>
        <v>10761.029527244498</v>
      </c>
      <c r="L50" s="44" t="e">
        <f t="shared" si="18"/>
        <v>#DIV/0!</v>
      </c>
      <c r="M50" s="365">
        <v>3165395.4</v>
      </c>
      <c r="N50" s="365">
        <v>4220527.2</v>
      </c>
      <c r="O50" s="44" t="e">
        <f t="shared" si="19"/>
        <v>#DIV/0!</v>
      </c>
      <c r="P50" s="43"/>
      <c r="Q50" s="44">
        <f>Funktional!AN50/Kennzahlen!H50</f>
        <v>27.658883701535935</v>
      </c>
      <c r="R50" s="46">
        <f t="shared" si="20"/>
        <v>0</v>
      </c>
      <c r="S50" s="365">
        <v>285886.90000000002</v>
      </c>
      <c r="T50" s="365">
        <v>114692.75</v>
      </c>
      <c r="U50" s="365">
        <v>24747.35</v>
      </c>
    </row>
    <row r="51" spans="1:21" x14ac:dyDescent="0.25">
      <c r="A51" t="str">
        <f>Funktional!A51</f>
        <v>Götighofen</v>
      </c>
      <c r="B51" t="str">
        <f>Funktional!B51</f>
        <v>PSG</v>
      </c>
      <c r="C51" s="366"/>
      <c r="D51" s="366">
        <v>18</v>
      </c>
      <c r="E51">
        <v>1</v>
      </c>
      <c r="F51" s="404">
        <v>70</v>
      </c>
      <c r="G51" s="404"/>
      <c r="H51" s="43">
        <f t="shared" si="16"/>
        <v>70</v>
      </c>
      <c r="I51" s="43">
        <f t="shared" si="17"/>
        <v>88</v>
      </c>
      <c r="J51" s="43">
        <f>Funktional!E51</f>
        <v>678382.89542749687</v>
      </c>
      <c r="K51" s="44">
        <f>Funktional!G51</f>
        <v>9691.1842203928118</v>
      </c>
      <c r="L51" s="44" t="e">
        <f t="shared" si="18"/>
        <v>#DIV/0!</v>
      </c>
      <c r="M51" s="365">
        <v>375586.7</v>
      </c>
      <c r="N51" s="365">
        <v>591114.43000000005</v>
      </c>
      <c r="O51" s="44" t="e">
        <f t="shared" si="19"/>
        <v>#DIV/0!</v>
      </c>
      <c r="P51" s="43"/>
      <c r="Q51" s="44">
        <f>Funktional!AN51/Kennzahlen!H51</f>
        <v>56.024516667446399</v>
      </c>
      <c r="R51" s="46">
        <f t="shared" si="20"/>
        <v>0</v>
      </c>
      <c r="S51" s="365">
        <v>-66749</v>
      </c>
      <c r="T51" s="365">
        <v>5179.1000000000004</v>
      </c>
      <c r="U51" s="365">
        <v>746</v>
      </c>
    </row>
    <row r="52" spans="1:21" x14ac:dyDescent="0.25">
      <c r="A52" t="str">
        <f>Funktional!A52</f>
        <v>Gottlieben</v>
      </c>
      <c r="B52" t="str">
        <f>Funktional!B52</f>
        <v>PSG</v>
      </c>
      <c r="C52" s="366"/>
      <c r="D52" s="366">
        <v>0</v>
      </c>
      <c r="E52">
        <v>2</v>
      </c>
      <c r="F52" s="404">
        <v>21</v>
      </c>
      <c r="G52" s="404"/>
      <c r="H52" s="43">
        <f t="shared" si="16"/>
        <v>21</v>
      </c>
      <c r="I52" s="43">
        <f t="shared" si="17"/>
        <v>21</v>
      </c>
      <c r="J52" s="43">
        <f>Funktional!E52</f>
        <v>201383.55000000002</v>
      </c>
      <c r="K52" s="44">
        <f>Funktional!G52</f>
        <v>9589.692857142858</v>
      </c>
      <c r="L52" s="44" t="e">
        <f t="shared" si="18"/>
        <v>#DIV/0!</v>
      </c>
      <c r="M52" s="365">
        <v>211800.25</v>
      </c>
      <c r="N52" s="365">
        <v>706000.83</v>
      </c>
      <c r="O52" s="44" t="e">
        <f t="shared" si="19"/>
        <v>#DIV/0!</v>
      </c>
      <c r="P52" s="43"/>
      <c r="Q52" s="44">
        <f>Funktional!AN52/Kennzahlen!H52</f>
        <v>145.69285714285715</v>
      </c>
      <c r="R52" s="46">
        <f t="shared" si="20"/>
        <v>0</v>
      </c>
      <c r="S52" s="365">
        <v>-38925.300000000003</v>
      </c>
      <c r="T52" s="365">
        <v>6307.75</v>
      </c>
      <c r="U52" s="365">
        <v>112.15</v>
      </c>
    </row>
    <row r="53" spans="1:21" x14ac:dyDescent="0.25">
      <c r="A53" t="str">
        <f>Funktional!A53</f>
        <v>Gottshaus</v>
      </c>
      <c r="B53" t="str">
        <f>Funktional!B53</f>
        <v>PSG</v>
      </c>
      <c r="C53" s="366"/>
      <c r="D53" s="366">
        <v>17</v>
      </c>
      <c r="E53">
        <v>2</v>
      </c>
      <c r="F53" s="404">
        <v>78</v>
      </c>
      <c r="G53" s="404"/>
      <c r="H53" s="43">
        <f t="shared" si="16"/>
        <v>78</v>
      </c>
      <c r="I53" s="43">
        <f t="shared" si="17"/>
        <v>95</v>
      </c>
      <c r="J53" s="43">
        <f>Funktional!E53</f>
        <v>824552.12599625613</v>
      </c>
      <c r="K53" s="44">
        <f>Funktional!G53</f>
        <v>10571.181102516104</v>
      </c>
      <c r="L53" s="44" t="e">
        <f t="shared" si="18"/>
        <v>#DIV/0!</v>
      </c>
      <c r="M53" s="365">
        <v>380098.5</v>
      </c>
      <c r="N53" s="365">
        <v>666839.47</v>
      </c>
      <c r="O53" s="44" t="e">
        <f t="shared" si="19"/>
        <v>#DIV/0!</v>
      </c>
      <c r="P53" s="43"/>
      <c r="Q53" s="44">
        <f>Funktional!AN53/Kennzahlen!H53</f>
        <v>40.3175487224905</v>
      </c>
      <c r="R53" s="46">
        <f t="shared" si="20"/>
        <v>0</v>
      </c>
      <c r="S53" s="365">
        <v>-148631.35</v>
      </c>
      <c r="T53" s="365">
        <v>15057</v>
      </c>
      <c r="U53" s="365">
        <v>2259.9</v>
      </c>
    </row>
    <row r="54" spans="1:21" x14ac:dyDescent="0.25">
      <c r="A54" t="str">
        <f>Funktional!A54</f>
        <v>Gündelhart-Hörhausen</v>
      </c>
      <c r="B54" t="str">
        <f>Funktional!B54</f>
        <v>PSG</v>
      </c>
      <c r="C54" s="366"/>
      <c r="D54" s="366">
        <v>20</v>
      </c>
      <c r="E54">
        <v>1</v>
      </c>
      <c r="F54" s="404">
        <v>66</v>
      </c>
      <c r="G54" s="404"/>
      <c r="H54" s="43">
        <f t="shared" si="16"/>
        <v>66</v>
      </c>
      <c r="I54" s="43">
        <f t="shared" si="17"/>
        <v>86</v>
      </c>
      <c r="J54" s="43">
        <f>Funktional!E54</f>
        <v>755711.3779625569</v>
      </c>
      <c r="K54" s="44">
        <f>Funktional!G54</f>
        <v>11450.172393372075</v>
      </c>
      <c r="L54" s="44" t="e">
        <f t="shared" ref="L54:L64" si="21">J54/C54</f>
        <v>#DIV/0!</v>
      </c>
      <c r="M54" s="365">
        <v>381553.7</v>
      </c>
      <c r="N54" s="365">
        <v>569483.13</v>
      </c>
      <c r="O54" s="44" t="e">
        <f t="shared" ref="O54:O64" si="22">N54/C54</f>
        <v>#DIV/0!</v>
      </c>
      <c r="P54" s="43"/>
      <c r="Q54" s="44">
        <f>Funktional!AN54/Kennzahlen!H54</f>
        <v>93.775992176023394</v>
      </c>
      <c r="R54" s="46">
        <f t="shared" ref="R54:R64" si="23">G54/(G54+F54)</f>
        <v>0</v>
      </c>
      <c r="S54" s="365">
        <v>-17246.45</v>
      </c>
      <c r="T54" s="365">
        <v>26515.9</v>
      </c>
      <c r="U54" s="365">
        <v>-1847.5</v>
      </c>
    </row>
    <row r="55" spans="1:21" x14ac:dyDescent="0.25">
      <c r="A55" t="str">
        <f>Funktional!A55</f>
        <v>Guntershausen</v>
      </c>
      <c r="B55" t="str">
        <f>Funktional!B55</f>
        <v>PSG</v>
      </c>
      <c r="C55" s="366"/>
      <c r="D55" s="366">
        <v>20</v>
      </c>
      <c r="E55">
        <v>1</v>
      </c>
      <c r="F55" s="404">
        <v>133</v>
      </c>
      <c r="G55" s="404"/>
      <c r="H55" s="43">
        <f t="shared" si="16"/>
        <v>133</v>
      </c>
      <c r="I55" s="43">
        <f t="shared" si="17"/>
        <v>153</v>
      </c>
      <c r="J55" s="43">
        <f>Funktional!E55</f>
        <v>1505325.1618237006</v>
      </c>
      <c r="K55" s="44">
        <f>Funktional!G55</f>
        <v>11318.23429942632</v>
      </c>
      <c r="L55" s="44" t="e">
        <f t="shared" si="21"/>
        <v>#DIV/0!</v>
      </c>
      <c r="M55" s="365">
        <v>756342.5</v>
      </c>
      <c r="N55" s="365">
        <v>1454504.81</v>
      </c>
      <c r="O55" s="44" t="e">
        <f t="shared" si="22"/>
        <v>#DIV/0!</v>
      </c>
      <c r="P55" s="43"/>
      <c r="Q55" s="44">
        <f>Funktional!AN55/Kennzahlen!H55</f>
        <v>26.187971135113909</v>
      </c>
      <c r="R55" s="46">
        <f t="shared" si="23"/>
        <v>0</v>
      </c>
      <c r="S55" s="365">
        <v>-97554.11</v>
      </c>
      <c r="T55" s="365">
        <v>45961.55</v>
      </c>
      <c r="U55" s="365">
        <v>3672.45</v>
      </c>
    </row>
    <row r="56" spans="1:21" x14ac:dyDescent="0.25">
      <c r="A56" t="str">
        <f>Funktional!A56</f>
        <v>Güttingen</v>
      </c>
      <c r="B56" t="str">
        <f>Funktional!B56</f>
        <v>PSG</v>
      </c>
      <c r="C56" s="366"/>
      <c r="D56" s="366">
        <v>30</v>
      </c>
      <c r="E56">
        <v>1</v>
      </c>
      <c r="F56" s="404">
        <v>119</v>
      </c>
      <c r="G56" s="404"/>
      <c r="H56" s="43">
        <f t="shared" si="16"/>
        <v>119</v>
      </c>
      <c r="I56" s="43">
        <f t="shared" si="17"/>
        <v>149</v>
      </c>
      <c r="J56" s="43">
        <f>Funktional!E56</f>
        <v>1162589.5478509387</v>
      </c>
      <c r="K56" s="44">
        <f>Funktional!G56</f>
        <v>9769.6600659742744</v>
      </c>
      <c r="L56" s="44" t="e">
        <f t="shared" si="21"/>
        <v>#DIV/0!</v>
      </c>
      <c r="M56" s="365">
        <v>990309.9</v>
      </c>
      <c r="N56" s="365">
        <v>1650516.5</v>
      </c>
      <c r="O56" s="44" t="e">
        <f t="shared" si="22"/>
        <v>#DIV/0!</v>
      </c>
      <c r="P56" s="43"/>
      <c r="Q56" s="44">
        <f>Funktional!AN56/Kennzahlen!H56</f>
        <v>40.994241714850084</v>
      </c>
      <c r="R56" s="46">
        <f t="shared" si="23"/>
        <v>0</v>
      </c>
      <c r="S56" s="365">
        <v>-305934.84999999998</v>
      </c>
      <c r="T56" s="365">
        <v>14695.2</v>
      </c>
      <c r="U56" s="365">
        <v>13459.4</v>
      </c>
    </row>
    <row r="57" spans="1:21" x14ac:dyDescent="0.25">
      <c r="A57" t="str">
        <f>Funktional!A57</f>
        <v>Halden-Kenzenau</v>
      </c>
      <c r="B57" t="str">
        <f>Funktional!B57</f>
        <v>PSG</v>
      </c>
      <c r="C57" s="366"/>
      <c r="D57" s="366">
        <v>23</v>
      </c>
      <c r="E57">
        <v>2</v>
      </c>
      <c r="F57" s="404">
        <v>59</v>
      </c>
      <c r="G57" s="404"/>
      <c r="H57" s="43">
        <f t="shared" ref="H57:H64" si="24">G57+F57</f>
        <v>59</v>
      </c>
      <c r="I57" s="43">
        <f t="shared" ref="I57:I64" si="25">H57+D57</f>
        <v>82</v>
      </c>
      <c r="J57" s="43">
        <f>Funktional!E57</f>
        <v>627558.97510670172</v>
      </c>
      <c r="K57" s="44">
        <f>Funktional!G57</f>
        <v>10636.592798418673</v>
      </c>
      <c r="L57" s="44" t="e">
        <f t="shared" si="21"/>
        <v>#DIV/0!</v>
      </c>
      <c r="M57" s="365">
        <v>400558.05</v>
      </c>
      <c r="N57" s="365">
        <v>597847.84</v>
      </c>
      <c r="O57" s="44" t="e">
        <f t="shared" si="22"/>
        <v>#DIV/0!</v>
      </c>
      <c r="P57" s="43"/>
      <c r="Q57" s="44">
        <f>Funktional!AN57/Kennzahlen!H57</f>
        <v>86.996316251759168</v>
      </c>
      <c r="R57" s="46">
        <f t="shared" si="23"/>
        <v>0</v>
      </c>
      <c r="S57" s="365">
        <v>21262.35</v>
      </c>
      <c r="T57" s="365">
        <v>6097.3</v>
      </c>
      <c r="U57" s="365">
        <v>3787</v>
      </c>
    </row>
    <row r="58" spans="1:21" x14ac:dyDescent="0.25">
      <c r="A58" t="str">
        <f>Funktional!A58</f>
        <v>Hauptwil</v>
      </c>
      <c r="B58" t="str">
        <f>Funktional!B58</f>
        <v>PSG</v>
      </c>
      <c r="C58" s="366"/>
      <c r="D58" s="366">
        <v>22</v>
      </c>
      <c r="E58">
        <v>1</v>
      </c>
      <c r="F58" s="404">
        <v>120</v>
      </c>
      <c r="G58" s="404"/>
      <c r="H58" s="43">
        <f t="shared" si="24"/>
        <v>120</v>
      </c>
      <c r="I58" s="43">
        <f t="shared" si="25"/>
        <v>142</v>
      </c>
      <c r="J58" s="43">
        <f>Funktional!E58</f>
        <v>1676237.2097026203</v>
      </c>
      <c r="K58" s="44">
        <f>Funktional!G58</f>
        <v>13968.643414188502</v>
      </c>
      <c r="L58" s="44" t="e">
        <f t="shared" si="21"/>
        <v>#DIV/0!</v>
      </c>
      <c r="M58" s="365">
        <v>723703.4</v>
      </c>
      <c r="N58" s="365">
        <v>1269655.0900000001</v>
      </c>
      <c r="O58" s="44" t="e">
        <f t="shared" si="22"/>
        <v>#DIV/0!</v>
      </c>
      <c r="P58" s="43"/>
      <c r="Q58" s="44">
        <f>Funktional!AN58/Kennzahlen!H58</f>
        <v>13.648994823474805</v>
      </c>
      <c r="R58" s="46">
        <f t="shared" si="23"/>
        <v>0</v>
      </c>
      <c r="S58" s="365">
        <v>-223624.8</v>
      </c>
      <c r="T58" s="365">
        <v>15959</v>
      </c>
      <c r="U58" s="365">
        <v>9856.0499999999993</v>
      </c>
    </row>
    <row r="59" spans="1:21" x14ac:dyDescent="0.25">
      <c r="A59" t="str">
        <f>Funktional!A59</f>
        <v>Häuslenen-Aawangen</v>
      </c>
      <c r="B59" t="str">
        <f>Funktional!B59</f>
        <v>PSG</v>
      </c>
      <c r="C59" s="366"/>
      <c r="D59" s="366">
        <v>11</v>
      </c>
      <c r="E59">
        <v>2</v>
      </c>
      <c r="F59" s="404">
        <v>54</v>
      </c>
      <c r="G59" s="404"/>
      <c r="H59" s="43">
        <f t="shared" si="24"/>
        <v>54</v>
      </c>
      <c r="I59" s="43">
        <f t="shared" si="25"/>
        <v>65</v>
      </c>
      <c r="J59" s="43">
        <f>Funktional!E59</f>
        <v>629273.29256691504</v>
      </c>
      <c r="K59" s="44">
        <f>Funktional!G59</f>
        <v>11653.209121609538</v>
      </c>
      <c r="L59" s="44" t="e">
        <f t="shared" si="21"/>
        <v>#DIV/0!</v>
      </c>
      <c r="M59" s="365">
        <v>314156.25</v>
      </c>
      <c r="N59" s="365">
        <v>604146.63</v>
      </c>
      <c r="O59" s="44" t="e">
        <f t="shared" si="22"/>
        <v>#DIV/0!</v>
      </c>
      <c r="P59" s="43"/>
      <c r="Q59" s="44">
        <f>Funktional!AN59/Kennzahlen!H59</f>
        <v>18.353402331475476</v>
      </c>
      <c r="R59" s="46">
        <f t="shared" si="23"/>
        <v>0</v>
      </c>
      <c r="S59" s="365">
        <v>-23061</v>
      </c>
      <c r="T59" s="365">
        <v>8155.8</v>
      </c>
      <c r="U59" s="365">
        <v>10875.15</v>
      </c>
    </row>
    <row r="60" spans="1:21" x14ac:dyDescent="0.25">
      <c r="A60" t="str">
        <f>Funktional!A60</f>
        <v>Hefenhofen</v>
      </c>
      <c r="B60" t="str">
        <f>Funktional!B60</f>
        <v>PSG</v>
      </c>
      <c r="C60" s="366"/>
      <c r="D60" s="366">
        <v>43</v>
      </c>
      <c r="E60">
        <v>2</v>
      </c>
      <c r="F60" s="404">
        <v>126</v>
      </c>
      <c r="G60" s="404"/>
      <c r="H60" s="43">
        <f t="shared" si="24"/>
        <v>126</v>
      </c>
      <c r="I60" s="43">
        <f t="shared" si="25"/>
        <v>169</v>
      </c>
      <c r="J60" s="43">
        <f>Funktional!E60</f>
        <v>1245912.6853076709</v>
      </c>
      <c r="K60" s="44">
        <f>Funktional!G60</f>
        <v>9888.1959151402443</v>
      </c>
      <c r="L60" s="44" t="e">
        <f t="shared" si="21"/>
        <v>#DIV/0!</v>
      </c>
      <c r="M60" s="365">
        <v>685679.15</v>
      </c>
      <c r="N60" s="365">
        <v>1162168.05</v>
      </c>
      <c r="O60" s="44" t="e">
        <f t="shared" si="22"/>
        <v>#DIV/0!</v>
      </c>
      <c r="P60" s="43"/>
      <c r="Q60" s="44">
        <f>Funktional!AN60/Kennzahlen!H60</f>
        <v>52.920411765885454</v>
      </c>
      <c r="R60" s="46">
        <f t="shared" si="23"/>
        <v>0</v>
      </c>
      <c r="S60" s="365">
        <v>-41258.35</v>
      </c>
      <c r="T60" s="365">
        <v>8792.5</v>
      </c>
      <c r="U60" s="365">
        <v>5280.85</v>
      </c>
    </row>
    <row r="61" spans="1:21" x14ac:dyDescent="0.25">
      <c r="A61" t="str">
        <f>Funktional!A61</f>
        <v>Hegi-Winden</v>
      </c>
      <c r="B61" t="str">
        <f>Funktional!B61</f>
        <v>PSG</v>
      </c>
      <c r="C61" s="366"/>
      <c r="D61" s="366">
        <v>19</v>
      </c>
      <c r="E61">
        <v>2</v>
      </c>
      <c r="F61" s="404">
        <v>47</v>
      </c>
      <c r="G61" s="404"/>
      <c r="H61" s="43">
        <f t="shared" si="24"/>
        <v>47</v>
      </c>
      <c r="I61" s="43">
        <f t="shared" si="25"/>
        <v>66</v>
      </c>
      <c r="J61" s="43">
        <f>Funktional!E61</f>
        <v>425546.4247773661</v>
      </c>
      <c r="K61" s="44">
        <f>Funktional!G61</f>
        <v>9054.1792505822577</v>
      </c>
      <c r="L61" s="44" t="e">
        <f t="shared" si="21"/>
        <v>#DIV/0!</v>
      </c>
      <c r="M61" s="365">
        <v>277079.15000000002</v>
      </c>
      <c r="N61" s="365">
        <v>446901.85</v>
      </c>
      <c r="O61" s="44" t="e">
        <f t="shared" si="22"/>
        <v>#DIV/0!</v>
      </c>
      <c r="P61" s="43"/>
      <c r="Q61" s="44">
        <f>Funktional!AN61/Kennzahlen!H61</f>
        <v>31.700155561354848</v>
      </c>
      <c r="R61" s="46">
        <f t="shared" si="23"/>
        <v>0</v>
      </c>
      <c r="S61" s="365">
        <v>-59863.45</v>
      </c>
      <c r="T61" s="365">
        <v>5764.05</v>
      </c>
      <c r="U61" s="365">
        <v>5792.3</v>
      </c>
    </row>
    <row r="62" spans="1:21" x14ac:dyDescent="0.25">
      <c r="A62" t="str">
        <f>Funktional!A62</f>
        <v>Herdern</v>
      </c>
      <c r="B62" t="str">
        <f>Funktional!B62</f>
        <v>PSG</v>
      </c>
      <c r="C62" s="366"/>
      <c r="D62" s="366">
        <v>18</v>
      </c>
      <c r="E62">
        <v>2</v>
      </c>
      <c r="F62" s="404">
        <v>50</v>
      </c>
      <c r="G62" s="404"/>
      <c r="H62" s="43">
        <f t="shared" si="24"/>
        <v>50</v>
      </c>
      <c r="I62" s="43">
        <f t="shared" si="25"/>
        <v>68</v>
      </c>
      <c r="J62" s="43">
        <f>Funktional!E62</f>
        <v>557427.49087671633</v>
      </c>
      <c r="K62" s="44">
        <f>Funktional!G62</f>
        <v>11148.549817534327</v>
      </c>
      <c r="L62" s="44" t="e">
        <f t="shared" si="21"/>
        <v>#DIV/0!</v>
      </c>
      <c r="M62" s="365">
        <v>496849.2</v>
      </c>
      <c r="N62" s="365">
        <v>671417.84</v>
      </c>
      <c r="O62" s="44" t="e">
        <f t="shared" si="22"/>
        <v>#DIV/0!</v>
      </c>
      <c r="P62" s="43"/>
      <c r="Q62" s="44">
        <f>Funktional!AN62/Kennzahlen!H62</f>
        <v>38.783224708259361</v>
      </c>
      <c r="R62" s="46">
        <f t="shared" si="23"/>
        <v>0</v>
      </c>
      <c r="S62" s="365">
        <v>37934.449999999997</v>
      </c>
      <c r="T62" s="365">
        <v>9512.65</v>
      </c>
      <c r="U62" s="365">
        <v>1250.2</v>
      </c>
    </row>
    <row r="63" spans="1:21" x14ac:dyDescent="0.25">
      <c r="A63" t="str">
        <f>Funktional!A63</f>
        <v>Herrenhof-Langrickenbach</v>
      </c>
      <c r="B63" t="str">
        <f>Funktional!B63</f>
        <v>PSG</v>
      </c>
      <c r="C63" s="366"/>
      <c r="D63" s="366">
        <v>21</v>
      </c>
      <c r="E63">
        <v>1</v>
      </c>
      <c r="F63" s="404">
        <v>17</v>
      </c>
      <c r="G63" s="404"/>
      <c r="H63" s="43">
        <f t="shared" si="24"/>
        <v>17</v>
      </c>
      <c r="I63" s="43">
        <f t="shared" si="25"/>
        <v>38</v>
      </c>
      <c r="J63" s="43">
        <f>Funktional!E63</f>
        <v>416393.80439583823</v>
      </c>
      <c r="K63" s="44">
        <f>Funktional!G63</f>
        <v>24493.753199755189</v>
      </c>
      <c r="L63" s="44" t="e">
        <f t="shared" si="21"/>
        <v>#DIV/0!</v>
      </c>
      <c r="M63" s="365">
        <v>178759.75</v>
      </c>
      <c r="N63" s="365">
        <v>297932.92</v>
      </c>
      <c r="O63" s="44" t="e">
        <f t="shared" si="22"/>
        <v>#DIV/0!</v>
      </c>
      <c r="P63" s="43"/>
      <c r="Q63" s="44">
        <f>Funktional!AN63/Kennzahlen!H63</f>
        <v>75.834257599907417</v>
      </c>
      <c r="R63" s="46">
        <f t="shared" si="23"/>
        <v>0</v>
      </c>
      <c r="S63" s="365">
        <v>-50731.1</v>
      </c>
      <c r="T63" s="365">
        <v>2020.4</v>
      </c>
      <c r="U63" s="365">
        <v>1618.4</v>
      </c>
    </row>
    <row r="64" spans="1:21" x14ac:dyDescent="0.25">
      <c r="A64" t="str">
        <f>Funktional!A64</f>
        <v>Hohentannen</v>
      </c>
      <c r="B64" t="str">
        <f>Funktional!B64</f>
        <v>PSG</v>
      </c>
      <c r="C64" s="366"/>
      <c r="D64" s="366">
        <v>11</v>
      </c>
      <c r="E64">
        <v>2</v>
      </c>
      <c r="F64" s="404">
        <v>43</v>
      </c>
      <c r="G64" s="404"/>
      <c r="H64" s="43">
        <f t="shared" si="24"/>
        <v>43</v>
      </c>
      <c r="I64" s="43">
        <f t="shared" si="25"/>
        <v>54</v>
      </c>
      <c r="J64" s="43">
        <f>Funktional!E64</f>
        <v>412405.38158640917</v>
      </c>
      <c r="K64" s="44">
        <f>Funktional!G64</f>
        <v>9590.8228275909114</v>
      </c>
      <c r="L64" s="44" t="e">
        <f t="shared" si="21"/>
        <v>#DIV/0!</v>
      </c>
      <c r="M64" s="365">
        <v>170950.15</v>
      </c>
      <c r="N64" s="365">
        <v>299912.53999999998</v>
      </c>
      <c r="O64" s="44" t="e">
        <f t="shared" si="22"/>
        <v>#DIV/0!</v>
      </c>
      <c r="P64" s="43"/>
      <c r="Q64" s="44">
        <f>Funktional!AN64/Kennzahlen!H64</f>
        <v>58.807011018458198</v>
      </c>
      <c r="R64" s="46">
        <f t="shared" si="23"/>
        <v>0</v>
      </c>
      <c r="S64" s="365">
        <v>-121128.8</v>
      </c>
      <c r="T64" s="365">
        <v>15329.8</v>
      </c>
      <c r="U64" s="365">
        <v>5978.25</v>
      </c>
    </row>
    <row r="65" spans="1:21" x14ac:dyDescent="0.25">
      <c r="A65" t="str">
        <f>Funktional!A65</f>
        <v>Homburg-Hörstetten</v>
      </c>
      <c r="B65" t="str">
        <f>Funktional!B65</f>
        <v>PSG</v>
      </c>
      <c r="C65" s="366"/>
      <c r="D65" s="366">
        <v>26</v>
      </c>
      <c r="E65">
        <v>2</v>
      </c>
      <c r="F65" s="404">
        <v>70</v>
      </c>
      <c r="G65" s="404"/>
      <c r="H65" s="43">
        <f t="shared" ref="H65:H71" si="26">G65+F65</f>
        <v>70</v>
      </c>
      <c r="I65" s="43">
        <f t="shared" ref="I65:I71" si="27">H65+D65</f>
        <v>96</v>
      </c>
      <c r="J65" s="43">
        <f>Funktional!E65</f>
        <v>985969.52253849991</v>
      </c>
      <c r="K65" s="44">
        <f>Funktional!G65</f>
        <v>14085.278893407141</v>
      </c>
      <c r="L65" s="44" t="e">
        <f t="shared" ref="L65:L68" si="28">J65/C65</f>
        <v>#DIV/0!</v>
      </c>
      <c r="M65" s="365">
        <v>560423.25</v>
      </c>
      <c r="N65" s="365">
        <v>1018951.36</v>
      </c>
      <c r="O65" s="44" t="e">
        <f t="shared" ref="O65:O68" si="29">N65/C65</f>
        <v>#DIV/0!</v>
      </c>
      <c r="P65" s="43"/>
      <c r="Q65" s="44">
        <f>Funktional!AN65/Kennzahlen!H65</f>
        <v>70.254710464970927</v>
      </c>
      <c r="R65" s="46">
        <f t="shared" ref="R65:R68" si="30">G65/(G65+F65)</f>
        <v>0</v>
      </c>
      <c r="S65" s="365">
        <v>10630.15</v>
      </c>
      <c r="T65" s="365">
        <v>8757.15</v>
      </c>
      <c r="U65" s="365">
        <v>0</v>
      </c>
    </row>
    <row r="66" spans="1:21" x14ac:dyDescent="0.25">
      <c r="A66" t="str">
        <f>Funktional!A66</f>
        <v>Hugelshofen-Lippoldswilen</v>
      </c>
      <c r="B66" t="str">
        <f>Funktional!B66</f>
        <v>PSG</v>
      </c>
      <c r="C66" s="366"/>
      <c r="D66" s="366">
        <v>18</v>
      </c>
      <c r="E66">
        <v>2</v>
      </c>
      <c r="F66" s="404">
        <v>63</v>
      </c>
      <c r="G66" s="404"/>
      <c r="H66" s="43">
        <f t="shared" si="26"/>
        <v>63</v>
      </c>
      <c r="I66" s="43">
        <f t="shared" si="27"/>
        <v>81</v>
      </c>
      <c r="J66" s="43">
        <f>Funktional!E66</f>
        <v>655193.45469049411</v>
      </c>
      <c r="K66" s="44">
        <f>Funktional!G66</f>
        <v>10399.896106198319</v>
      </c>
      <c r="L66" s="44" t="e">
        <f t="shared" si="28"/>
        <v>#DIV/0!</v>
      </c>
      <c r="M66" s="365">
        <v>244464.45</v>
      </c>
      <c r="N66" s="365">
        <v>376099.15</v>
      </c>
      <c r="O66" s="44" t="e">
        <f t="shared" si="29"/>
        <v>#DIV/0!</v>
      </c>
      <c r="P66" s="43"/>
      <c r="Q66" s="44">
        <f>Funktional!AN66/Kennzahlen!H66</f>
        <v>44.111309601666477</v>
      </c>
      <c r="R66" s="46">
        <f t="shared" si="30"/>
        <v>0</v>
      </c>
      <c r="S66" s="365">
        <v>-33791.25</v>
      </c>
      <c r="T66" s="365">
        <v>22743.45</v>
      </c>
      <c r="U66" s="365">
        <v>5107.55</v>
      </c>
    </row>
    <row r="67" spans="1:21" x14ac:dyDescent="0.25">
      <c r="A67" t="str">
        <f>Funktional!A67</f>
        <v>Hüttlingen</v>
      </c>
      <c r="B67" t="str">
        <f>Funktional!B67</f>
        <v>PSG</v>
      </c>
      <c r="C67" s="366"/>
      <c r="D67" s="366">
        <v>29</v>
      </c>
      <c r="E67">
        <v>2</v>
      </c>
      <c r="F67" s="404">
        <v>79</v>
      </c>
      <c r="G67" s="404"/>
      <c r="H67" s="43">
        <f t="shared" si="26"/>
        <v>79</v>
      </c>
      <c r="I67" s="43">
        <f t="shared" si="27"/>
        <v>108</v>
      </c>
      <c r="J67" s="43">
        <f>Funktional!E67</f>
        <v>867759.22690108232</v>
      </c>
      <c r="K67" s="44">
        <f>Funktional!G67</f>
        <v>10984.294011406106</v>
      </c>
      <c r="L67" s="44" t="e">
        <f t="shared" si="28"/>
        <v>#DIV/0!</v>
      </c>
      <c r="M67" s="365">
        <v>750741.35</v>
      </c>
      <c r="N67" s="365">
        <v>938426.69</v>
      </c>
      <c r="O67" s="44" t="e">
        <f t="shared" si="29"/>
        <v>#DIV/0!</v>
      </c>
      <c r="P67" s="43"/>
      <c r="Q67" s="44">
        <f>Funktional!AN67/Kennzahlen!H67</f>
        <v>32.480201334189765</v>
      </c>
      <c r="R67" s="46">
        <f t="shared" si="30"/>
        <v>0</v>
      </c>
      <c r="S67" s="365">
        <v>36082.199999999997</v>
      </c>
      <c r="T67" s="365">
        <v>8933.1</v>
      </c>
      <c r="U67" s="365">
        <v>12013.25</v>
      </c>
    </row>
    <row r="68" spans="1:21" x14ac:dyDescent="0.25">
      <c r="A68" t="str">
        <f>Funktional!A68</f>
        <v>Hüttwilen</v>
      </c>
      <c r="B68" t="str">
        <f>Funktional!B68</f>
        <v>PSG</v>
      </c>
      <c r="C68" s="366"/>
      <c r="D68" s="366">
        <v>25</v>
      </c>
      <c r="E68">
        <v>2</v>
      </c>
      <c r="F68" s="404">
        <v>83</v>
      </c>
      <c r="G68" s="404"/>
      <c r="H68" s="43">
        <f t="shared" si="26"/>
        <v>83</v>
      </c>
      <c r="I68" s="43">
        <f t="shared" si="27"/>
        <v>108</v>
      </c>
      <c r="J68" s="43">
        <f>Funktional!E68</f>
        <v>1058583.006061537</v>
      </c>
      <c r="K68" s="44">
        <f>Funktional!G68</f>
        <v>12754.012121223337</v>
      </c>
      <c r="L68" s="44" t="e">
        <f t="shared" si="28"/>
        <v>#DIV/0!</v>
      </c>
      <c r="M68" s="365">
        <v>1005051.3</v>
      </c>
      <c r="N68" s="365">
        <v>1272216.8400000001</v>
      </c>
      <c r="O68" s="44" t="e">
        <f t="shared" si="29"/>
        <v>#DIV/0!</v>
      </c>
      <c r="P68" s="43"/>
      <c r="Q68" s="44">
        <f>Funktional!AN68/Kennzahlen!H68</f>
        <v>41.563370130739749</v>
      </c>
      <c r="R68" s="46">
        <f t="shared" si="30"/>
        <v>0</v>
      </c>
      <c r="S68" s="365">
        <v>73967.199999999997</v>
      </c>
      <c r="T68" s="365">
        <v>187027.25</v>
      </c>
      <c r="U68" s="365">
        <v>-1380.95</v>
      </c>
    </row>
    <row r="69" spans="1:21" x14ac:dyDescent="0.25">
      <c r="A69" t="str">
        <f>Funktional!A69</f>
        <v>Illighausen</v>
      </c>
      <c r="B69" t="str">
        <f>Funktional!B69</f>
        <v>PSG</v>
      </c>
      <c r="C69" s="366"/>
      <c r="D69" s="366">
        <v>0</v>
      </c>
      <c r="E69">
        <v>2</v>
      </c>
      <c r="F69" s="404">
        <v>25</v>
      </c>
      <c r="G69" s="404"/>
      <c r="H69" s="43">
        <f t="shared" si="26"/>
        <v>25</v>
      </c>
      <c r="I69" s="43">
        <f t="shared" si="27"/>
        <v>25</v>
      </c>
      <c r="J69" s="43">
        <f>Funktional!E69</f>
        <v>426384.24</v>
      </c>
      <c r="K69" s="44">
        <f>Funktional!G69</f>
        <v>17055.369599999998</v>
      </c>
      <c r="L69" s="44" t="e">
        <f t="shared" ref="L69:L74" si="31">J69/C69</f>
        <v>#DIV/0!</v>
      </c>
      <c r="M69" s="365">
        <v>262584.7</v>
      </c>
      <c r="N69" s="365">
        <v>350112.93</v>
      </c>
      <c r="O69" s="44" t="e">
        <f t="shared" ref="O69:O74" si="32">N69/C69</f>
        <v>#DIV/0!</v>
      </c>
      <c r="P69" s="43"/>
      <c r="Q69" s="44">
        <f>Funktional!AN69/Kennzahlen!H69</f>
        <v>67.266000000000005</v>
      </c>
      <c r="R69" s="46">
        <f t="shared" ref="R69:R74" si="33">G69/(G69+F69)</f>
        <v>0</v>
      </c>
      <c r="S69" s="365">
        <v>-191575.44</v>
      </c>
      <c r="T69" s="365">
        <v>7543.55</v>
      </c>
      <c r="U69" s="365">
        <v>157.30000000000001</v>
      </c>
    </row>
    <row r="70" spans="1:21" x14ac:dyDescent="0.25">
      <c r="A70" t="str">
        <f>Funktional!A70</f>
        <v>Istighofen</v>
      </c>
      <c r="B70" t="str">
        <f>Funktional!B70</f>
        <v>PSG</v>
      </c>
      <c r="C70" s="366"/>
      <c r="D70" s="366">
        <v>23</v>
      </c>
      <c r="E70">
        <v>2</v>
      </c>
      <c r="F70" s="404">
        <v>53</v>
      </c>
      <c r="G70" s="404"/>
      <c r="H70" s="43">
        <f t="shared" si="26"/>
        <v>53</v>
      </c>
      <c r="I70" s="43">
        <f t="shared" si="27"/>
        <v>76</v>
      </c>
      <c r="J70" s="43">
        <f>Funktional!E70</f>
        <v>689243.71346237441</v>
      </c>
      <c r="K70" s="44">
        <f>Funktional!G70</f>
        <v>13004.598367214612</v>
      </c>
      <c r="L70" s="44" t="e">
        <f t="shared" si="31"/>
        <v>#DIV/0!</v>
      </c>
      <c r="M70" s="365">
        <v>393355.1</v>
      </c>
      <c r="N70" s="365">
        <v>708530.82</v>
      </c>
      <c r="O70" s="44" t="e">
        <f t="shared" si="32"/>
        <v>#DIV/0!</v>
      </c>
      <c r="P70" s="43"/>
      <c r="Q70" s="44">
        <f>Funktional!AN70/Kennzahlen!H70</f>
        <v>56.082601950043191</v>
      </c>
      <c r="R70" s="46">
        <f t="shared" si="33"/>
        <v>0</v>
      </c>
      <c r="S70" s="365">
        <v>-270877.15000000002</v>
      </c>
      <c r="T70" s="365">
        <v>9317.4</v>
      </c>
      <c r="U70" s="365">
        <v>8644.6</v>
      </c>
    </row>
    <row r="71" spans="1:21" x14ac:dyDescent="0.25">
      <c r="A71" t="str">
        <f>Funktional!A71</f>
        <v>Kaltenbach</v>
      </c>
      <c r="B71" t="str">
        <f>Funktional!B71</f>
        <v>PSG</v>
      </c>
      <c r="C71" s="366"/>
      <c r="D71" s="366">
        <v>21</v>
      </c>
      <c r="E71">
        <v>2</v>
      </c>
      <c r="F71" s="404">
        <v>75</v>
      </c>
      <c r="G71" s="404"/>
      <c r="H71" s="43">
        <f t="shared" si="26"/>
        <v>75</v>
      </c>
      <c r="I71" s="43">
        <f t="shared" si="27"/>
        <v>96</v>
      </c>
      <c r="J71" s="43">
        <f>Funktional!E71</f>
        <v>610085.70046363492</v>
      </c>
      <c r="K71" s="44">
        <f>Funktional!G71</f>
        <v>8134.4760061817988</v>
      </c>
      <c r="L71" s="44" t="e">
        <f t="shared" si="31"/>
        <v>#DIV/0!</v>
      </c>
      <c r="M71" s="365">
        <v>671535.65</v>
      </c>
      <c r="N71" s="365">
        <v>959336.64</v>
      </c>
      <c r="O71" s="44" t="e">
        <f t="shared" si="32"/>
        <v>#DIV/0!</v>
      </c>
      <c r="P71" s="43"/>
      <c r="Q71" s="44">
        <f>Funktional!AN71/Kennzahlen!H71</f>
        <v>77.39316894755423</v>
      </c>
      <c r="R71" s="46">
        <f t="shared" si="33"/>
        <v>0</v>
      </c>
      <c r="S71" s="365">
        <v>37401.4</v>
      </c>
      <c r="T71" s="365">
        <v>9964.9</v>
      </c>
      <c r="U71" s="365">
        <v>12193.4</v>
      </c>
    </row>
    <row r="72" spans="1:21" x14ac:dyDescent="0.25">
      <c r="A72" t="str">
        <f>Funktional!A72</f>
        <v>Kesswil</v>
      </c>
      <c r="B72" t="str">
        <f>Funktional!B72</f>
        <v>PSG</v>
      </c>
      <c r="C72" s="366"/>
      <c r="D72" s="366">
        <v>18</v>
      </c>
      <c r="E72">
        <v>1</v>
      </c>
      <c r="F72" s="404">
        <v>73</v>
      </c>
      <c r="G72" s="404"/>
      <c r="H72" s="43">
        <f t="shared" ref="H72:H87" si="34">G72+F72</f>
        <v>73</v>
      </c>
      <c r="I72" s="43">
        <f t="shared" ref="I72:I87" si="35">H72+D72</f>
        <v>91</v>
      </c>
      <c r="J72" s="43">
        <f>Funktional!E72</f>
        <v>1073104.3667266211</v>
      </c>
      <c r="K72" s="44">
        <f>Funktional!G72</f>
        <v>14700.059818172891</v>
      </c>
      <c r="L72" s="44" t="e">
        <f t="shared" si="31"/>
        <v>#DIV/0!</v>
      </c>
      <c r="M72" s="365">
        <v>729795.3</v>
      </c>
      <c r="N72" s="365">
        <v>1158405.24</v>
      </c>
      <c r="O72" s="44" t="e">
        <f t="shared" si="32"/>
        <v>#DIV/0!</v>
      </c>
      <c r="P72" s="43"/>
      <c r="Q72" s="44">
        <f>Funktional!AN72/Kennzahlen!H72</f>
        <v>38.336425261554282</v>
      </c>
      <c r="R72" s="46">
        <f t="shared" si="33"/>
        <v>0</v>
      </c>
      <c r="S72" s="365">
        <v>-83824.05</v>
      </c>
      <c r="T72" s="365">
        <v>46875.25</v>
      </c>
      <c r="U72" s="365">
        <v>1431.45</v>
      </c>
    </row>
    <row r="73" spans="1:21" x14ac:dyDescent="0.25">
      <c r="A73" t="str">
        <f>Funktional!A73</f>
        <v>Kreuzlingen</v>
      </c>
      <c r="B73" t="str">
        <f>Funktional!B73</f>
        <v>PSG</v>
      </c>
      <c r="C73" s="366"/>
      <c r="D73" s="366">
        <v>356</v>
      </c>
      <c r="E73">
        <v>2</v>
      </c>
      <c r="F73" s="404">
        <f>1050-70</f>
        <v>980</v>
      </c>
      <c r="G73" s="404">
        <v>70</v>
      </c>
      <c r="H73" s="43">
        <f t="shared" si="34"/>
        <v>1050</v>
      </c>
      <c r="I73" s="43">
        <f t="shared" si="35"/>
        <v>1406</v>
      </c>
      <c r="J73" s="43">
        <f>Funktional!E73</f>
        <v>12063539.34631316</v>
      </c>
      <c r="K73" s="44">
        <f>Funktional!G73</f>
        <v>11489.085091726818</v>
      </c>
      <c r="L73" s="44" t="e">
        <f t="shared" si="31"/>
        <v>#DIV/0!</v>
      </c>
      <c r="M73" s="365">
        <v>13151433.65</v>
      </c>
      <c r="N73" s="365">
        <v>28590073.149999999</v>
      </c>
      <c r="O73" s="44" t="e">
        <f t="shared" si="32"/>
        <v>#DIV/0!</v>
      </c>
      <c r="P73" s="43"/>
      <c r="Q73" s="44">
        <f>Funktional!AN73/Kennzahlen!H73</f>
        <v>-29.607394907839776</v>
      </c>
      <c r="R73" s="46">
        <f t="shared" si="33"/>
        <v>6.6666666666666666E-2</v>
      </c>
      <c r="S73" s="365">
        <v>22537.58</v>
      </c>
      <c r="T73" s="365">
        <v>819996.6</v>
      </c>
      <c r="U73" s="365">
        <v>162973.35</v>
      </c>
    </row>
    <row r="74" spans="1:21" x14ac:dyDescent="0.25">
      <c r="A74" t="str">
        <f>Funktional!A74</f>
        <v>Landschlacht</v>
      </c>
      <c r="B74" t="str">
        <f>Funktional!B74</f>
        <v>PSG</v>
      </c>
      <c r="C74" s="366"/>
      <c r="D74" s="366">
        <v>27</v>
      </c>
      <c r="E74">
        <v>2</v>
      </c>
      <c r="F74" s="404">
        <v>81</v>
      </c>
      <c r="G74" s="404"/>
      <c r="H74" s="43">
        <f t="shared" si="34"/>
        <v>81</v>
      </c>
      <c r="I74" s="43">
        <f t="shared" si="35"/>
        <v>108</v>
      </c>
      <c r="J74" s="43">
        <f>Funktional!E74</f>
        <v>1095567.3911104882</v>
      </c>
      <c r="K74" s="44">
        <f>Funktional!G74</f>
        <v>13525.523347043065</v>
      </c>
      <c r="L74" s="44" t="e">
        <f t="shared" si="31"/>
        <v>#DIV/0!</v>
      </c>
      <c r="M74" s="365">
        <v>1169738.7</v>
      </c>
      <c r="N74" s="365">
        <v>1559651.6</v>
      </c>
      <c r="O74" s="44" t="e">
        <f t="shared" si="32"/>
        <v>#DIV/0!</v>
      </c>
      <c r="P74" s="43"/>
      <c r="Q74" s="44">
        <f>Funktional!AN74/Kennzahlen!H74</f>
        <v>74.849986809095697</v>
      </c>
      <c r="R74" s="46">
        <f t="shared" si="33"/>
        <v>0</v>
      </c>
      <c r="S74" s="365">
        <v>-43754.5</v>
      </c>
      <c r="T74" s="365">
        <v>40424.800000000003</v>
      </c>
      <c r="U74" s="365">
        <v>23279.8</v>
      </c>
    </row>
    <row r="75" spans="1:21" x14ac:dyDescent="0.25">
      <c r="A75" t="str">
        <f>Funktional!A75</f>
        <v>Lanterswil</v>
      </c>
      <c r="B75" t="str">
        <f>Funktional!B75</f>
        <v>PSG</v>
      </c>
      <c r="C75" s="366"/>
      <c r="D75" s="366">
        <v>0</v>
      </c>
      <c r="E75">
        <v>2</v>
      </c>
      <c r="F75" s="404">
        <v>24</v>
      </c>
      <c r="G75" s="404"/>
      <c r="H75" s="43">
        <f t="shared" si="34"/>
        <v>24</v>
      </c>
      <c r="I75" s="43">
        <f t="shared" si="35"/>
        <v>24</v>
      </c>
      <c r="J75" s="43">
        <f>Funktional!E75</f>
        <v>261290.15</v>
      </c>
      <c r="K75" s="44">
        <f>Funktional!G75</f>
        <v>10887.089583333332</v>
      </c>
      <c r="L75" s="44" t="e">
        <f t="shared" ref="L75:L83" si="36">J75/C75</f>
        <v>#DIV/0!</v>
      </c>
      <c r="M75" s="365">
        <v>174534</v>
      </c>
      <c r="N75" s="365">
        <v>277038.09999999998</v>
      </c>
      <c r="O75" s="44" t="e">
        <f t="shared" ref="O75:O83" si="37">N75/C75</f>
        <v>#DIV/0!</v>
      </c>
      <c r="P75" s="43"/>
      <c r="Q75" s="44">
        <f>Funktional!AN75/Kennzahlen!H75</f>
        <v>20.412499999999998</v>
      </c>
      <c r="R75" s="46">
        <f t="shared" ref="R75:R83" si="38">G75/(G75+F75)</f>
        <v>0</v>
      </c>
      <c r="S75" s="365">
        <v>40198.400000000001</v>
      </c>
      <c r="T75" s="365">
        <v>1689.2</v>
      </c>
      <c r="U75" s="365">
        <v>0</v>
      </c>
    </row>
    <row r="76" spans="1:21" x14ac:dyDescent="0.25">
      <c r="A76" t="str">
        <f>Funktional!A76</f>
        <v>Leimbach</v>
      </c>
      <c r="B76" t="str">
        <f>Funktional!B76</f>
        <v>PSG</v>
      </c>
      <c r="C76" s="366"/>
      <c r="D76" s="366">
        <v>13</v>
      </c>
      <c r="E76">
        <v>2</v>
      </c>
      <c r="F76" s="404">
        <v>43</v>
      </c>
      <c r="G76" s="404"/>
      <c r="H76" s="43">
        <f t="shared" si="34"/>
        <v>43</v>
      </c>
      <c r="I76" s="43">
        <f t="shared" si="35"/>
        <v>56</v>
      </c>
      <c r="J76" s="43">
        <f>Funktional!E76</f>
        <v>594244.35365897021</v>
      </c>
      <c r="K76" s="44">
        <f>Funktional!G76</f>
        <v>13819.636131603958</v>
      </c>
      <c r="L76" s="44" t="e">
        <f t="shared" si="36"/>
        <v>#DIV/0!</v>
      </c>
      <c r="M76" s="365">
        <v>384245.95</v>
      </c>
      <c r="N76" s="365">
        <v>420087.89</v>
      </c>
      <c r="O76" s="44" t="e">
        <f t="shared" si="37"/>
        <v>#DIV/0!</v>
      </c>
      <c r="P76" s="43"/>
      <c r="Q76" s="44">
        <f>Funktional!AN76/Kennzahlen!H76</f>
        <v>62.166371979454695</v>
      </c>
      <c r="R76" s="46">
        <f t="shared" si="38"/>
        <v>0</v>
      </c>
      <c r="S76" s="365">
        <v>50166.35</v>
      </c>
      <c r="T76" s="365">
        <v>37031.4</v>
      </c>
      <c r="U76" s="365">
        <v>1685.5</v>
      </c>
    </row>
    <row r="77" spans="1:21" x14ac:dyDescent="0.25">
      <c r="A77" t="str">
        <f>Funktional!A77</f>
        <v>Lommis</v>
      </c>
      <c r="B77" t="str">
        <f>Funktional!B77</f>
        <v>PSG</v>
      </c>
      <c r="C77" s="366"/>
      <c r="D77" s="366">
        <v>35</v>
      </c>
      <c r="E77">
        <v>2</v>
      </c>
      <c r="F77" s="404">
        <v>113</v>
      </c>
      <c r="G77" s="404"/>
      <c r="H77" s="43">
        <f t="shared" si="34"/>
        <v>113</v>
      </c>
      <c r="I77" s="43">
        <f t="shared" si="35"/>
        <v>148</v>
      </c>
      <c r="J77" s="43">
        <f>Funktional!E77</f>
        <v>1157429.8466164214</v>
      </c>
      <c r="K77" s="44">
        <f>Funktional!G77</f>
        <v>10242.742005455057</v>
      </c>
      <c r="L77" s="44" t="e">
        <f t="shared" si="36"/>
        <v>#DIV/0!</v>
      </c>
      <c r="M77" s="365">
        <v>766879.65</v>
      </c>
      <c r="N77" s="365">
        <v>1217269.29</v>
      </c>
      <c r="O77" s="44" t="e">
        <f t="shared" si="37"/>
        <v>#DIV/0!</v>
      </c>
      <c r="P77" s="43"/>
      <c r="Q77" s="44">
        <f>Funktional!AN77/Kennzahlen!H77</f>
        <v>24.06220880296274</v>
      </c>
      <c r="R77" s="46">
        <f t="shared" si="38"/>
        <v>0</v>
      </c>
      <c r="S77" s="365">
        <v>381296.9</v>
      </c>
      <c r="T77" s="365">
        <v>13776.95</v>
      </c>
      <c r="U77" s="365">
        <v>2574.65</v>
      </c>
    </row>
    <row r="78" spans="1:21" x14ac:dyDescent="0.25">
      <c r="A78" t="str">
        <f>Funktional!A78</f>
        <v>Mammern</v>
      </c>
      <c r="B78" t="str">
        <f>Funktional!B78</f>
        <v>PSG</v>
      </c>
      <c r="C78" s="366"/>
      <c r="D78" s="366">
        <v>20</v>
      </c>
      <c r="E78">
        <v>2</v>
      </c>
      <c r="F78" s="404">
        <v>53</v>
      </c>
      <c r="G78" s="404"/>
      <c r="H78" s="43">
        <f t="shared" si="34"/>
        <v>53</v>
      </c>
      <c r="I78" s="43">
        <f t="shared" si="35"/>
        <v>73</v>
      </c>
      <c r="J78" s="43">
        <f>Funktional!E78</f>
        <v>461098.81114649674</v>
      </c>
      <c r="K78" s="44">
        <f>Funktional!G78</f>
        <v>8699.9775688018253</v>
      </c>
      <c r="L78" s="44" t="e">
        <f t="shared" si="36"/>
        <v>#DIV/0!</v>
      </c>
      <c r="M78" s="365">
        <v>630844.1</v>
      </c>
      <c r="N78" s="365">
        <v>1087662.24</v>
      </c>
      <c r="O78" s="44" t="e">
        <f t="shared" si="37"/>
        <v>#DIV/0!</v>
      </c>
      <c r="P78" s="43"/>
      <c r="Q78" s="44">
        <f>Funktional!AN78/Kennzahlen!H78</f>
        <v>23.458020142538228</v>
      </c>
      <c r="R78" s="46">
        <f t="shared" si="38"/>
        <v>0</v>
      </c>
      <c r="S78" s="365">
        <v>95289.45</v>
      </c>
      <c r="T78" s="365">
        <v>0</v>
      </c>
      <c r="U78" s="365">
        <v>6477.45</v>
      </c>
    </row>
    <row r="79" spans="1:21" x14ac:dyDescent="0.25">
      <c r="A79" t="str">
        <f>Funktional!A79</f>
        <v>Märstetten</v>
      </c>
      <c r="B79" t="str">
        <f>Funktional!B79</f>
        <v>PSG</v>
      </c>
      <c r="C79" s="366"/>
      <c r="D79" s="366">
        <v>34</v>
      </c>
      <c r="E79">
        <v>1</v>
      </c>
      <c r="F79" s="404">
        <v>160</v>
      </c>
      <c r="G79" s="404"/>
      <c r="H79" s="43">
        <f t="shared" si="34"/>
        <v>160</v>
      </c>
      <c r="I79" s="43">
        <f t="shared" si="35"/>
        <v>194</v>
      </c>
      <c r="J79" s="43">
        <f>Funktional!E79</f>
        <v>1831398.1874586465</v>
      </c>
      <c r="K79" s="44">
        <f>Funktional!G79</f>
        <v>11446.23867161654</v>
      </c>
      <c r="L79" s="44" t="e">
        <f t="shared" si="36"/>
        <v>#DIV/0!</v>
      </c>
      <c r="M79" s="365">
        <v>1881245.45</v>
      </c>
      <c r="N79" s="365">
        <v>2351556.81</v>
      </c>
      <c r="O79" s="44" t="e">
        <f t="shared" si="37"/>
        <v>#DIV/0!</v>
      </c>
      <c r="P79" s="43"/>
      <c r="Q79" s="44">
        <f>Funktional!AN79/Kennzahlen!H79</f>
        <v>44.156692311442406</v>
      </c>
      <c r="R79" s="46">
        <f t="shared" si="38"/>
        <v>0</v>
      </c>
      <c r="S79" s="365">
        <v>107193.25</v>
      </c>
      <c r="T79" s="365">
        <v>79904.399999999994</v>
      </c>
      <c r="U79" s="365">
        <v>46627.9</v>
      </c>
    </row>
    <row r="80" spans="1:21" x14ac:dyDescent="0.25">
      <c r="A80" t="str">
        <f>Funktional!A80</f>
        <v>Märwil</v>
      </c>
      <c r="B80" t="str">
        <f>Funktional!B80</f>
        <v>PSG</v>
      </c>
      <c r="C80" s="366"/>
      <c r="D80" s="366">
        <v>53</v>
      </c>
      <c r="E80">
        <v>2</v>
      </c>
      <c r="F80" s="404">
        <v>106</v>
      </c>
      <c r="G80" s="404"/>
      <c r="H80" s="43">
        <f t="shared" si="34"/>
        <v>106</v>
      </c>
      <c r="I80" s="43">
        <f t="shared" si="35"/>
        <v>159</v>
      </c>
      <c r="J80" s="43">
        <f>Funktional!E80</f>
        <v>920598.59015859407</v>
      </c>
      <c r="K80" s="44">
        <f>Funktional!G80</f>
        <v>8684.8923599867358</v>
      </c>
      <c r="L80" s="44" t="e">
        <f t="shared" si="36"/>
        <v>#DIV/0!</v>
      </c>
      <c r="M80" s="365">
        <v>634051.19999999995</v>
      </c>
      <c r="N80" s="365">
        <v>868563.29</v>
      </c>
      <c r="O80" s="44" t="e">
        <f t="shared" si="37"/>
        <v>#DIV/0!</v>
      </c>
      <c r="P80" s="43"/>
      <c r="Q80" s="44">
        <f>Funktional!AN80/Kennzahlen!H80</f>
        <v>28.960060215565857</v>
      </c>
      <c r="R80" s="46">
        <f t="shared" si="38"/>
        <v>0</v>
      </c>
      <c r="S80" s="365">
        <v>-71610.67</v>
      </c>
      <c r="T80" s="365">
        <v>28331.86</v>
      </c>
      <c r="U80" s="365">
        <v>23366.9</v>
      </c>
    </row>
    <row r="81" spans="1:21" x14ac:dyDescent="0.25">
      <c r="A81" t="str">
        <f>Funktional!A81</f>
        <v>Mattwil-Birwinken-Happerswil</v>
      </c>
      <c r="B81" t="str">
        <f>Funktional!B81</f>
        <v>PSG</v>
      </c>
      <c r="C81" s="366"/>
      <c r="D81" s="366">
        <v>17</v>
      </c>
      <c r="E81">
        <v>1</v>
      </c>
      <c r="F81" s="404">
        <v>82</v>
      </c>
      <c r="G81" s="404"/>
      <c r="H81" s="43">
        <f t="shared" si="34"/>
        <v>82</v>
      </c>
      <c r="I81" s="43">
        <f t="shared" si="35"/>
        <v>99</v>
      </c>
      <c r="J81" s="43">
        <f>Funktional!E81</f>
        <v>713951.49577191391</v>
      </c>
      <c r="K81" s="44">
        <f>Funktional!G81</f>
        <v>8706.7255581940717</v>
      </c>
      <c r="L81" s="44" t="e">
        <f t="shared" si="36"/>
        <v>#DIV/0!</v>
      </c>
      <c r="M81" s="365">
        <v>390202.95</v>
      </c>
      <c r="N81" s="365">
        <v>672763.71</v>
      </c>
      <c r="O81" s="44" t="e">
        <f t="shared" si="37"/>
        <v>#DIV/0!</v>
      </c>
      <c r="P81" s="43"/>
      <c r="Q81" s="44">
        <f>Funktional!AN81/Kennzahlen!H81</f>
        <v>55.777288833923194</v>
      </c>
      <c r="R81" s="46">
        <f t="shared" si="38"/>
        <v>0</v>
      </c>
      <c r="S81" s="365">
        <v>-37230.199999999997</v>
      </c>
      <c r="T81" s="365">
        <v>7107.95</v>
      </c>
      <c r="U81" s="365">
        <v>3295.9</v>
      </c>
    </row>
    <row r="82" spans="1:21" x14ac:dyDescent="0.25">
      <c r="A82" t="str">
        <f>Funktional!A82</f>
        <v>Matzingen</v>
      </c>
      <c r="B82" t="str">
        <f>Funktional!B82</f>
        <v>PSG</v>
      </c>
      <c r="C82" s="366"/>
      <c r="D82" s="366">
        <v>67</v>
      </c>
      <c r="E82">
        <v>2</v>
      </c>
      <c r="F82" s="404">
        <f>217-13</f>
        <v>204</v>
      </c>
      <c r="G82" s="404">
        <v>13</v>
      </c>
      <c r="H82" s="43">
        <f t="shared" si="34"/>
        <v>217</v>
      </c>
      <c r="I82" s="43">
        <f t="shared" si="35"/>
        <v>284</v>
      </c>
      <c r="J82" s="43">
        <f>Funktional!E82</f>
        <v>2144792.7492858539</v>
      </c>
      <c r="K82" s="44">
        <f>Funktional!G82</f>
        <v>9883.8375543126913</v>
      </c>
      <c r="L82" s="44" t="e">
        <f t="shared" si="36"/>
        <v>#DIV/0!</v>
      </c>
      <c r="M82" s="365">
        <v>1726332.65</v>
      </c>
      <c r="N82" s="365">
        <v>2925987.54</v>
      </c>
      <c r="O82" s="44" t="e">
        <f t="shared" si="37"/>
        <v>#DIV/0!</v>
      </c>
      <c r="P82" s="43"/>
      <c r="Q82" s="44">
        <f>Funktional!AN82/Kennzahlen!H82</f>
        <v>48.410855800109815</v>
      </c>
      <c r="R82" s="46">
        <f t="shared" si="38"/>
        <v>5.9907834101382486E-2</v>
      </c>
      <c r="S82" s="365">
        <v>-49389</v>
      </c>
      <c r="T82" s="365">
        <v>2664.2</v>
      </c>
      <c r="U82" s="365">
        <v>40828.85</v>
      </c>
    </row>
    <row r="83" spans="1:21" x14ac:dyDescent="0.25">
      <c r="A83" t="str">
        <f>Funktional!A83</f>
        <v>Mauren</v>
      </c>
      <c r="B83" t="str">
        <f>Funktional!B83</f>
        <v>PSG</v>
      </c>
      <c r="C83" s="366"/>
      <c r="D83" s="366">
        <v>21</v>
      </c>
      <c r="E83">
        <v>2</v>
      </c>
      <c r="F83" s="404">
        <v>57</v>
      </c>
      <c r="G83" s="404"/>
      <c r="H83" s="43">
        <f t="shared" si="34"/>
        <v>57</v>
      </c>
      <c r="I83" s="43">
        <f t="shared" si="35"/>
        <v>78</v>
      </c>
      <c r="J83" s="43">
        <f>Funktional!E83</f>
        <v>791952.5733895743</v>
      </c>
      <c r="K83" s="44">
        <f>Funktional!G83</f>
        <v>13893.904796308321</v>
      </c>
      <c r="L83" s="44" t="e">
        <f t="shared" si="36"/>
        <v>#DIV/0!</v>
      </c>
      <c r="M83" s="365">
        <v>482082.05</v>
      </c>
      <c r="N83" s="365">
        <v>535646.71999999997</v>
      </c>
      <c r="O83" s="44" t="e">
        <f t="shared" si="37"/>
        <v>#DIV/0!</v>
      </c>
      <c r="P83" s="43"/>
      <c r="Q83" s="44">
        <f>Funktional!AN83/Kennzahlen!H83</f>
        <v>48.503161079717309</v>
      </c>
      <c r="R83" s="46">
        <f t="shared" si="38"/>
        <v>0</v>
      </c>
      <c r="S83" s="365">
        <v>-53250.6</v>
      </c>
      <c r="T83" s="365">
        <v>7543.85</v>
      </c>
      <c r="U83" s="365">
        <v>68437.100000000006</v>
      </c>
    </row>
    <row r="84" spans="1:21" x14ac:dyDescent="0.25">
      <c r="A84" t="str">
        <f>Funktional!A84</f>
        <v>Mettlen</v>
      </c>
      <c r="B84" t="str">
        <f>Funktional!B84</f>
        <v>PSG</v>
      </c>
      <c r="C84" s="366"/>
      <c r="D84" s="366">
        <v>13</v>
      </c>
      <c r="E84">
        <v>2</v>
      </c>
      <c r="F84" s="404">
        <v>46</v>
      </c>
      <c r="G84" s="404"/>
      <c r="H84" s="43">
        <f t="shared" si="34"/>
        <v>46</v>
      </c>
      <c r="I84" s="43">
        <f t="shared" si="35"/>
        <v>59</v>
      </c>
      <c r="J84" s="43">
        <f>Funktional!E84</f>
        <v>650094.22489658301</v>
      </c>
      <c r="K84" s="44">
        <f>Funktional!G84</f>
        <v>14132.483149925718</v>
      </c>
      <c r="L84" s="44" t="e">
        <f t="shared" ref="L84:L87" si="39">J84/C84</f>
        <v>#DIV/0!</v>
      </c>
      <c r="M84" s="365">
        <v>351687.45</v>
      </c>
      <c r="N84" s="365">
        <v>541057.62</v>
      </c>
      <c r="O84" s="44" t="e">
        <f t="shared" ref="O84:O87" si="40">N84/C84</f>
        <v>#DIV/0!</v>
      </c>
      <c r="P84" s="43"/>
      <c r="Q84" s="44">
        <f>Funktional!AN84/Kennzahlen!H84</f>
        <v>20.835922292083886</v>
      </c>
      <c r="R84" s="46">
        <f t="shared" ref="R84:R87" si="41">G84/(G84+F84)</f>
        <v>0</v>
      </c>
      <c r="S84" s="365">
        <v>34302.699999999997</v>
      </c>
      <c r="T84" s="365">
        <v>4952.55</v>
      </c>
      <c r="U84" s="365">
        <v>6910.9</v>
      </c>
    </row>
    <row r="85" spans="1:21" x14ac:dyDescent="0.25">
      <c r="A85" t="str">
        <f>Funktional!A85</f>
        <v>Müllheim</v>
      </c>
      <c r="B85" t="str">
        <f>Funktional!B85</f>
        <v>PSG</v>
      </c>
      <c r="C85" s="366"/>
      <c r="D85" s="366">
        <v>51</v>
      </c>
      <c r="E85">
        <v>1</v>
      </c>
      <c r="F85" s="404">
        <f>241-11</f>
        <v>230</v>
      </c>
      <c r="G85" s="404">
        <v>11</v>
      </c>
      <c r="H85" s="43">
        <f t="shared" si="34"/>
        <v>241</v>
      </c>
      <c r="I85" s="43">
        <f t="shared" si="35"/>
        <v>292</v>
      </c>
      <c r="J85" s="43">
        <f>Funktional!E85</f>
        <v>2081879.768160176</v>
      </c>
      <c r="K85" s="44">
        <f>Funktional!G85</f>
        <v>8638.5052620754195</v>
      </c>
      <c r="L85" s="44" t="e">
        <f t="shared" si="39"/>
        <v>#DIV/0!</v>
      </c>
      <c r="M85" s="365">
        <v>1422727.15</v>
      </c>
      <c r="N85" s="365">
        <v>2586776.64</v>
      </c>
      <c r="O85" s="44" t="e">
        <f t="shared" si="40"/>
        <v>#DIV/0!</v>
      </c>
      <c r="P85" s="43"/>
      <c r="Q85" s="44">
        <f>Funktional!AN85/Kennzahlen!H85</f>
        <v>18.729398194489725</v>
      </c>
      <c r="R85" s="46">
        <f t="shared" si="41"/>
        <v>4.5643153526970952E-2</v>
      </c>
      <c r="S85" s="365">
        <v>467996.05</v>
      </c>
      <c r="T85" s="365">
        <v>27982.25</v>
      </c>
      <c r="U85" s="365">
        <v>6508.35</v>
      </c>
    </row>
    <row r="86" spans="1:21" x14ac:dyDescent="0.25">
      <c r="A86" t="str">
        <f>Funktional!A86</f>
        <v>Neukirch-Egnach</v>
      </c>
      <c r="B86" t="str">
        <f>Funktional!B86</f>
        <v>PSG</v>
      </c>
      <c r="C86" s="366"/>
      <c r="D86" s="366">
        <v>47</v>
      </c>
      <c r="E86">
        <v>2</v>
      </c>
      <c r="F86" s="404">
        <v>102</v>
      </c>
      <c r="G86" s="404"/>
      <c r="H86" s="43">
        <f t="shared" si="34"/>
        <v>102</v>
      </c>
      <c r="I86" s="43">
        <f t="shared" si="35"/>
        <v>149</v>
      </c>
      <c r="J86" s="43">
        <f>Funktional!E86</f>
        <v>1130072.056854754</v>
      </c>
      <c r="K86" s="44">
        <f>Funktional!G86</f>
        <v>11079.137812301509</v>
      </c>
      <c r="L86" s="44" t="e">
        <f t="shared" si="39"/>
        <v>#DIV/0!</v>
      </c>
      <c r="M86" s="365">
        <v>1168341.3500000001</v>
      </c>
      <c r="N86" s="365">
        <v>1884485.16</v>
      </c>
      <c r="O86" s="44" t="e">
        <f t="shared" si="40"/>
        <v>#DIV/0!</v>
      </c>
      <c r="P86" s="43"/>
      <c r="Q86" s="44">
        <f>Funktional!AN86/Kennzahlen!H86</f>
        <v>102.96456030972196</v>
      </c>
      <c r="R86" s="46">
        <f t="shared" si="41"/>
        <v>0</v>
      </c>
      <c r="S86" s="365">
        <v>-199281.55</v>
      </c>
      <c r="T86" s="365">
        <v>12163.55</v>
      </c>
      <c r="U86" s="365">
        <v>4016.75</v>
      </c>
    </row>
    <row r="87" spans="1:21" x14ac:dyDescent="0.25">
      <c r="A87" t="str">
        <f>Funktional!A87</f>
        <v>Neuwilen</v>
      </c>
      <c r="B87" t="str">
        <f>Funktional!B87</f>
        <v>PSG</v>
      </c>
      <c r="C87" s="366"/>
      <c r="D87" s="366">
        <v>31</v>
      </c>
      <c r="E87">
        <v>2</v>
      </c>
      <c r="F87" s="404">
        <v>73</v>
      </c>
      <c r="G87" s="404"/>
      <c r="H87" s="43">
        <f t="shared" si="34"/>
        <v>73</v>
      </c>
      <c r="I87" s="43">
        <f t="shared" si="35"/>
        <v>104</v>
      </c>
      <c r="J87" s="43">
        <f>Funktional!E87</f>
        <v>595657.8709191517</v>
      </c>
      <c r="K87" s="44">
        <f>Funktional!G87</f>
        <v>8159.6968619061872</v>
      </c>
      <c r="L87" s="44" t="e">
        <f t="shared" si="39"/>
        <v>#DIV/0!</v>
      </c>
      <c r="M87" s="365">
        <v>335580.95</v>
      </c>
      <c r="N87" s="365">
        <v>516278.38</v>
      </c>
      <c r="O87" s="44" t="e">
        <f t="shared" si="40"/>
        <v>#DIV/0!</v>
      </c>
      <c r="P87" s="43"/>
      <c r="Q87" s="44">
        <f>Funktional!AN87/Kennzahlen!H87</f>
        <v>40.348115795494472</v>
      </c>
      <c r="R87" s="46">
        <f t="shared" si="41"/>
        <v>0</v>
      </c>
      <c r="S87" s="365">
        <v>-58232.05</v>
      </c>
      <c r="T87" s="365">
        <v>32099.05</v>
      </c>
      <c r="U87" s="365">
        <v>7787.9</v>
      </c>
    </row>
    <row r="88" spans="1:21" x14ac:dyDescent="0.25">
      <c r="A88" t="str">
        <f>Funktional!A88</f>
        <v>Nussbaumen</v>
      </c>
      <c r="B88" t="str">
        <f>Funktional!B88</f>
        <v>PSG</v>
      </c>
      <c r="C88" s="366"/>
      <c r="D88" s="366">
        <v>13</v>
      </c>
      <c r="E88">
        <v>2</v>
      </c>
      <c r="F88" s="404">
        <v>54</v>
      </c>
      <c r="G88" s="404"/>
      <c r="H88" s="43">
        <f t="shared" ref="H88:H93" si="42">G88+F88</f>
        <v>54</v>
      </c>
      <c r="I88" s="43">
        <f t="shared" ref="I88:I93" si="43">H88+D88</f>
        <v>67</v>
      </c>
      <c r="J88" s="43">
        <f>Funktional!E88</f>
        <v>664754.09386994096</v>
      </c>
      <c r="K88" s="44">
        <f>Funktional!G88</f>
        <v>12310.260997591498</v>
      </c>
      <c r="L88" s="44" t="e">
        <f t="shared" ref="L88:L93" si="44">J88/C88</f>
        <v>#DIV/0!</v>
      </c>
      <c r="M88" s="365">
        <v>531102.5</v>
      </c>
      <c r="N88" s="365">
        <v>672281.65</v>
      </c>
      <c r="O88" s="44" t="e">
        <f t="shared" ref="O88:O93" si="45">N88/C88</f>
        <v>#DIV/0!</v>
      </c>
      <c r="P88" s="43"/>
      <c r="Q88" s="44">
        <f>Funktional!AN88/Kennzahlen!H88</f>
        <v>30.127048138614278</v>
      </c>
      <c r="R88" s="46">
        <f t="shared" ref="R88:R93" si="46">G88/(G88+F88)</f>
        <v>0</v>
      </c>
      <c r="S88" s="365">
        <v>-155804.4</v>
      </c>
      <c r="T88" s="365">
        <v>24808.15</v>
      </c>
      <c r="U88" s="365">
        <v>230.4</v>
      </c>
    </row>
    <row r="89" spans="1:21" x14ac:dyDescent="0.25">
      <c r="A89" t="str">
        <f>Funktional!A89</f>
        <v>Oberhofen-Lengwil</v>
      </c>
      <c r="B89" t="str">
        <f>Funktional!B89</f>
        <v>PSG</v>
      </c>
      <c r="C89" s="366"/>
      <c r="D89" s="366">
        <v>35</v>
      </c>
      <c r="E89">
        <v>2</v>
      </c>
      <c r="F89" s="404">
        <v>66</v>
      </c>
      <c r="G89" s="404"/>
      <c r="H89" s="43">
        <f t="shared" si="42"/>
        <v>66</v>
      </c>
      <c r="I89" s="43">
        <f t="shared" si="43"/>
        <v>101</v>
      </c>
      <c r="J89" s="43">
        <f>Funktional!E89</f>
        <v>861732.78462915285</v>
      </c>
      <c r="K89" s="44">
        <f>Funktional!G89</f>
        <v>13056.557342865952</v>
      </c>
      <c r="L89" s="44" t="e">
        <f t="shared" si="44"/>
        <v>#DIV/0!</v>
      </c>
      <c r="M89" s="365">
        <v>902005.2</v>
      </c>
      <c r="N89" s="365">
        <v>1073815.71</v>
      </c>
      <c r="O89" s="44" t="e">
        <f t="shared" si="45"/>
        <v>#DIV/0!</v>
      </c>
      <c r="P89" s="43"/>
      <c r="Q89" s="44">
        <f>Funktional!AN89/Kennzahlen!H89</f>
        <v>85.634230246662725</v>
      </c>
      <c r="R89" s="46">
        <f t="shared" si="46"/>
        <v>0</v>
      </c>
      <c r="S89" s="365">
        <v>-111841.85</v>
      </c>
      <c r="T89" s="365">
        <v>12306.45</v>
      </c>
      <c r="U89" s="365">
        <v>1463.25</v>
      </c>
    </row>
    <row r="90" spans="1:21" x14ac:dyDescent="0.25">
      <c r="A90" t="str">
        <f>Funktional!A90</f>
        <v>Ottoberg</v>
      </c>
      <c r="B90" t="str">
        <f>Funktional!B90</f>
        <v>PSG</v>
      </c>
      <c r="C90" s="366"/>
      <c r="D90" s="366">
        <v>16</v>
      </c>
      <c r="E90">
        <v>1</v>
      </c>
      <c r="F90" s="404">
        <v>55</v>
      </c>
      <c r="G90" s="404"/>
      <c r="H90" s="43">
        <f t="shared" si="42"/>
        <v>55</v>
      </c>
      <c r="I90" s="43">
        <f t="shared" si="43"/>
        <v>71</v>
      </c>
      <c r="J90" s="43">
        <f>Funktional!E90</f>
        <v>780048.48387080966</v>
      </c>
      <c r="K90" s="44">
        <f>Funktional!G90</f>
        <v>14182.699706741994</v>
      </c>
      <c r="L90" s="44" t="e">
        <f t="shared" si="44"/>
        <v>#DIV/0!</v>
      </c>
      <c r="M90" s="365">
        <v>838006.85</v>
      </c>
      <c r="N90" s="365">
        <v>863924.59</v>
      </c>
      <c r="O90" s="44" t="e">
        <f t="shared" si="45"/>
        <v>#DIV/0!</v>
      </c>
      <c r="P90" s="43"/>
      <c r="Q90" s="44">
        <f>Funktional!AN90/Kennzahlen!H90</f>
        <v>36.079477635564963</v>
      </c>
      <c r="R90" s="46">
        <f t="shared" si="46"/>
        <v>0</v>
      </c>
      <c r="S90" s="365">
        <v>-124400.95</v>
      </c>
      <c r="T90" s="365">
        <v>20678.400000000001</v>
      </c>
      <c r="U90" s="365">
        <v>1626.9</v>
      </c>
    </row>
    <row r="91" spans="1:21" x14ac:dyDescent="0.25">
      <c r="A91" t="str">
        <f>Funktional!A91</f>
        <v>Pfyn</v>
      </c>
      <c r="B91" t="str">
        <f>Funktional!B91</f>
        <v>PSG</v>
      </c>
      <c r="C91" s="366"/>
      <c r="D91" s="366">
        <v>33</v>
      </c>
      <c r="E91">
        <v>1</v>
      </c>
      <c r="F91" s="404">
        <f>164-9</f>
        <v>155</v>
      </c>
      <c r="G91" s="404">
        <v>9</v>
      </c>
      <c r="H91" s="43">
        <f t="shared" si="42"/>
        <v>164</v>
      </c>
      <c r="I91" s="43">
        <f t="shared" si="43"/>
        <v>197</v>
      </c>
      <c r="J91" s="43">
        <f>Funktional!E91</f>
        <v>1951383.5535995166</v>
      </c>
      <c r="K91" s="44">
        <f>Funktional!G91</f>
        <v>11898.680204875101</v>
      </c>
      <c r="L91" s="44" t="e">
        <f t="shared" si="44"/>
        <v>#DIV/0!</v>
      </c>
      <c r="M91" s="365">
        <v>929730.5</v>
      </c>
      <c r="N91" s="365">
        <v>1690419.09</v>
      </c>
      <c r="O91" s="44" t="e">
        <f t="shared" si="45"/>
        <v>#DIV/0!</v>
      </c>
      <c r="P91" s="43"/>
      <c r="Q91" s="44">
        <f>Funktional!AN91/Kennzahlen!H91</f>
        <v>13.739372669470391</v>
      </c>
      <c r="R91" s="46">
        <f t="shared" si="46"/>
        <v>5.4878048780487805E-2</v>
      </c>
      <c r="S91" s="365">
        <v>43831.75</v>
      </c>
      <c r="T91" s="365">
        <v>23965.200000000001</v>
      </c>
      <c r="U91" s="365">
        <v>2184.9</v>
      </c>
    </row>
    <row r="92" spans="1:21" x14ac:dyDescent="0.25">
      <c r="A92" t="str">
        <f>Funktional!A92</f>
        <v>Raperswilen-Illhart</v>
      </c>
      <c r="B92" t="str">
        <f>Funktional!B92</f>
        <v>PSG</v>
      </c>
      <c r="C92" s="366"/>
      <c r="D92" s="366">
        <v>23</v>
      </c>
      <c r="E92">
        <v>1</v>
      </c>
      <c r="F92" s="404">
        <v>71</v>
      </c>
      <c r="G92" s="404"/>
      <c r="H92" s="43">
        <f t="shared" si="42"/>
        <v>71</v>
      </c>
      <c r="I92" s="43">
        <f t="shared" si="43"/>
        <v>94</v>
      </c>
      <c r="J92" s="43">
        <f>Funktional!E92</f>
        <v>556151.57357721834</v>
      </c>
      <c r="K92" s="44">
        <f>Funktional!G92</f>
        <v>7833.1207546087089</v>
      </c>
      <c r="L92" s="44" t="e">
        <f t="shared" si="44"/>
        <v>#DIV/0!</v>
      </c>
      <c r="M92" s="365">
        <v>319668.09999999998</v>
      </c>
      <c r="N92" s="365">
        <v>688668.69</v>
      </c>
      <c r="O92" s="44" t="e">
        <f t="shared" si="45"/>
        <v>#DIV/0!</v>
      </c>
      <c r="P92" s="43"/>
      <c r="Q92" s="44">
        <f>Funktional!AN92/Kennzahlen!H92</f>
        <v>55.180517465182533</v>
      </c>
      <c r="R92" s="46">
        <f t="shared" si="46"/>
        <v>0</v>
      </c>
      <c r="S92" s="365">
        <v>67445.5</v>
      </c>
      <c r="T92" s="365">
        <v>12611.9</v>
      </c>
      <c r="U92" s="365">
        <v>4082.55</v>
      </c>
    </row>
    <row r="93" spans="1:21" x14ac:dyDescent="0.25">
      <c r="A93" t="str">
        <f>Funktional!A93</f>
        <v>Rickenbach</v>
      </c>
      <c r="B93" t="str">
        <f>Funktional!B93</f>
        <v>PSG</v>
      </c>
      <c r="C93" s="366"/>
      <c r="D93" s="366">
        <v>72</v>
      </c>
      <c r="E93">
        <v>1</v>
      </c>
      <c r="F93" s="404">
        <f>193-12</f>
        <v>181</v>
      </c>
      <c r="G93" s="404">
        <v>12</v>
      </c>
      <c r="H93" s="43">
        <f t="shared" si="42"/>
        <v>193</v>
      </c>
      <c r="I93" s="43">
        <f t="shared" si="43"/>
        <v>265</v>
      </c>
      <c r="J93" s="43">
        <f>Funktional!E93</f>
        <v>1920589.8765772618</v>
      </c>
      <c r="K93" s="44">
        <f>Funktional!G93</f>
        <v>9951.2428838200103</v>
      </c>
      <c r="L93" s="44" t="e">
        <f t="shared" si="44"/>
        <v>#DIV/0!</v>
      </c>
      <c r="M93" s="365">
        <v>2117633.75</v>
      </c>
      <c r="N93" s="365">
        <v>3471530.74</v>
      </c>
      <c r="O93" s="44" t="e">
        <f t="shared" si="45"/>
        <v>#DIV/0!</v>
      </c>
      <c r="P93" s="43"/>
      <c r="Q93" s="44">
        <f>Funktional!AN93/Kennzahlen!H93</f>
        <v>47.090280442538329</v>
      </c>
      <c r="R93" s="46">
        <f t="shared" si="46"/>
        <v>6.2176165803108807E-2</v>
      </c>
      <c r="S93" s="365">
        <v>-65551.8</v>
      </c>
      <c r="T93" s="365">
        <v>56230.45</v>
      </c>
      <c r="U93" s="365">
        <v>8816.15</v>
      </c>
    </row>
    <row r="94" spans="1:21" x14ac:dyDescent="0.25">
      <c r="A94" t="str">
        <f>Funktional!A94</f>
        <v>Ringenzeichen</v>
      </c>
      <c r="B94" t="str">
        <f>Funktional!B94</f>
        <v>PSG</v>
      </c>
      <c r="C94" s="366"/>
      <c r="D94" s="366">
        <v>0</v>
      </c>
      <c r="E94">
        <v>2</v>
      </c>
      <c r="F94" s="404">
        <v>40</v>
      </c>
      <c r="G94" s="404"/>
      <c r="H94" s="43">
        <f t="shared" ref="H94:H101" si="47">G94+F94</f>
        <v>40</v>
      </c>
      <c r="I94" s="43">
        <f t="shared" ref="I94:I101" si="48">H94+D94</f>
        <v>40</v>
      </c>
      <c r="J94" s="43">
        <f>Funktional!E94</f>
        <v>391665.1</v>
      </c>
      <c r="K94" s="44">
        <f>Funktional!G94</f>
        <v>9791.6274999999987</v>
      </c>
      <c r="L94" s="44" t="e">
        <f t="shared" ref="L94:L96" si="49">J94/C94</f>
        <v>#DIV/0!</v>
      </c>
      <c r="M94" s="365">
        <v>400729.8</v>
      </c>
      <c r="N94" s="365">
        <v>646338.39</v>
      </c>
      <c r="O94" s="44" t="e">
        <f t="shared" ref="O94:O96" si="50">N94/C94</f>
        <v>#DIV/0!</v>
      </c>
      <c r="P94" s="43"/>
      <c r="Q94" s="44">
        <f>Funktional!AN94/Kennzahlen!H94</f>
        <v>60.503750000000004</v>
      </c>
      <c r="R94" s="46">
        <f t="shared" ref="R94:R95" si="51">G94/(G94+F94)</f>
        <v>0</v>
      </c>
      <c r="S94" s="365">
        <v>73451.399999999994</v>
      </c>
      <c r="T94" s="365">
        <v>7615.8</v>
      </c>
      <c r="U94" s="365">
        <v>271.85000000000002</v>
      </c>
    </row>
    <row r="95" spans="1:21" x14ac:dyDescent="0.25">
      <c r="A95" t="str">
        <f>Funktional!A95</f>
        <v>Romanshorn</v>
      </c>
      <c r="B95" t="str">
        <f>Funktional!B95</f>
        <v>PSG</v>
      </c>
      <c r="C95" s="366"/>
      <c r="D95" s="366">
        <v>119</v>
      </c>
      <c r="E95">
        <v>1</v>
      </c>
      <c r="F95" s="404">
        <f>748-37</f>
        <v>711</v>
      </c>
      <c r="G95" s="404">
        <v>37</v>
      </c>
      <c r="H95" s="43">
        <f t="shared" si="47"/>
        <v>748</v>
      </c>
      <c r="I95" s="43">
        <f t="shared" si="48"/>
        <v>867</v>
      </c>
      <c r="J95" s="43">
        <f>Funktional!E95</f>
        <v>6706109.5021100761</v>
      </c>
      <c r="K95" s="44">
        <f>Funktional!G95</f>
        <v>8965.3870349065182</v>
      </c>
      <c r="L95" s="44" t="e">
        <f t="shared" si="49"/>
        <v>#DIV/0!</v>
      </c>
      <c r="M95" s="365">
        <v>8216645.4000000004</v>
      </c>
      <c r="N95" s="365">
        <v>14415167.369999999</v>
      </c>
      <c r="O95" s="44" t="e">
        <f t="shared" si="50"/>
        <v>#DIV/0!</v>
      </c>
      <c r="P95" s="43"/>
      <c r="Q95" s="44">
        <f>Funktional!AN95/Kennzahlen!H95</f>
        <v>37.55787800320612</v>
      </c>
      <c r="R95" s="46">
        <f t="shared" si="51"/>
        <v>4.9465240641711233E-2</v>
      </c>
      <c r="S95" s="365">
        <v>606065.86</v>
      </c>
      <c r="T95" s="365">
        <v>71564.3</v>
      </c>
      <c r="U95" s="365">
        <v>118370.5</v>
      </c>
    </row>
    <row r="96" spans="1:21" x14ac:dyDescent="0.25">
      <c r="A96" t="str">
        <f>Funktional!A96</f>
        <v>Salenstein</v>
      </c>
      <c r="B96" t="str">
        <f>Funktional!B96</f>
        <v>PSG</v>
      </c>
      <c r="C96" s="366"/>
      <c r="D96" s="366">
        <v>13</v>
      </c>
      <c r="E96">
        <v>2</v>
      </c>
      <c r="F96" s="404">
        <v>69</v>
      </c>
      <c r="G96" s="404"/>
      <c r="H96" s="43">
        <f t="shared" si="47"/>
        <v>69</v>
      </c>
      <c r="I96" s="43">
        <f t="shared" si="48"/>
        <v>82</v>
      </c>
      <c r="J96" s="43">
        <f>Funktional!E96</f>
        <v>1289114.6652659136</v>
      </c>
      <c r="K96" s="44">
        <f>Funktional!G96</f>
        <v>18682.82123573788</v>
      </c>
      <c r="L96" s="44" t="e">
        <f t="shared" si="49"/>
        <v>#DIV/0!</v>
      </c>
      <c r="M96" s="365">
        <v>1445751.25</v>
      </c>
      <c r="N96" s="365">
        <v>2409585.42</v>
      </c>
      <c r="O96" s="44" t="e">
        <f t="shared" si="50"/>
        <v>#DIV/0!</v>
      </c>
      <c r="P96" s="43"/>
      <c r="Q96" s="44">
        <f>Funktional!AN96/Kennzahlen!H96</f>
        <v>48.290521628035549</v>
      </c>
      <c r="R96" s="46">
        <f t="shared" ref="R96:R108" si="52">G96/(G96+F96)</f>
        <v>0</v>
      </c>
      <c r="S96" s="365">
        <v>38276.1</v>
      </c>
      <c r="T96" s="365">
        <v>10054.700000000001</v>
      </c>
      <c r="U96" s="365">
        <v>0</v>
      </c>
    </row>
    <row r="97" spans="1:21" x14ac:dyDescent="0.25">
      <c r="A97" t="str">
        <f>Funktional!A97</f>
        <v>Salmsach-Hungerbühl</v>
      </c>
      <c r="B97" t="str">
        <f>Funktional!B97</f>
        <v>PSG</v>
      </c>
      <c r="C97" s="366"/>
      <c r="D97" s="366">
        <v>36</v>
      </c>
      <c r="E97">
        <v>2</v>
      </c>
      <c r="F97" s="404">
        <v>107</v>
      </c>
      <c r="G97" s="404"/>
      <c r="H97" s="43">
        <f t="shared" si="47"/>
        <v>107</v>
      </c>
      <c r="I97" s="43">
        <f t="shared" si="48"/>
        <v>143</v>
      </c>
      <c r="J97" s="43">
        <f>Funktional!E97</f>
        <v>1155853.2429853645</v>
      </c>
      <c r="K97" s="44">
        <f>Funktional!G97</f>
        <v>10802.366756872565</v>
      </c>
      <c r="L97" s="44" t="e">
        <f t="shared" ref="L97:L108" si="53">J97/C97</f>
        <v>#DIV/0!</v>
      </c>
      <c r="M97" s="365">
        <v>951598</v>
      </c>
      <c r="N97" s="365">
        <v>1420295.52</v>
      </c>
      <c r="O97" s="44" t="e">
        <f t="shared" ref="O97:O108" si="54">N97/C97</f>
        <v>#DIV/0!</v>
      </c>
      <c r="P97" s="43"/>
      <c r="Q97" s="44">
        <f>Funktional!AN97/Kennzahlen!H97</f>
        <v>30.746767726065169</v>
      </c>
      <c r="R97" s="46">
        <f t="shared" si="52"/>
        <v>0</v>
      </c>
      <c r="S97" s="365">
        <v>-14084.95</v>
      </c>
      <c r="T97" s="365">
        <v>19516.45</v>
      </c>
      <c r="U97" s="365">
        <v>0</v>
      </c>
    </row>
    <row r="98" spans="1:21" x14ac:dyDescent="0.25">
      <c r="A98" t="str">
        <f>Funktional!A98</f>
        <v>Scherzingen</v>
      </c>
      <c r="B98" t="str">
        <f>Funktional!B98</f>
        <v>PSG</v>
      </c>
      <c r="C98" s="366"/>
      <c r="D98" s="366">
        <v>31</v>
      </c>
      <c r="E98">
        <v>2</v>
      </c>
      <c r="F98" s="404">
        <v>112</v>
      </c>
      <c r="G98" s="404"/>
      <c r="H98" s="43">
        <f t="shared" si="47"/>
        <v>112</v>
      </c>
      <c r="I98" s="43">
        <f t="shared" si="48"/>
        <v>143</v>
      </c>
      <c r="J98" s="43">
        <f>Funktional!E98</f>
        <v>1320318.8188407556</v>
      </c>
      <c r="K98" s="44">
        <f>Funktional!G98</f>
        <v>11788.560882506747</v>
      </c>
      <c r="L98" s="44" t="e">
        <f t="shared" si="53"/>
        <v>#DIV/0!</v>
      </c>
      <c r="M98" s="365">
        <v>1606246.3</v>
      </c>
      <c r="N98" s="365">
        <v>2141661.73</v>
      </c>
      <c r="O98" s="44" t="e">
        <f t="shared" si="54"/>
        <v>#DIV/0!</v>
      </c>
      <c r="P98" s="43"/>
      <c r="Q98" s="44">
        <f>Funktional!AN98/Kennzahlen!H98</f>
        <v>61.127774005145227</v>
      </c>
      <c r="R98" s="46">
        <f t="shared" si="52"/>
        <v>0</v>
      </c>
      <c r="S98" s="365">
        <v>150319.15</v>
      </c>
      <c r="T98" s="365">
        <v>41757.800000000003</v>
      </c>
      <c r="U98" s="365">
        <v>7116.55</v>
      </c>
    </row>
    <row r="99" spans="1:21" x14ac:dyDescent="0.25">
      <c r="A99" t="str">
        <f>Funktional!A99</f>
        <v>Schlatt</v>
      </c>
      <c r="B99" t="str">
        <f>Funktional!B99</f>
        <v>PSG</v>
      </c>
      <c r="C99" s="366"/>
      <c r="D99" s="366">
        <v>57</v>
      </c>
      <c r="E99">
        <v>2</v>
      </c>
      <c r="F99" s="404">
        <v>124</v>
      </c>
      <c r="G99" s="404"/>
      <c r="H99" s="43">
        <f t="shared" si="47"/>
        <v>124</v>
      </c>
      <c r="I99" s="43">
        <f t="shared" si="48"/>
        <v>181</v>
      </c>
      <c r="J99" s="43">
        <f>Funktional!E99</f>
        <v>1451758.1437002434</v>
      </c>
      <c r="K99" s="44">
        <f>Funktional!G99</f>
        <v>11707.726965324544</v>
      </c>
      <c r="L99" s="44" t="e">
        <f t="shared" si="53"/>
        <v>#DIV/0!</v>
      </c>
      <c r="M99" s="365">
        <v>1678775.32</v>
      </c>
      <c r="N99" s="365">
        <v>1862640.42</v>
      </c>
      <c r="O99" s="44" t="e">
        <f t="shared" si="54"/>
        <v>#DIV/0!</v>
      </c>
      <c r="P99" s="43"/>
      <c r="Q99" s="44">
        <f>Funktional!AN99/Kennzahlen!H99</f>
        <v>18.588807164493012</v>
      </c>
      <c r="R99" s="46">
        <f t="shared" si="52"/>
        <v>0</v>
      </c>
      <c r="S99" s="365">
        <v>47444.32</v>
      </c>
      <c r="T99" s="365">
        <v>37274.800000000003</v>
      </c>
      <c r="U99" s="365">
        <v>3317.75</v>
      </c>
    </row>
    <row r="100" spans="1:21" x14ac:dyDescent="0.25">
      <c r="A100" t="str">
        <f>Funktional!A100</f>
        <v>Schlattingen</v>
      </c>
      <c r="B100" t="str">
        <f>Funktional!B100</f>
        <v>PSG</v>
      </c>
      <c r="C100" s="366"/>
      <c r="D100" s="366">
        <v>17</v>
      </c>
      <c r="E100">
        <v>2</v>
      </c>
      <c r="F100" s="404">
        <v>54</v>
      </c>
      <c r="G100" s="404"/>
      <c r="H100" s="43">
        <f t="shared" si="47"/>
        <v>54</v>
      </c>
      <c r="I100" s="43">
        <f t="shared" si="48"/>
        <v>71</v>
      </c>
      <c r="J100" s="43">
        <f>Funktional!E100</f>
        <v>645724.33577578247</v>
      </c>
      <c r="K100" s="44">
        <f>Funktional!G100</f>
        <v>11957.858069921898</v>
      </c>
      <c r="L100" s="44" t="e">
        <f t="shared" si="53"/>
        <v>#DIV/0!</v>
      </c>
      <c r="M100" s="365">
        <v>394853.15</v>
      </c>
      <c r="N100" s="365">
        <v>548407.15</v>
      </c>
      <c r="O100" s="44" t="e">
        <f t="shared" si="54"/>
        <v>#DIV/0!</v>
      </c>
      <c r="P100" s="43"/>
      <c r="Q100" s="44">
        <f>Funktional!AN100/Kennzahlen!H100</f>
        <v>135.02200646562949</v>
      </c>
      <c r="R100" s="46">
        <f t="shared" si="52"/>
        <v>0</v>
      </c>
      <c r="S100" s="365">
        <v>5862.5</v>
      </c>
      <c r="T100" s="365">
        <v>30188</v>
      </c>
      <c r="U100" s="365">
        <v>3380</v>
      </c>
    </row>
    <row r="101" spans="1:21" x14ac:dyDescent="0.25">
      <c r="A101" t="str">
        <f>Funktional!A101</f>
        <v>Schmidshof</v>
      </c>
      <c r="B101" t="str">
        <f>Funktional!B101</f>
        <v>PSG</v>
      </c>
      <c r="C101" s="366"/>
      <c r="D101" s="366">
        <v>0</v>
      </c>
      <c r="E101">
        <v>2</v>
      </c>
      <c r="F101" s="404">
        <v>21</v>
      </c>
      <c r="G101" s="404"/>
      <c r="H101" s="43">
        <f t="shared" si="47"/>
        <v>21</v>
      </c>
      <c r="I101" s="43">
        <f t="shared" si="48"/>
        <v>21</v>
      </c>
      <c r="J101" s="43">
        <f>Funktional!E101</f>
        <v>319232.10000000003</v>
      </c>
      <c r="K101" s="44">
        <f>Funktional!G101</f>
        <v>15201.528571428573</v>
      </c>
      <c r="L101" s="44" t="e">
        <f t="shared" si="53"/>
        <v>#DIV/0!</v>
      </c>
      <c r="M101" s="365">
        <v>162612.45000000001</v>
      </c>
      <c r="N101" s="365">
        <v>240259.42</v>
      </c>
      <c r="O101" s="44" t="e">
        <f t="shared" si="54"/>
        <v>#DIV/0!</v>
      </c>
      <c r="P101" s="43"/>
      <c r="Q101" s="44">
        <f>Funktional!AN101/Kennzahlen!H101</f>
        <v>60.495238095238101</v>
      </c>
      <c r="R101" s="46">
        <f t="shared" si="52"/>
        <v>0</v>
      </c>
      <c r="S101" s="365">
        <v>-10115.85</v>
      </c>
      <c r="T101" s="365">
        <v>8253.0499999999993</v>
      </c>
      <c r="U101" s="365">
        <v>2934.65</v>
      </c>
    </row>
    <row r="102" spans="1:21" x14ac:dyDescent="0.25">
      <c r="A102" t="str">
        <f>Funktional!A102</f>
        <v>Schönenberg-Kradolf</v>
      </c>
      <c r="B102" t="str">
        <f>Funktional!B102</f>
        <v>PSG</v>
      </c>
      <c r="C102" s="366"/>
      <c r="D102" s="366">
        <v>70</v>
      </c>
      <c r="E102">
        <v>2</v>
      </c>
      <c r="F102" s="404">
        <f>248-13</f>
        <v>235</v>
      </c>
      <c r="G102" s="404">
        <v>13</v>
      </c>
      <c r="H102" s="43">
        <f t="shared" ref="H102:H117" si="55">G102+F102</f>
        <v>248</v>
      </c>
      <c r="I102" s="43">
        <f t="shared" ref="I102:I117" si="56">H102+D102</f>
        <v>318</v>
      </c>
      <c r="J102" s="43">
        <f>Funktional!E102</f>
        <v>3131300.8175163558</v>
      </c>
      <c r="K102" s="44">
        <f>Funktional!G102</f>
        <v>12626.212973856273</v>
      </c>
      <c r="L102" s="44" t="e">
        <f t="shared" si="53"/>
        <v>#DIV/0!</v>
      </c>
      <c r="M102" s="365">
        <v>1364320.2</v>
      </c>
      <c r="N102" s="365">
        <v>2312407.12</v>
      </c>
      <c r="O102" s="44" t="e">
        <f t="shared" si="54"/>
        <v>#DIV/0!</v>
      </c>
      <c r="P102" s="43"/>
      <c r="Q102" s="44">
        <f>Funktional!AN102/Kennzahlen!H102</f>
        <v>84.31429334279126</v>
      </c>
      <c r="R102" s="46">
        <f t="shared" si="52"/>
        <v>5.2419354838709679E-2</v>
      </c>
      <c r="S102" s="365">
        <v>-129911.1</v>
      </c>
      <c r="T102" s="365">
        <v>29483.85</v>
      </c>
      <c r="U102" s="365">
        <v>39912.300000000003</v>
      </c>
    </row>
    <row r="103" spans="1:21" x14ac:dyDescent="0.25">
      <c r="A103" t="str">
        <f>Funktional!A103</f>
        <v>Schönholzerswilen</v>
      </c>
      <c r="B103" t="str">
        <f>Funktional!B103</f>
        <v>PSG</v>
      </c>
      <c r="C103" s="366"/>
      <c r="D103" s="366">
        <v>22</v>
      </c>
      <c r="E103">
        <v>2</v>
      </c>
      <c r="F103" s="404">
        <v>58</v>
      </c>
      <c r="G103" s="404"/>
      <c r="H103" s="43">
        <f t="shared" si="55"/>
        <v>58</v>
      </c>
      <c r="I103" s="43">
        <f t="shared" si="56"/>
        <v>80</v>
      </c>
      <c r="J103" s="43">
        <f>Funktional!E103</f>
        <v>764718.68850621185</v>
      </c>
      <c r="K103" s="44">
        <f>Funktional!G103</f>
        <v>13184.804974245031</v>
      </c>
      <c r="L103" s="44" t="e">
        <f t="shared" si="53"/>
        <v>#DIV/0!</v>
      </c>
      <c r="M103" s="365">
        <v>245386.45</v>
      </c>
      <c r="N103" s="365">
        <v>446157.18</v>
      </c>
      <c r="O103" s="44" t="e">
        <f t="shared" si="54"/>
        <v>#DIV/0!</v>
      </c>
      <c r="P103" s="43"/>
      <c r="Q103" s="44">
        <f>Funktional!AN103/Kennzahlen!H103</f>
        <v>50.746446274685937</v>
      </c>
      <c r="R103" s="46">
        <f t="shared" si="52"/>
        <v>0</v>
      </c>
      <c r="S103" s="365">
        <v>-34206.25</v>
      </c>
      <c r="T103" s="365">
        <v>119379.45</v>
      </c>
      <c r="U103" s="365">
        <v>1686.6</v>
      </c>
    </row>
    <row r="104" spans="1:21" x14ac:dyDescent="0.25">
      <c r="A104" t="str">
        <f>Funktional!A104</f>
        <v>Schurten</v>
      </c>
      <c r="B104" t="str">
        <f>Funktional!B104</f>
        <v>PSG</v>
      </c>
      <c r="C104" s="366"/>
      <c r="D104" s="366">
        <v>0</v>
      </c>
      <c r="E104">
        <v>1</v>
      </c>
      <c r="F104" s="404">
        <v>18</v>
      </c>
      <c r="G104" s="404"/>
      <c r="H104" s="43">
        <f t="shared" si="55"/>
        <v>18</v>
      </c>
      <c r="I104" s="43">
        <f t="shared" si="56"/>
        <v>18</v>
      </c>
      <c r="J104" s="43">
        <f>Funktional!E104</f>
        <v>250756.95</v>
      </c>
      <c r="K104" s="44">
        <f>Funktional!G104</f>
        <v>13930.941666666668</v>
      </c>
      <c r="L104" s="44" t="e">
        <f t="shared" si="53"/>
        <v>#DIV/0!</v>
      </c>
      <c r="M104" s="365">
        <v>39433.550000000003</v>
      </c>
      <c r="N104" s="365">
        <v>78867.100000000006</v>
      </c>
      <c r="O104" s="44" t="e">
        <f t="shared" si="54"/>
        <v>#DIV/0!</v>
      </c>
      <c r="P104" s="43"/>
      <c r="Q104" s="44">
        <f>Funktional!AN104/Kennzahlen!H104</f>
        <v>30.483333333333334</v>
      </c>
      <c r="R104" s="46">
        <f t="shared" si="52"/>
        <v>0</v>
      </c>
      <c r="S104" s="365">
        <v>-11465.5</v>
      </c>
      <c r="T104" s="365">
        <v>645</v>
      </c>
      <c r="U104" s="365">
        <v>240.3</v>
      </c>
    </row>
    <row r="105" spans="1:21" x14ac:dyDescent="0.25">
      <c r="A105" t="str">
        <f>Funktional!A105</f>
        <v>Sirnach</v>
      </c>
      <c r="B105" t="str">
        <f>Funktional!B105</f>
        <v>PSG</v>
      </c>
      <c r="C105" s="366"/>
      <c r="D105" s="366">
        <v>139</v>
      </c>
      <c r="E105">
        <v>2</v>
      </c>
      <c r="F105" s="404">
        <f>425-33</f>
        <v>392</v>
      </c>
      <c r="G105" s="404">
        <v>33</v>
      </c>
      <c r="H105" s="43">
        <f t="shared" si="55"/>
        <v>425</v>
      </c>
      <c r="I105" s="43">
        <f t="shared" si="56"/>
        <v>564</v>
      </c>
      <c r="J105" s="43">
        <f>Funktional!E105</f>
        <v>4303432.8792368025</v>
      </c>
      <c r="K105" s="44">
        <f>Funktional!G105</f>
        <v>10125.724421733652</v>
      </c>
      <c r="L105" s="44" t="e">
        <f t="shared" si="53"/>
        <v>#DIV/0!</v>
      </c>
      <c r="M105" s="365">
        <v>3659632.05</v>
      </c>
      <c r="N105" s="365">
        <v>6099386.75</v>
      </c>
      <c r="O105" s="44" t="e">
        <f t="shared" si="54"/>
        <v>#DIV/0!</v>
      </c>
      <c r="P105" s="43"/>
      <c r="Q105" s="44">
        <f>Funktional!AN105/Kennzahlen!H105</f>
        <v>37.834634785166017</v>
      </c>
      <c r="R105" s="46">
        <f t="shared" si="52"/>
        <v>7.7647058823529416E-2</v>
      </c>
      <c r="S105" s="365">
        <v>490081.95</v>
      </c>
      <c r="T105" s="365">
        <v>228424.85</v>
      </c>
      <c r="U105" s="365">
        <v>46829.25</v>
      </c>
    </row>
    <row r="106" spans="1:21" x14ac:dyDescent="0.25">
      <c r="A106" t="str">
        <f>Funktional!A106</f>
        <v>Sitterdorf</v>
      </c>
      <c r="B106" t="str">
        <f>Funktional!B106</f>
        <v>PSG</v>
      </c>
      <c r="C106" s="366"/>
      <c r="D106" s="366">
        <v>38</v>
      </c>
      <c r="E106">
        <v>1</v>
      </c>
      <c r="F106" s="404">
        <v>84</v>
      </c>
      <c r="G106" s="404"/>
      <c r="H106" s="43">
        <f t="shared" si="55"/>
        <v>84</v>
      </c>
      <c r="I106" s="43">
        <f t="shared" si="56"/>
        <v>122</v>
      </c>
      <c r="J106" s="43">
        <f>Funktional!E106</f>
        <v>1211688.6695258529</v>
      </c>
      <c r="K106" s="44">
        <f>Funktional!G106</f>
        <v>14424.865113403011</v>
      </c>
      <c r="L106" s="44" t="e">
        <f t="shared" si="53"/>
        <v>#DIV/0!</v>
      </c>
      <c r="M106" s="365">
        <v>707077.2</v>
      </c>
      <c r="N106" s="365">
        <v>1087811.08</v>
      </c>
      <c r="O106" s="44" t="e">
        <f t="shared" si="54"/>
        <v>#DIV/0!</v>
      </c>
      <c r="P106" s="43"/>
      <c r="Q106" s="44">
        <f>Funktional!AN106/Kennzahlen!H106</f>
        <v>50.303753210643585</v>
      </c>
      <c r="R106" s="46">
        <f t="shared" si="52"/>
        <v>0</v>
      </c>
      <c r="S106" s="365">
        <v>-103586.68</v>
      </c>
      <c r="T106" s="365">
        <v>14767</v>
      </c>
      <c r="U106" s="365">
        <v>13980.2</v>
      </c>
    </row>
    <row r="107" spans="1:21" x14ac:dyDescent="0.25">
      <c r="A107" t="str">
        <f>Funktional!A107</f>
        <v>Sommeri</v>
      </c>
      <c r="B107" t="str">
        <f>Funktional!B107</f>
        <v>PSG</v>
      </c>
      <c r="C107" s="366"/>
      <c r="D107" s="366">
        <v>13</v>
      </c>
      <c r="E107">
        <v>2</v>
      </c>
      <c r="F107" s="404">
        <v>50</v>
      </c>
      <c r="G107" s="404"/>
      <c r="H107" s="43">
        <f t="shared" si="55"/>
        <v>50</v>
      </c>
      <c r="I107" s="43">
        <f t="shared" si="56"/>
        <v>63</v>
      </c>
      <c r="J107" s="43">
        <f>Funktional!E107</f>
        <v>468067.89671632036</v>
      </c>
      <c r="K107" s="44">
        <f>Funktional!G107</f>
        <v>9361.3579343264064</v>
      </c>
      <c r="L107" s="44" t="e">
        <f t="shared" si="53"/>
        <v>#DIV/0!</v>
      </c>
      <c r="M107" s="365">
        <v>301274.75</v>
      </c>
      <c r="N107" s="365">
        <v>493893.03</v>
      </c>
      <c r="O107" s="44" t="e">
        <f t="shared" si="54"/>
        <v>#DIV/0!</v>
      </c>
      <c r="P107" s="43"/>
      <c r="Q107" s="44">
        <f>Funktional!AN107/Kennzahlen!H107</f>
        <v>53.492860374151569</v>
      </c>
      <c r="R107" s="46">
        <f t="shared" si="52"/>
        <v>0</v>
      </c>
      <c r="S107" s="365">
        <v>61348.65</v>
      </c>
      <c r="T107" s="365">
        <v>3657</v>
      </c>
      <c r="U107" s="365">
        <v>0</v>
      </c>
    </row>
    <row r="108" spans="1:21" x14ac:dyDescent="0.25">
      <c r="A108" t="str">
        <f>Funktional!A108</f>
        <v>Sonterswil</v>
      </c>
      <c r="B108" t="str">
        <f>Funktional!B108</f>
        <v>PSG</v>
      </c>
      <c r="C108" s="366"/>
      <c r="D108" s="366">
        <v>18</v>
      </c>
      <c r="E108">
        <v>1</v>
      </c>
      <c r="F108" s="404">
        <v>65</v>
      </c>
      <c r="G108" s="404"/>
      <c r="H108" s="43">
        <f t="shared" si="55"/>
        <v>65</v>
      </c>
      <c r="I108" s="43">
        <f t="shared" si="56"/>
        <v>83</v>
      </c>
      <c r="J108" s="43">
        <f>Funktional!E108</f>
        <v>636445.03129136492</v>
      </c>
      <c r="K108" s="44">
        <f>Funktional!G108</f>
        <v>9791.4620198671528</v>
      </c>
      <c r="L108" s="44" t="e">
        <f t="shared" si="53"/>
        <v>#DIV/0!</v>
      </c>
      <c r="M108" s="365">
        <v>272272</v>
      </c>
      <c r="N108" s="365">
        <v>642281.19999999995</v>
      </c>
      <c r="O108" s="44" t="e">
        <f t="shared" si="54"/>
        <v>#DIV/0!</v>
      </c>
      <c r="P108" s="43"/>
      <c r="Q108" s="44">
        <f>Funktional!AN108/Kennzahlen!H108</f>
        <v>94.263562283296508</v>
      </c>
      <c r="R108" s="46">
        <f t="shared" si="52"/>
        <v>0</v>
      </c>
      <c r="S108" s="365">
        <v>-213204.7</v>
      </c>
      <c r="T108" s="365">
        <v>22718.1</v>
      </c>
      <c r="U108" s="365">
        <v>1254.75</v>
      </c>
    </row>
    <row r="109" spans="1:21" x14ac:dyDescent="0.25">
      <c r="A109" t="str">
        <f>Funktional!A109</f>
        <v>Steckborn</v>
      </c>
      <c r="B109" t="str">
        <f>Funktional!B109</f>
        <v>PSG</v>
      </c>
      <c r="C109" s="366"/>
      <c r="D109" s="366">
        <v>64</v>
      </c>
      <c r="E109">
        <v>2</v>
      </c>
      <c r="F109" s="404">
        <f>310-31</f>
        <v>279</v>
      </c>
      <c r="G109" s="404">
        <v>31</v>
      </c>
      <c r="H109" s="43">
        <f t="shared" si="55"/>
        <v>310</v>
      </c>
      <c r="I109" s="43">
        <f t="shared" si="56"/>
        <v>374</v>
      </c>
      <c r="J109" s="43">
        <f>Funktional!E109</f>
        <v>3247830.0737528307</v>
      </c>
      <c r="K109" s="44">
        <f>Funktional!G109</f>
        <v>10476.871205654294</v>
      </c>
      <c r="L109" s="44" t="e">
        <f t="shared" ref="L109:L111" si="57">J109/C109</f>
        <v>#DIV/0!</v>
      </c>
      <c r="M109" s="365">
        <v>2858079.2</v>
      </c>
      <c r="N109" s="365">
        <v>4265789.8499999996</v>
      </c>
      <c r="O109" s="44" t="e">
        <f t="shared" ref="O109:O111" si="58">N109/C109</f>
        <v>#DIV/0!</v>
      </c>
      <c r="P109" s="43"/>
      <c r="Q109" s="44">
        <f>Funktional!AN109/Kennzahlen!H109</f>
        <v>65.393273371339603</v>
      </c>
      <c r="R109" s="46">
        <f t="shared" ref="R109:R110" si="59">G109/(G109+F109)</f>
        <v>0.1</v>
      </c>
      <c r="S109" s="365">
        <v>-312703.95</v>
      </c>
      <c r="T109" s="365">
        <v>58545.35</v>
      </c>
      <c r="U109" s="365">
        <v>14833.55</v>
      </c>
    </row>
    <row r="110" spans="1:21" x14ac:dyDescent="0.25">
      <c r="A110" t="str">
        <f>Funktional!A110</f>
        <v>Steinebrunn</v>
      </c>
      <c r="B110" t="str">
        <f>Funktional!B110</f>
        <v>PSG</v>
      </c>
      <c r="C110" s="366"/>
      <c r="D110" s="366">
        <v>19</v>
      </c>
      <c r="E110">
        <v>2</v>
      </c>
      <c r="F110" s="404">
        <v>64</v>
      </c>
      <c r="G110" s="404"/>
      <c r="H110" s="43">
        <f t="shared" si="55"/>
        <v>64</v>
      </c>
      <c r="I110" s="43">
        <f t="shared" si="56"/>
        <v>83</v>
      </c>
      <c r="J110" s="43">
        <f>Funktional!E110</f>
        <v>601630.65470111533</v>
      </c>
      <c r="K110" s="44">
        <f>Funktional!G110</f>
        <v>9400.478979704927</v>
      </c>
      <c r="L110" s="44" t="e">
        <f t="shared" si="57"/>
        <v>#DIV/0!</v>
      </c>
      <c r="M110" s="365">
        <v>320147.90000000002</v>
      </c>
      <c r="N110" s="365">
        <v>516367.58</v>
      </c>
      <c r="O110" s="44" t="e">
        <f t="shared" si="58"/>
        <v>#DIV/0!</v>
      </c>
      <c r="P110" s="43"/>
      <c r="Q110" s="44">
        <f>Funktional!AN110/Kennzahlen!H110</f>
        <v>69.719628188614678</v>
      </c>
      <c r="R110" s="46">
        <f t="shared" si="59"/>
        <v>0</v>
      </c>
      <c r="S110" s="365">
        <v>-135456.25</v>
      </c>
      <c r="T110" s="365">
        <v>10721.65</v>
      </c>
      <c r="U110" s="365">
        <v>1375.05</v>
      </c>
    </row>
    <row r="111" spans="1:21" x14ac:dyDescent="0.25">
      <c r="A111" t="str">
        <f>Funktional!A111</f>
        <v>Stettfurt</v>
      </c>
      <c r="B111" t="str">
        <f>Funktional!B111</f>
        <v>PSG</v>
      </c>
      <c r="C111" s="366"/>
      <c r="D111" s="366">
        <v>30</v>
      </c>
      <c r="E111">
        <v>2</v>
      </c>
      <c r="F111" s="404">
        <v>94</v>
      </c>
      <c r="G111" s="404"/>
      <c r="H111" s="43">
        <f t="shared" si="55"/>
        <v>94</v>
      </c>
      <c r="I111" s="43">
        <f t="shared" si="56"/>
        <v>124</v>
      </c>
      <c r="J111" s="43">
        <f>Funktional!E111</f>
        <v>825556.18705140508</v>
      </c>
      <c r="K111" s="44">
        <f>Funktional!G111</f>
        <v>8782.5126282064375</v>
      </c>
      <c r="L111" s="44" t="e">
        <f t="shared" si="57"/>
        <v>#DIV/0!</v>
      </c>
      <c r="M111" s="365">
        <v>964166.25</v>
      </c>
      <c r="N111" s="365">
        <v>1634180.08</v>
      </c>
      <c r="O111" s="44" t="e">
        <f t="shared" si="58"/>
        <v>#DIV/0!</v>
      </c>
      <c r="P111" s="43"/>
      <c r="Q111" s="44">
        <f>Funktional!AN111/Kennzahlen!H111</f>
        <v>44.886143254410662</v>
      </c>
      <c r="R111" s="46">
        <f t="shared" ref="R111:R126" si="60">G111/(G111+F111)</f>
        <v>0</v>
      </c>
      <c r="S111" s="365">
        <v>12959.2</v>
      </c>
      <c r="T111" s="365">
        <v>22343.05</v>
      </c>
      <c r="U111" s="365">
        <v>75.3</v>
      </c>
    </row>
    <row r="112" spans="1:21" x14ac:dyDescent="0.25">
      <c r="A112" t="str">
        <f>Funktional!A112</f>
        <v>Strohwilen-Wolfikon</v>
      </c>
      <c r="B112" t="str">
        <f>Funktional!B112</f>
        <v>PSG</v>
      </c>
      <c r="C112" s="366"/>
      <c r="D112" s="366">
        <v>16</v>
      </c>
      <c r="E112">
        <v>2</v>
      </c>
      <c r="F112" s="404">
        <v>20</v>
      </c>
      <c r="G112" s="404"/>
      <c r="H112" s="43">
        <f t="shared" si="55"/>
        <v>20</v>
      </c>
      <c r="I112" s="43">
        <f t="shared" si="56"/>
        <v>36</v>
      </c>
      <c r="J112" s="43">
        <f>Funktional!E112</f>
        <v>241527.33442594134</v>
      </c>
      <c r="K112" s="44">
        <f>Funktional!G112</f>
        <v>12076.366721297067</v>
      </c>
      <c r="L112" s="44" t="e">
        <f t="shared" ref="L112:L127" si="61">J112/C112</f>
        <v>#DIV/0!</v>
      </c>
      <c r="M112" s="365">
        <v>141613.85</v>
      </c>
      <c r="N112" s="365">
        <v>224783.89</v>
      </c>
      <c r="O112" s="44" t="e">
        <f t="shared" ref="O112:O127" si="62">N112/C112</f>
        <v>#DIV/0!</v>
      </c>
      <c r="P112" s="43"/>
      <c r="Q112" s="44">
        <f>Funktional!AN112/Kennzahlen!H112</f>
        <v>71.819620862954523</v>
      </c>
      <c r="R112" s="46">
        <f t="shared" si="60"/>
        <v>0</v>
      </c>
      <c r="S112" s="365">
        <v>60791.35</v>
      </c>
      <c r="T112" s="365">
        <v>6732.05</v>
      </c>
      <c r="U112" s="365">
        <v>3361.45</v>
      </c>
    </row>
    <row r="113" spans="1:21" x14ac:dyDescent="0.25">
      <c r="A113" t="str">
        <f>Funktional!A113</f>
        <v>Sulgen</v>
      </c>
      <c r="B113" t="str">
        <f>Funktional!B113</f>
        <v>PSG</v>
      </c>
      <c r="C113" s="366"/>
      <c r="D113" s="366">
        <v>98</v>
      </c>
      <c r="E113">
        <v>1</v>
      </c>
      <c r="F113" s="404">
        <f>256-24</f>
        <v>232</v>
      </c>
      <c r="G113" s="404">
        <v>24</v>
      </c>
      <c r="H113" s="43">
        <f t="shared" si="55"/>
        <v>256</v>
      </c>
      <c r="I113" s="43">
        <f t="shared" si="56"/>
        <v>354</v>
      </c>
      <c r="J113" s="43">
        <f>Funktional!E113</f>
        <v>2925785.4328185953</v>
      </c>
      <c r="K113" s="44">
        <f>Funktional!G113</f>
        <v>11428.849346947638</v>
      </c>
      <c r="L113" s="44" t="e">
        <f t="shared" si="61"/>
        <v>#DIV/0!</v>
      </c>
      <c r="M113" s="365">
        <v>2454417.9500000002</v>
      </c>
      <c r="N113" s="365">
        <v>3557127.46</v>
      </c>
      <c r="O113" s="44" t="e">
        <f t="shared" si="62"/>
        <v>#DIV/0!</v>
      </c>
      <c r="P113" s="43"/>
      <c r="Q113" s="44">
        <f>Funktional!AN113/Kennzahlen!H113</f>
        <v>63.366794197140095</v>
      </c>
      <c r="R113" s="46">
        <f t="shared" si="60"/>
        <v>9.375E-2</v>
      </c>
      <c r="S113" s="365">
        <v>94682.9</v>
      </c>
      <c r="T113" s="365">
        <v>40586.550000000003</v>
      </c>
      <c r="U113" s="365">
        <v>0</v>
      </c>
    </row>
    <row r="114" spans="1:21" x14ac:dyDescent="0.25">
      <c r="A114" t="str">
        <f>Funktional!A114</f>
        <v>Tägerwilen</v>
      </c>
      <c r="B114" t="str">
        <f>Funktional!B114</f>
        <v>PSG</v>
      </c>
      <c r="C114" s="366"/>
      <c r="D114" s="366">
        <v>93</v>
      </c>
      <c r="E114">
        <v>2</v>
      </c>
      <c r="F114" s="404">
        <v>300</v>
      </c>
      <c r="G114" s="404"/>
      <c r="H114" s="43">
        <f t="shared" si="55"/>
        <v>300</v>
      </c>
      <c r="I114" s="43">
        <f t="shared" si="56"/>
        <v>393</v>
      </c>
      <c r="J114" s="43">
        <f>Funktional!E114</f>
        <v>2836509.8325158642</v>
      </c>
      <c r="K114" s="44">
        <f>Funktional!G114</f>
        <v>9455.0327750528813</v>
      </c>
      <c r="L114" s="44" t="e">
        <f t="shared" si="61"/>
        <v>#DIV/0!</v>
      </c>
      <c r="M114" s="365">
        <v>2785419.5</v>
      </c>
      <c r="N114" s="365">
        <v>4492612.0999999996</v>
      </c>
      <c r="O114" s="44" t="e">
        <f t="shared" si="62"/>
        <v>#DIV/0!</v>
      </c>
      <c r="P114" s="43"/>
      <c r="Q114" s="44">
        <f>Funktional!AN114/Kennzahlen!H114</f>
        <v>105.64487882205486</v>
      </c>
      <c r="R114" s="46">
        <f t="shared" si="60"/>
        <v>0</v>
      </c>
      <c r="S114" s="365">
        <v>-687461.85</v>
      </c>
      <c r="T114" s="365">
        <v>102828.9</v>
      </c>
      <c r="U114" s="365">
        <v>44622.95</v>
      </c>
    </row>
    <row r="115" spans="1:21" x14ac:dyDescent="0.25">
      <c r="A115" t="str">
        <f>Funktional!A115</f>
        <v>Thundorf</v>
      </c>
      <c r="B115" t="str">
        <f>Funktional!B115</f>
        <v>PSG</v>
      </c>
      <c r="C115" s="366"/>
      <c r="D115" s="366">
        <v>38</v>
      </c>
      <c r="E115">
        <v>2</v>
      </c>
      <c r="F115" s="404">
        <v>102</v>
      </c>
      <c r="G115" s="404"/>
      <c r="H115" s="43">
        <f t="shared" si="55"/>
        <v>102</v>
      </c>
      <c r="I115" s="43">
        <f t="shared" si="56"/>
        <v>140</v>
      </c>
      <c r="J115" s="43">
        <f>Funktional!E115</f>
        <v>1320379.6279580165</v>
      </c>
      <c r="K115" s="44">
        <f>Funktional!G115</f>
        <v>12944.898313313886</v>
      </c>
      <c r="L115" s="44" t="e">
        <f t="shared" si="61"/>
        <v>#DIV/0!</v>
      </c>
      <c r="M115" s="365">
        <v>848195.75</v>
      </c>
      <c r="N115" s="365">
        <v>1437619.92</v>
      </c>
      <c r="O115" s="44" t="e">
        <f t="shared" si="62"/>
        <v>#DIV/0!</v>
      </c>
      <c r="P115" s="43"/>
      <c r="Q115" s="44">
        <f>Funktional!AN115/Kennzahlen!H115</f>
        <v>45.154400866889603</v>
      </c>
      <c r="R115" s="46">
        <f t="shared" si="60"/>
        <v>0</v>
      </c>
      <c r="S115" s="365">
        <v>4773.74</v>
      </c>
      <c r="T115" s="365">
        <v>5144</v>
      </c>
      <c r="U115" s="365">
        <v>11912.15</v>
      </c>
    </row>
    <row r="116" spans="1:21" x14ac:dyDescent="0.25">
      <c r="A116" t="str">
        <f>Funktional!A116</f>
        <v>Tobel</v>
      </c>
      <c r="B116" t="str">
        <f>Funktional!B116</f>
        <v>PSG</v>
      </c>
      <c r="C116" s="366"/>
      <c r="D116" s="366">
        <v>20</v>
      </c>
      <c r="E116">
        <v>1</v>
      </c>
      <c r="F116" s="404">
        <v>130</v>
      </c>
      <c r="G116" s="404"/>
      <c r="H116" s="43">
        <f t="shared" si="55"/>
        <v>130</v>
      </c>
      <c r="I116" s="43">
        <f t="shared" si="56"/>
        <v>150</v>
      </c>
      <c r="J116" s="43">
        <f>Funktional!E116</f>
        <v>1248033.1538363472</v>
      </c>
      <c r="K116" s="44">
        <f>Funktional!G116</f>
        <v>9600.2550295103629</v>
      </c>
      <c r="L116" s="44" t="e">
        <f t="shared" si="61"/>
        <v>#DIV/0!</v>
      </c>
      <c r="M116" s="365">
        <v>1170307.3500000001</v>
      </c>
      <c r="N116" s="365">
        <v>1500977.57</v>
      </c>
      <c r="O116" s="44" t="e">
        <f t="shared" si="62"/>
        <v>#DIV/0!</v>
      </c>
      <c r="P116" s="43"/>
      <c r="Q116" s="44">
        <f>Funktional!AN116/Kennzahlen!H116</f>
        <v>9.543273010131454</v>
      </c>
      <c r="R116" s="46">
        <f t="shared" si="60"/>
        <v>0</v>
      </c>
      <c r="S116" s="365">
        <v>228845.04</v>
      </c>
      <c r="T116" s="365">
        <v>50104</v>
      </c>
      <c r="U116" s="365">
        <v>11227.85</v>
      </c>
    </row>
    <row r="117" spans="1:21" x14ac:dyDescent="0.25">
      <c r="A117" t="str">
        <f>Funktional!A117</f>
        <v>Uesslingen</v>
      </c>
      <c r="B117" t="str">
        <f>Funktional!B117</f>
        <v>PSG</v>
      </c>
      <c r="C117" s="366"/>
      <c r="D117" s="366">
        <v>39</v>
      </c>
      <c r="E117">
        <v>2</v>
      </c>
      <c r="F117" s="404">
        <v>73</v>
      </c>
      <c r="G117" s="404"/>
      <c r="H117" s="43">
        <f t="shared" si="55"/>
        <v>73</v>
      </c>
      <c r="I117" s="43">
        <f t="shared" si="56"/>
        <v>112</v>
      </c>
      <c r="J117" s="43">
        <f>Funktional!E117</f>
        <v>729832.82253283937</v>
      </c>
      <c r="K117" s="44">
        <f>Funktional!G117</f>
        <v>9997.7098977101286</v>
      </c>
      <c r="L117" s="44" t="e">
        <f t="shared" si="61"/>
        <v>#DIV/0!</v>
      </c>
      <c r="M117" s="365">
        <v>545061.5</v>
      </c>
      <c r="N117" s="365">
        <v>838556.15</v>
      </c>
      <c r="O117" s="44" t="e">
        <f t="shared" si="62"/>
        <v>#DIV/0!</v>
      </c>
      <c r="P117" s="43"/>
      <c r="Q117" s="44">
        <f>Funktional!AN117/Kennzahlen!H117</f>
        <v>35.152083059653052</v>
      </c>
      <c r="R117" s="46">
        <f t="shared" si="60"/>
        <v>0</v>
      </c>
      <c r="S117" s="365">
        <v>-14410.15</v>
      </c>
      <c r="T117" s="365">
        <v>40189.550000000003</v>
      </c>
      <c r="U117" s="365">
        <v>7370.8</v>
      </c>
    </row>
    <row r="118" spans="1:21" x14ac:dyDescent="0.25">
      <c r="A118" t="str">
        <f>Funktional!A118</f>
        <v>Uttwil</v>
      </c>
      <c r="B118" t="str">
        <f>Funktional!B118</f>
        <v>PSG</v>
      </c>
      <c r="C118" s="366"/>
      <c r="D118" s="366">
        <v>44</v>
      </c>
      <c r="E118">
        <v>2</v>
      </c>
      <c r="F118" s="404">
        <v>124</v>
      </c>
      <c r="G118" s="404"/>
      <c r="H118" s="43">
        <f t="shared" ref="H118:H129" si="63">G118+F118</f>
        <v>124</v>
      </c>
      <c r="I118" s="43">
        <f t="shared" ref="I118:I129" si="64">H118+D118</f>
        <v>168</v>
      </c>
      <c r="J118" s="43">
        <f>Funktional!E118</f>
        <v>1276342.9158494165</v>
      </c>
      <c r="K118" s="44">
        <f>Funktional!G118</f>
        <v>10293.088031043682</v>
      </c>
      <c r="L118" s="44" t="e">
        <f t="shared" si="61"/>
        <v>#DIV/0!</v>
      </c>
      <c r="M118" s="365">
        <v>1270104.8500000001</v>
      </c>
      <c r="N118" s="365">
        <v>2082139.1</v>
      </c>
      <c r="O118" s="44" t="e">
        <f t="shared" si="62"/>
        <v>#DIV/0!</v>
      </c>
      <c r="P118" s="43"/>
      <c r="Q118" s="44">
        <f>Funktional!AN118/Kennzahlen!H118</f>
        <v>51.797484501899412</v>
      </c>
      <c r="R118" s="46">
        <f t="shared" si="60"/>
        <v>0</v>
      </c>
      <c r="S118" s="365">
        <v>-67076.45</v>
      </c>
      <c r="T118" s="365">
        <v>32539.75</v>
      </c>
      <c r="U118" s="365">
        <v>14150.05</v>
      </c>
    </row>
    <row r="119" spans="1:21" x14ac:dyDescent="0.25">
      <c r="A119" t="str">
        <f>Funktional!A119</f>
        <v>Wagenhausen-Rheinklingen</v>
      </c>
      <c r="B119" t="str">
        <f>Funktional!B119</f>
        <v>PSG</v>
      </c>
      <c r="C119" s="366"/>
      <c r="D119" s="366">
        <v>18</v>
      </c>
      <c r="E119">
        <v>2</v>
      </c>
      <c r="F119" s="404">
        <v>60</v>
      </c>
      <c r="G119" s="404"/>
      <c r="H119" s="43">
        <f t="shared" si="63"/>
        <v>60</v>
      </c>
      <c r="I119" s="43">
        <f t="shared" si="64"/>
        <v>78</v>
      </c>
      <c r="J119" s="43">
        <f>Funktional!E119</f>
        <v>672538.90775321331</v>
      </c>
      <c r="K119" s="44">
        <f>Funktional!G119</f>
        <v>11208.981795886888</v>
      </c>
      <c r="L119" s="44" t="e">
        <f t="shared" si="61"/>
        <v>#DIV/0!</v>
      </c>
      <c r="M119" s="365">
        <v>577173.5</v>
      </c>
      <c r="N119" s="365">
        <v>824533.57</v>
      </c>
      <c r="O119" s="44" t="e">
        <f t="shared" si="62"/>
        <v>#DIV/0!</v>
      </c>
      <c r="P119" s="43"/>
      <c r="Q119" s="44">
        <f>Funktional!AN119/Kennzahlen!H119</f>
        <v>38.213935489567902</v>
      </c>
      <c r="R119" s="46">
        <f t="shared" si="60"/>
        <v>0</v>
      </c>
      <c r="S119" s="365">
        <v>-42022.55</v>
      </c>
      <c r="T119" s="365">
        <v>9410.35</v>
      </c>
      <c r="U119" s="365">
        <v>4668.2</v>
      </c>
    </row>
    <row r="120" spans="1:21" x14ac:dyDescent="0.25">
      <c r="A120" t="str">
        <f>Funktional!A120</f>
        <v>Wäldi</v>
      </c>
      <c r="B120" t="str">
        <f>Funktional!B120</f>
        <v>PSG</v>
      </c>
      <c r="C120" s="366"/>
      <c r="D120" s="366">
        <v>0</v>
      </c>
      <c r="E120">
        <v>1</v>
      </c>
      <c r="F120" s="404">
        <v>35</v>
      </c>
      <c r="G120" s="404"/>
      <c r="H120" s="43">
        <f t="shared" si="63"/>
        <v>35</v>
      </c>
      <c r="I120" s="43">
        <f t="shared" si="64"/>
        <v>35</v>
      </c>
      <c r="J120" s="43">
        <f>Funktional!E120</f>
        <v>273549.34999999998</v>
      </c>
      <c r="K120" s="44">
        <f>Funktional!G120</f>
        <v>7815.6957142857136</v>
      </c>
      <c r="L120" s="44" t="e">
        <f t="shared" si="61"/>
        <v>#DIV/0!</v>
      </c>
      <c r="M120" s="365">
        <v>216181.45</v>
      </c>
      <c r="N120" s="365">
        <v>308830.64</v>
      </c>
      <c r="O120" s="44" t="e">
        <f t="shared" si="62"/>
        <v>#DIV/0!</v>
      </c>
      <c r="P120" s="43"/>
      <c r="Q120" s="44">
        <f>Funktional!AN120/Kennzahlen!H120</f>
        <v>57.928571428571431</v>
      </c>
      <c r="R120" s="46">
        <f t="shared" si="60"/>
        <v>0</v>
      </c>
      <c r="S120" s="365">
        <v>54936.75</v>
      </c>
      <c r="T120" s="365">
        <v>6671.4</v>
      </c>
      <c r="U120" s="365">
        <v>2082.35</v>
      </c>
    </row>
    <row r="121" spans="1:21" x14ac:dyDescent="0.25">
      <c r="A121" t="str">
        <f>Funktional!A121</f>
        <v>Warth-Weiningen</v>
      </c>
      <c r="B121" t="str">
        <f>Funktional!B121</f>
        <v>PSG</v>
      </c>
      <c r="C121" s="366"/>
      <c r="D121" s="366">
        <v>29</v>
      </c>
      <c r="E121">
        <v>2</v>
      </c>
      <c r="F121" s="404">
        <v>113</v>
      </c>
      <c r="G121" s="404"/>
      <c r="H121" s="43">
        <f t="shared" si="63"/>
        <v>113</v>
      </c>
      <c r="I121" s="43">
        <f t="shared" si="64"/>
        <v>142</v>
      </c>
      <c r="J121" s="43">
        <f>Funktional!E121</f>
        <v>1044318.1497581545</v>
      </c>
      <c r="K121" s="44">
        <f>Funktional!G121</f>
        <v>9241.7535376827836</v>
      </c>
      <c r="L121" s="44" t="e">
        <f t="shared" si="61"/>
        <v>#DIV/0!</v>
      </c>
      <c r="M121" s="365">
        <v>1184000.6000000001</v>
      </c>
      <c r="N121" s="365">
        <v>1850000.94</v>
      </c>
      <c r="O121" s="44" t="e">
        <f t="shared" si="62"/>
        <v>#DIV/0!</v>
      </c>
      <c r="P121" s="43"/>
      <c r="Q121" s="44">
        <f>Funktional!AN121/Kennzahlen!H121</f>
        <v>37.212261759880121</v>
      </c>
      <c r="R121" s="46">
        <f t="shared" si="60"/>
        <v>0</v>
      </c>
      <c r="S121" s="365">
        <v>123644.25</v>
      </c>
      <c r="T121" s="365">
        <v>39166.449999999997</v>
      </c>
      <c r="U121" s="365">
        <v>2179.35</v>
      </c>
    </row>
    <row r="122" spans="1:21" x14ac:dyDescent="0.25">
      <c r="A122" t="str">
        <f>Funktional!A122</f>
        <v>Weinfelden</v>
      </c>
      <c r="B122" t="str">
        <f>Funktional!B122</f>
        <v>PSG</v>
      </c>
      <c r="C122" s="366"/>
      <c r="D122" s="366">
        <v>222</v>
      </c>
      <c r="E122">
        <v>2</v>
      </c>
      <c r="F122" s="404">
        <f>694-30</f>
        <v>664</v>
      </c>
      <c r="G122" s="404">
        <v>30</v>
      </c>
      <c r="H122" s="43">
        <f t="shared" si="63"/>
        <v>694</v>
      </c>
      <c r="I122" s="43">
        <f t="shared" si="64"/>
        <v>916</v>
      </c>
      <c r="J122" s="43">
        <f>Funktional!E122</f>
        <v>6293347.3341393759</v>
      </c>
      <c r="K122" s="44">
        <f>Funktional!G122</f>
        <v>9068.2238244083219</v>
      </c>
      <c r="L122" s="44" t="e">
        <f t="shared" si="61"/>
        <v>#DIV/0!</v>
      </c>
      <c r="M122" s="365">
        <v>7853685.5</v>
      </c>
      <c r="N122" s="365">
        <v>17452634.440000001</v>
      </c>
      <c r="O122" s="44" t="e">
        <f t="shared" si="62"/>
        <v>#DIV/0!</v>
      </c>
      <c r="P122" s="43"/>
      <c r="Q122" s="44">
        <f>Funktional!AN122/Kennzahlen!H122</f>
        <v>41.766656841877683</v>
      </c>
      <c r="R122" s="46">
        <f t="shared" si="60"/>
        <v>4.3227665706051875E-2</v>
      </c>
      <c r="S122" s="365">
        <v>-93479.55</v>
      </c>
      <c r="T122" s="365">
        <v>200755.7</v>
      </c>
      <c r="U122" s="365">
        <v>62164.15</v>
      </c>
    </row>
    <row r="123" spans="1:21" x14ac:dyDescent="0.25">
      <c r="A123" t="str">
        <f>Funktional!A123</f>
        <v>Wigoltingen</v>
      </c>
      <c r="B123" t="str">
        <f>Funktional!B123</f>
        <v>PSG</v>
      </c>
      <c r="C123" s="366"/>
      <c r="D123" s="366">
        <v>51</v>
      </c>
      <c r="E123">
        <v>2</v>
      </c>
      <c r="F123" s="404">
        <v>132</v>
      </c>
      <c r="G123" s="404"/>
      <c r="H123" s="43">
        <f t="shared" si="63"/>
        <v>132</v>
      </c>
      <c r="I123" s="43">
        <f t="shared" si="64"/>
        <v>183</v>
      </c>
      <c r="J123" s="43">
        <f>Funktional!E123</f>
        <v>1660204.6194130699</v>
      </c>
      <c r="K123" s="44">
        <f>Funktional!G123</f>
        <v>12577.307722826286</v>
      </c>
      <c r="L123" s="44" t="e">
        <f t="shared" si="61"/>
        <v>#DIV/0!</v>
      </c>
      <c r="M123" s="365">
        <v>906649.7</v>
      </c>
      <c r="N123" s="365">
        <v>1743557.12</v>
      </c>
      <c r="O123" s="44" t="e">
        <f t="shared" si="62"/>
        <v>#DIV/0!</v>
      </c>
      <c r="P123" s="43"/>
      <c r="Q123" s="44">
        <f>Funktional!AN123/Kennzahlen!H123</f>
        <v>31.409594134272442</v>
      </c>
      <c r="R123" s="46">
        <f t="shared" si="60"/>
        <v>0</v>
      </c>
      <c r="S123" s="365">
        <v>-364709.5</v>
      </c>
      <c r="T123" s="365">
        <v>93926.5</v>
      </c>
      <c r="U123" s="365">
        <v>11845.55</v>
      </c>
    </row>
    <row r="124" spans="1:21" x14ac:dyDescent="0.25">
      <c r="A124" t="str">
        <f>Funktional!A124</f>
        <v>Wilen bei Wil</v>
      </c>
      <c r="B124" t="str">
        <f>Funktional!B124</f>
        <v>PSG</v>
      </c>
      <c r="C124" s="366"/>
      <c r="D124" s="366">
        <v>53</v>
      </c>
      <c r="E124">
        <v>2</v>
      </c>
      <c r="F124" s="404">
        <v>163</v>
      </c>
      <c r="G124" s="404"/>
      <c r="H124" s="43">
        <f t="shared" si="63"/>
        <v>163</v>
      </c>
      <c r="I124" s="43">
        <f t="shared" si="64"/>
        <v>216</v>
      </c>
      <c r="J124" s="43">
        <f>Funktional!E124</f>
        <v>1470541.5560100416</v>
      </c>
      <c r="K124" s="44">
        <f>Funktional!G124</f>
        <v>9021.7273374849174</v>
      </c>
      <c r="L124" s="44" t="e">
        <f t="shared" si="61"/>
        <v>#DIV/0!</v>
      </c>
      <c r="M124" s="365">
        <v>1550596.2</v>
      </c>
      <c r="N124" s="365">
        <v>2095400.27</v>
      </c>
      <c r="O124" s="44" t="e">
        <f t="shared" si="62"/>
        <v>#DIV/0!</v>
      </c>
      <c r="P124" s="43"/>
      <c r="Q124" s="44">
        <f>Funktional!AN124/Kennzahlen!H124</f>
        <v>53.811028459578665</v>
      </c>
      <c r="R124" s="46">
        <f t="shared" si="60"/>
        <v>0</v>
      </c>
      <c r="S124" s="365">
        <v>176643.85</v>
      </c>
      <c r="T124" s="365">
        <v>54266.7</v>
      </c>
      <c r="U124" s="365">
        <v>3372.8</v>
      </c>
    </row>
    <row r="125" spans="1:21" x14ac:dyDescent="0.25">
      <c r="A125" t="str">
        <f>Funktional!A125</f>
        <v>Wittenwil</v>
      </c>
      <c r="B125" t="str">
        <f>Funktional!B125</f>
        <v>PSG</v>
      </c>
      <c r="C125" s="366"/>
      <c r="D125" s="366">
        <v>17</v>
      </c>
      <c r="E125">
        <v>2</v>
      </c>
      <c r="F125" s="404">
        <v>38</v>
      </c>
      <c r="G125" s="404"/>
      <c r="H125" s="43">
        <f t="shared" si="63"/>
        <v>38</v>
      </c>
      <c r="I125" s="43">
        <f t="shared" si="64"/>
        <v>55</v>
      </c>
      <c r="J125" s="43">
        <f>Funktional!E125</f>
        <v>372838.0424302445</v>
      </c>
      <c r="K125" s="44">
        <f>Funktional!G125</f>
        <v>9811.5274323748545</v>
      </c>
      <c r="L125" s="44" t="e">
        <f t="shared" si="61"/>
        <v>#DIV/0!</v>
      </c>
      <c r="M125" s="365">
        <v>254627.6</v>
      </c>
      <c r="N125" s="365">
        <v>489668.46</v>
      </c>
      <c r="O125" s="44" t="e">
        <f t="shared" si="62"/>
        <v>#DIV/0!</v>
      </c>
      <c r="P125" s="43"/>
      <c r="Q125" s="44">
        <f>Funktional!AN125/Kennzahlen!H125</f>
        <v>27.486256825015438</v>
      </c>
      <c r="R125" s="46">
        <f t="shared" si="60"/>
        <v>0</v>
      </c>
      <c r="S125" s="365">
        <v>-71351</v>
      </c>
      <c r="T125" s="365">
        <v>7991.35</v>
      </c>
      <c r="U125" s="365">
        <v>3041.3</v>
      </c>
    </row>
    <row r="126" spans="1:21" x14ac:dyDescent="0.25">
      <c r="A126" t="str">
        <f>Funktional!A126</f>
        <v>Wuppenau</v>
      </c>
      <c r="B126" t="str">
        <f>Funktional!B126</f>
        <v>PSG</v>
      </c>
      <c r="C126" s="366"/>
      <c r="D126" s="366">
        <v>21</v>
      </c>
      <c r="E126">
        <v>1</v>
      </c>
      <c r="F126" s="404">
        <v>131</v>
      </c>
      <c r="G126" s="404"/>
      <c r="H126" s="43">
        <f t="shared" si="63"/>
        <v>131</v>
      </c>
      <c r="I126" s="43">
        <f t="shared" si="64"/>
        <v>152</v>
      </c>
      <c r="J126" s="43">
        <f>Funktional!E126</f>
        <v>1439747.585931815</v>
      </c>
      <c r="K126" s="44">
        <f>Funktional!G126</f>
        <v>10990.439587265762</v>
      </c>
      <c r="L126" s="44" t="e">
        <f t="shared" si="61"/>
        <v>#DIV/0!</v>
      </c>
      <c r="M126" s="365">
        <v>633746.4</v>
      </c>
      <c r="N126" s="365">
        <v>1152266.18</v>
      </c>
      <c r="O126" s="44" t="e">
        <f t="shared" si="62"/>
        <v>#DIV/0!</v>
      </c>
      <c r="P126" s="43"/>
      <c r="Q126" s="44">
        <f>Funktional!AN126/Kennzahlen!H126</f>
        <v>38.11879543896741</v>
      </c>
      <c r="R126" s="46">
        <f t="shared" si="60"/>
        <v>0</v>
      </c>
      <c r="S126" s="365">
        <v>-755.1</v>
      </c>
      <c r="T126" s="365">
        <v>85017.65</v>
      </c>
      <c r="U126" s="365">
        <v>0</v>
      </c>
    </row>
    <row r="127" spans="1:21" x14ac:dyDescent="0.25">
      <c r="A127" t="str">
        <f>Funktional!A127</f>
        <v>Zezikon</v>
      </c>
      <c r="B127" t="str">
        <f>Funktional!B127</f>
        <v>PSG</v>
      </c>
      <c r="C127" s="366"/>
      <c r="D127" s="366">
        <v>0</v>
      </c>
      <c r="E127">
        <v>2</v>
      </c>
      <c r="F127" s="404">
        <v>41</v>
      </c>
      <c r="G127" s="404"/>
      <c r="H127" s="43">
        <f t="shared" si="63"/>
        <v>41</v>
      </c>
      <c r="I127" s="43">
        <f t="shared" si="64"/>
        <v>41</v>
      </c>
      <c r="J127" s="43">
        <f>Funktional!E127</f>
        <v>453417.64999999997</v>
      </c>
      <c r="K127" s="44">
        <f>Funktional!G127</f>
        <v>11058.96707317073</v>
      </c>
      <c r="L127" s="44" t="e">
        <f t="shared" si="61"/>
        <v>#DIV/0!</v>
      </c>
      <c r="M127" s="365">
        <v>205289.3</v>
      </c>
      <c r="N127" s="365">
        <v>284189.19</v>
      </c>
      <c r="O127" s="44" t="e">
        <f t="shared" si="62"/>
        <v>#DIV/0!</v>
      </c>
      <c r="P127" s="43"/>
      <c r="Q127" s="44">
        <f>Funktional!AN127/Kennzahlen!H127</f>
        <v>22.921951219512195</v>
      </c>
      <c r="R127" s="46">
        <f t="shared" ref="R127:R129" si="65">G127/(G127+F127)</f>
        <v>0</v>
      </c>
      <c r="S127" s="365">
        <v>70871.149999999994</v>
      </c>
      <c r="T127" s="365">
        <v>10457.65</v>
      </c>
      <c r="U127" s="365">
        <v>-311.39999999999998</v>
      </c>
    </row>
    <row r="128" spans="1:21" x14ac:dyDescent="0.25">
      <c r="A128" t="str">
        <f>Funktional!A128</f>
        <v>Zihlschlacht</v>
      </c>
      <c r="B128" t="str">
        <f>Funktional!B128</f>
        <v>PSG</v>
      </c>
      <c r="C128" s="366"/>
      <c r="D128" s="366">
        <v>17</v>
      </c>
      <c r="E128">
        <v>1</v>
      </c>
      <c r="F128" s="404">
        <v>97</v>
      </c>
      <c r="G128" s="404"/>
      <c r="H128" s="43">
        <f t="shared" si="63"/>
        <v>97</v>
      </c>
      <c r="I128" s="43">
        <f t="shared" si="64"/>
        <v>114</v>
      </c>
      <c r="J128" s="43">
        <f>Funktional!E128</f>
        <v>1119159.2356540146</v>
      </c>
      <c r="K128" s="44">
        <f>Funktional!G128</f>
        <v>11537.724078907368</v>
      </c>
      <c r="L128" s="44" t="e">
        <f t="shared" ref="L128:L130" si="66">J128/C128</f>
        <v>#DIV/0!</v>
      </c>
      <c r="M128" s="365">
        <v>737009.35</v>
      </c>
      <c r="N128" s="365">
        <v>1133860.54</v>
      </c>
      <c r="O128" s="44" t="e">
        <f t="shared" ref="O128:O130" si="67">N128/C128</f>
        <v>#DIV/0!</v>
      </c>
      <c r="P128" s="43"/>
      <c r="Q128" s="44">
        <f>Funktional!AN128/Kennzahlen!H128</f>
        <v>46.736619787124781</v>
      </c>
      <c r="R128" s="46">
        <f t="shared" si="65"/>
        <v>0</v>
      </c>
      <c r="S128" s="365">
        <v>-18003.55</v>
      </c>
      <c r="T128" s="365">
        <v>22326.5</v>
      </c>
      <c r="U128" s="365">
        <v>15001.85</v>
      </c>
    </row>
    <row r="129" spans="1:21" x14ac:dyDescent="0.25">
      <c r="A129" t="str">
        <f>Funktional!A129</f>
        <v>Zuben-Schönenbaumgarten</v>
      </c>
      <c r="B129" t="str">
        <f>Funktional!B129</f>
        <v>PSG</v>
      </c>
      <c r="C129" s="366"/>
      <c r="D129" s="366">
        <v>0</v>
      </c>
      <c r="E129">
        <v>1</v>
      </c>
      <c r="F129" s="404">
        <v>57</v>
      </c>
      <c r="G129" s="404"/>
      <c r="H129" s="43">
        <f t="shared" si="63"/>
        <v>57</v>
      </c>
      <c r="I129" s="43">
        <f t="shared" si="64"/>
        <v>57</v>
      </c>
      <c r="J129" s="43">
        <f>Funktional!E129</f>
        <v>461429.35000000003</v>
      </c>
      <c r="K129" s="44">
        <f>Funktional!G129</f>
        <v>8095.2517543859658</v>
      </c>
      <c r="L129" s="44" t="e">
        <f t="shared" si="66"/>
        <v>#DIV/0!</v>
      </c>
      <c r="M129" s="365">
        <v>173574.25</v>
      </c>
      <c r="N129" s="365">
        <v>289290.42</v>
      </c>
      <c r="O129" s="44" t="e">
        <f t="shared" si="67"/>
        <v>#DIV/0!</v>
      </c>
      <c r="P129" s="43"/>
      <c r="Q129" s="44">
        <f>Funktional!AN129/Kennzahlen!H129</f>
        <v>59.187719298245611</v>
      </c>
      <c r="R129" s="46">
        <f t="shared" si="65"/>
        <v>0</v>
      </c>
      <c r="S129" s="365">
        <v>-72021.75</v>
      </c>
      <c r="T129" s="365">
        <v>6013.15</v>
      </c>
      <c r="U129" s="365">
        <v>0.35</v>
      </c>
    </row>
    <row r="130" spans="1:21" ht="39" customHeight="1" x14ac:dyDescent="0.25">
      <c r="A130" t="str">
        <f>Funktional!A130</f>
        <v>Aadorf</v>
      </c>
      <c r="B130" t="str">
        <f>Funktional!B130</f>
        <v>KiGa</v>
      </c>
      <c r="C130" s="403">
        <f t="shared" ref="C130:D161" si="68">C8</f>
        <v>0</v>
      </c>
      <c r="D130" s="403">
        <f>D8</f>
        <v>47</v>
      </c>
      <c r="E130">
        <v>1</v>
      </c>
      <c r="F130" s="365"/>
      <c r="G130" s="365"/>
      <c r="H130" s="43"/>
      <c r="I130" s="43">
        <f>H130+D130</f>
        <v>47</v>
      </c>
      <c r="J130" s="43">
        <f>Funktional!E130</f>
        <v>702349.49292804068</v>
      </c>
      <c r="K130" s="44">
        <f>Funktional!G130</f>
        <v>14943.606232511504</v>
      </c>
      <c r="L130" s="44" t="e">
        <f t="shared" si="66"/>
        <v>#DIV/0!</v>
      </c>
      <c r="M130" s="365">
        <v>2872674.05</v>
      </c>
      <c r="N130" s="365">
        <v>5524373.1699999999</v>
      </c>
      <c r="O130" s="44" t="e">
        <f t="shared" si="67"/>
        <v>#DIV/0!</v>
      </c>
      <c r="P130" s="43"/>
      <c r="Q130" s="44">
        <f>Funktional!AN130/Kennzahlen!I130</f>
        <v>32.229267361152424</v>
      </c>
      <c r="R130" s="46"/>
      <c r="S130" s="365">
        <v>-766210.56000000006</v>
      </c>
      <c r="T130" s="365">
        <v>20164.599999999999</v>
      </c>
      <c r="U130" s="365">
        <v>61407.25</v>
      </c>
    </row>
    <row r="131" spans="1:21" x14ac:dyDescent="0.25">
      <c r="A131" t="str">
        <f>Funktional!A131</f>
        <v>Affeltrangen</v>
      </c>
      <c r="B131" t="str">
        <f>Funktional!B131</f>
        <v>KiGa</v>
      </c>
      <c r="C131" s="403">
        <f t="shared" si="68"/>
        <v>0</v>
      </c>
      <c r="D131" s="403">
        <f t="shared" si="68"/>
        <v>20</v>
      </c>
      <c r="E131">
        <v>2</v>
      </c>
      <c r="F131" s="365"/>
      <c r="G131" s="365"/>
      <c r="H131" s="43"/>
      <c r="I131" s="43">
        <f t="shared" ref="I131:I146" si="69">H131+D131</f>
        <v>20</v>
      </c>
      <c r="J131" s="43">
        <f>Funktional!E131</f>
        <v>359877.24692656391</v>
      </c>
      <c r="K131" s="44">
        <f>Funktional!G131</f>
        <v>17993.862346328195</v>
      </c>
      <c r="L131" s="44" t="e">
        <f t="shared" ref="L131:L146" si="70">J131/C131</f>
        <v>#DIV/0!</v>
      </c>
      <c r="M131" s="365">
        <v>793668.65</v>
      </c>
      <c r="N131" s="365">
        <v>1087217.33</v>
      </c>
      <c r="O131" s="44" t="e">
        <f t="shared" ref="O131:O146" si="71">N131/C131</f>
        <v>#DIV/0!</v>
      </c>
      <c r="P131" s="43"/>
      <c r="Q131" s="44">
        <f>Funktional!AN131/Kennzahlen!I131</f>
        <v>36.584964664252958</v>
      </c>
      <c r="R131" s="46"/>
      <c r="S131" s="365">
        <v>86876.52</v>
      </c>
      <c r="T131" s="365">
        <v>8111.5</v>
      </c>
      <c r="U131" s="365">
        <v>17564.7</v>
      </c>
    </row>
    <row r="132" spans="1:21" x14ac:dyDescent="0.25">
      <c r="A132" t="str">
        <f>Funktional!A132</f>
        <v>Alterswilen</v>
      </c>
      <c r="B132" t="str">
        <f>Funktional!B132</f>
        <v>KiGa</v>
      </c>
      <c r="C132" s="403">
        <f t="shared" si="68"/>
        <v>0</v>
      </c>
      <c r="D132" s="403">
        <f t="shared" si="68"/>
        <v>20</v>
      </c>
      <c r="E132">
        <v>1</v>
      </c>
      <c r="F132" s="365"/>
      <c r="G132" s="365"/>
      <c r="H132" s="43"/>
      <c r="I132" s="43">
        <f t="shared" si="69"/>
        <v>20</v>
      </c>
      <c r="J132" s="43">
        <f>Funktional!E132</f>
        <v>172710.20117210949</v>
      </c>
      <c r="K132" s="44">
        <f>Funktional!G132</f>
        <v>8635.5100586054741</v>
      </c>
      <c r="L132" s="44" t="e">
        <f t="shared" si="70"/>
        <v>#DIV/0!</v>
      </c>
      <c r="M132" s="365">
        <v>569897.30000000005</v>
      </c>
      <c r="N132" s="365">
        <v>876765.08</v>
      </c>
      <c r="O132" s="44" t="e">
        <f t="shared" si="71"/>
        <v>#DIV/0!</v>
      </c>
      <c r="P132" s="43"/>
      <c r="Q132" s="44">
        <f>Funktional!AN132/Kennzahlen!I132</f>
        <v>42.592054190968263</v>
      </c>
      <c r="R132" s="46"/>
      <c r="S132" s="365">
        <v>-80687</v>
      </c>
      <c r="T132" s="365">
        <v>23256</v>
      </c>
      <c r="U132" s="365">
        <v>5360</v>
      </c>
    </row>
    <row r="133" spans="1:21" x14ac:dyDescent="0.25">
      <c r="A133" t="str">
        <f>Funktional!A133</f>
        <v>Altishausen-Graltshausen</v>
      </c>
      <c r="B133" t="str">
        <f>Funktional!B133</f>
        <v>KiGa</v>
      </c>
      <c r="C133" s="403">
        <f t="shared" si="68"/>
        <v>0</v>
      </c>
      <c r="D133" s="403">
        <f t="shared" si="68"/>
        <v>0</v>
      </c>
      <c r="E133">
        <v>1</v>
      </c>
      <c r="F133" s="365"/>
      <c r="G133" s="365"/>
      <c r="H133" s="43"/>
      <c r="I133" s="43">
        <f t="shared" si="69"/>
        <v>0</v>
      </c>
      <c r="J133" s="43">
        <f>Funktional!E133</f>
        <v>0</v>
      </c>
      <c r="K133" s="44">
        <f>Funktional!G133</f>
        <v>0</v>
      </c>
      <c r="L133" s="44" t="e">
        <f t="shared" si="70"/>
        <v>#DIV/0!</v>
      </c>
      <c r="M133" s="365">
        <v>240694.3</v>
      </c>
      <c r="N133" s="365">
        <v>306801.31</v>
      </c>
      <c r="O133" s="44" t="e">
        <f t="shared" si="71"/>
        <v>#DIV/0!</v>
      </c>
      <c r="P133" s="43"/>
      <c r="Q133" s="44" t="e">
        <f>Funktional!AN133/Kennzahlen!I133</f>
        <v>#DIV/0!</v>
      </c>
      <c r="R133" s="46"/>
      <c r="S133" s="365">
        <v>-20277.7</v>
      </c>
      <c r="T133" s="365">
        <v>11693</v>
      </c>
      <c r="U133" s="365">
        <v>2608.15</v>
      </c>
    </row>
    <row r="134" spans="1:21" x14ac:dyDescent="0.25">
      <c r="A134" t="str">
        <f>Funktional!A134</f>
        <v>Altnau</v>
      </c>
      <c r="B134" t="str">
        <f>Funktional!B134</f>
        <v>KiGa</v>
      </c>
      <c r="C134" s="403">
        <f t="shared" si="68"/>
        <v>0</v>
      </c>
      <c r="D134" s="403">
        <f t="shared" si="68"/>
        <v>34</v>
      </c>
      <c r="E134">
        <v>1</v>
      </c>
      <c r="F134" s="365"/>
      <c r="G134" s="365"/>
      <c r="H134" s="43"/>
      <c r="I134" s="43">
        <f t="shared" si="69"/>
        <v>34</v>
      </c>
      <c r="J134" s="43">
        <f>Funktional!E134</f>
        <v>378964.40507484367</v>
      </c>
      <c r="K134" s="44">
        <f>Funktional!G134</f>
        <v>11146.011913965991</v>
      </c>
      <c r="L134" s="44" t="e">
        <f t="shared" si="70"/>
        <v>#DIV/0!</v>
      </c>
      <c r="M134" s="365">
        <v>1652665</v>
      </c>
      <c r="N134" s="365">
        <v>2203553.33</v>
      </c>
      <c r="O134" s="44" t="e">
        <f t="shared" si="71"/>
        <v>#DIV/0!</v>
      </c>
      <c r="P134" s="43"/>
      <c r="Q134" s="44">
        <f>Funktional!AN134/Kennzahlen!I134</f>
        <v>70.189273828242747</v>
      </c>
      <c r="R134" s="46"/>
      <c r="S134" s="365">
        <v>-165795.45000000001</v>
      </c>
      <c r="T134" s="365">
        <v>133174.45000000001</v>
      </c>
      <c r="U134" s="365">
        <v>22654.05</v>
      </c>
    </row>
    <row r="135" spans="1:21" x14ac:dyDescent="0.25">
      <c r="A135" t="str">
        <f>Funktional!A135</f>
        <v>Amlikon</v>
      </c>
      <c r="B135" t="str">
        <f>Funktional!B135</f>
        <v>KiGa</v>
      </c>
      <c r="C135" s="403">
        <f t="shared" si="68"/>
        <v>0</v>
      </c>
      <c r="D135" s="403">
        <f t="shared" si="68"/>
        <v>19</v>
      </c>
      <c r="E135">
        <v>2</v>
      </c>
      <c r="F135" s="365"/>
      <c r="G135" s="365"/>
      <c r="H135" s="43"/>
      <c r="I135" s="43">
        <f t="shared" si="69"/>
        <v>19</v>
      </c>
      <c r="J135" s="43">
        <f>Funktional!E135</f>
        <v>247756.82753156807</v>
      </c>
      <c r="K135" s="44">
        <f>Funktional!G135</f>
        <v>13039.833027977267</v>
      </c>
      <c r="L135" s="44" t="e">
        <f t="shared" si="70"/>
        <v>#DIV/0!</v>
      </c>
      <c r="M135" s="365">
        <v>521651.35</v>
      </c>
      <c r="N135" s="365">
        <v>734720.21</v>
      </c>
      <c r="O135" s="44" t="e">
        <f t="shared" si="71"/>
        <v>#DIV/0!</v>
      </c>
      <c r="P135" s="43"/>
      <c r="Q135" s="44">
        <f>Funktional!AN135/Kennzahlen!I135</f>
        <v>66.537949332269633</v>
      </c>
      <c r="R135" s="46"/>
      <c r="S135" s="365">
        <v>-245621.55</v>
      </c>
      <c r="T135" s="365">
        <v>18277.45</v>
      </c>
      <c r="U135" s="365">
        <v>7334.1</v>
      </c>
    </row>
    <row r="136" spans="1:21" x14ac:dyDescent="0.25">
      <c r="A136" t="str">
        <f>Funktional!A136</f>
        <v>Amriswil</v>
      </c>
      <c r="B136" t="str">
        <f>Funktional!B136</f>
        <v>KiGa</v>
      </c>
      <c r="C136" s="403">
        <f t="shared" si="68"/>
        <v>0</v>
      </c>
      <c r="D136" s="403">
        <f t="shared" si="68"/>
        <v>210</v>
      </c>
      <c r="E136">
        <v>1</v>
      </c>
      <c r="F136" s="365"/>
      <c r="G136" s="365"/>
      <c r="H136" s="43"/>
      <c r="I136" s="43">
        <f t="shared" si="69"/>
        <v>210</v>
      </c>
      <c r="J136" s="43">
        <f>Funktional!E136</f>
        <v>1602517.5718497918</v>
      </c>
      <c r="K136" s="44">
        <f>Funktional!G136</f>
        <v>7631.0360564275798</v>
      </c>
      <c r="L136" s="44" t="e">
        <f t="shared" si="70"/>
        <v>#DIV/0!</v>
      </c>
      <c r="M136" s="365">
        <v>8658498.0999999996</v>
      </c>
      <c r="N136" s="365">
        <v>13531379.380000001</v>
      </c>
      <c r="O136" s="44" t="e">
        <f t="shared" si="71"/>
        <v>#DIV/0!</v>
      </c>
      <c r="P136" s="43"/>
      <c r="Q136" s="44">
        <f>Funktional!AN136/Kennzahlen!I136</f>
        <v>36.486716732076147</v>
      </c>
      <c r="R136" s="46"/>
      <c r="S136" s="365">
        <v>-49395.35</v>
      </c>
      <c r="T136" s="365">
        <v>490513.7</v>
      </c>
      <c r="U136" s="365">
        <v>253953.55</v>
      </c>
    </row>
    <row r="137" spans="1:21" x14ac:dyDescent="0.25">
      <c r="A137" t="str">
        <f>Funktional!A137</f>
        <v>Au</v>
      </c>
      <c r="B137" t="str">
        <f>Funktional!B137</f>
        <v>KiGa</v>
      </c>
      <c r="C137" s="403">
        <f t="shared" si="68"/>
        <v>0</v>
      </c>
      <c r="D137" s="403">
        <f t="shared" si="68"/>
        <v>0</v>
      </c>
      <c r="E137">
        <v>2</v>
      </c>
      <c r="F137" s="365"/>
      <c r="G137" s="365"/>
      <c r="H137" s="43"/>
      <c r="I137" s="43">
        <f t="shared" si="69"/>
        <v>0</v>
      </c>
      <c r="J137" s="43">
        <f>Funktional!E137</f>
        <v>0</v>
      </c>
      <c r="K137" s="44">
        <f>Funktional!G137</f>
        <v>0</v>
      </c>
      <c r="L137" s="44" t="e">
        <f t="shared" si="70"/>
        <v>#DIV/0!</v>
      </c>
      <c r="M137" s="365">
        <v>68395.3</v>
      </c>
      <c r="N137" s="365">
        <v>136790.6</v>
      </c>
      <c r="O137" s="44" t="e">
        <f t="shared" si="71"/>
        <v>#DIV/0!</v>
      </c>
      <c r="P137" s="43"/>
      <c r="Q137" s="44" t="e">
        <f>Funktional!AN137/Kennzahlen!I137</f>
        <v>#DIV/0!</v>
      </c>
      <c r="R137" s="46"/>
      <c r="S137" s="365">
        <v>10615.15</v>
      </c>
      <c r="T137" s="365">
        <v>85.8</v>
      </c>
      <c r="U137" s="365">
        <v>0</v>
      </c>
    </row>
    <row r="138" spans="1:21" x14ac:dyDescent="0.25">
      <c r="A138" t="str">
        <f>Funktional!A138</f>
        <v>Balterswil</v>
      </c>
      <c r="B138" t="str">
        <f>Funktional!B138</f>
        <v>KiGa</v>
      </c>
      <c r="C138" s="403">
        <f t="shared" si="68"/>
        <v>0</v>
      </c>
      <c r="D138" s="403">
        <f t="shared" si="68"/>
        <v>40</v>
      </c>
      <c r="E138">
        <v>2</v>
      </c>
      <c r="F138" s="365"/>
      <c r="G138" s="365"/>
      <c r="H138" s="43"/>
      <c r="I138" s="43">
        <f t="shared" si="69"/>
        <v>40</v>
      </c>
      <c r="J138" s="43">
        <f>Funktional!E138</f>
        <v>254492.65801819906</v>
      </c>
      <c r="K138" s="44">
        <f>Funktional!G138</f>
        <v>6362.3164504549768</v>
      </c>
      <c r="L138" s="44" t="e">
        <f t="shared" si="70"/>
        <v>#DIV/0!</v>
      </c>
      <c r="M138" s="365">
        <v>1432738.7</v>
      </c>
      <c r="N138" s="365">
        <v>1591931.89</v>
      </c>
      <c r="O138" s="44" t="e">
        <f t="shared" si="71"/>
        <v>#DIV/0!</v>
      </c>
      <c r="P138" s="43"/>
      <c r="Q138" s="44">
        <f>Funktional!AN138/Kennzahlen!I138</f>
        <v>14.09634147766003</v>
      </c>
      <c r="R138" s="46"/>
      <c r="S138" s="365">
        <v>114237.85</v>
      </c>
      <c r="T138" s="365">
        <v>21300.5</v>
      </c>
      <c r="U138" s="365">
        <v>5433.25</v>
      </c>
    </row>
    <row r="139" spans="1:21" x14ac:dyDescent="0.25">
      <c r="A139" t="str">
        <f>Funktional!A139</f>
        <v xml:space="preserve">Basadingen-Willisdorf </v>
      </c>
      <c r="B139" t="str">
        <f>Funktional!B139</f>
        <v>KiGa</v>
      </c>
      <c r="C139" s="403">
        <f t="shared" si="68"/>
        <v>0</v>
      </c>
      <c r="D139" s="403">
        <f t="shared" si="68"/>
        <v>33</v>
      </c>
      <c r="E139">
        <v>2</v>
      </c>
      <c r="F139" s="365"/>
      <c r="G139" s="365"/>
      <c r="H139" s="43"/>
      <c r="I139" s="43">
        <f t="shared" si="69"/>
        <v>33</v>
      </c>
      <c r="J139" s="43">
        <f>Funktional!E139</f>
        <v>218336.29068292031</v>
      </c>
      <c r="K139" s="44">
        <f>Funktional!G139</f>
        <v>6616.2512328157673</v>
      </c>
      <c r="L139" s="44" t="e">
        <f t="shared" si="70"/>
        <v>#DIV/0!</v>
      </c>
      <c r="M139" s="365">
        <v>1048659.55</v>
      </c>
      <c r="N139" s="365">
        <v>1542146.4</v>
      </c>
      <c r="O139" s="44" t="e">
        <f t="shared" si="71"/>
        <v>#DIV/0!</v>
      </c>
      <c r="P139" s="43"/>
      <c r="Q139" s="44">
        <f>Funktional!AN139/Kennzahlen!I139</f>
        <v>65.193878985856387</v>
      </c>
      <c r="R139" s="46"/>
      <c r="S139" s="365">
        <v>-110958.35</v>
      </c>
      <c r="T139" s="365">
        <v>0</v>
      </c>
      <c r="U139" s="365">
        <v>12608.05</v>
      </c>
    </row>
    <row r="140" spans="1:21" x14ac:dyDescent="0.25">
      <c r="A140" t="str">
        <f>Funktional!A140</f>
        <v>Berg</v>
      </c>
      <c r="B140" t="str">
        <f>Funktional!B140</f>
        <v>KiGa</v>
      </c>
      <c r="C140" s="403">
        <f t="shared" si="68"/>
        <v>0</v>
      </c>
      <c r="D140" s="403">
        <f t="shared" si="68"/>
        <v>55</v>
      </c>
      <c r="E140">
        <v>2</v>
      </c>
      <c r="F140" s="365"/>
      <c r="G140" s="365"/>
      <c r="H140" s="43"/>
      <c r="I140" s="43">
        <f t="shared" si="69"/>
        <v>55</v>
      </c>
      <c r="J140" s="43">
        <f>Funktional!E140</f>
        <v>366487.70051684591</v>
      </c>
      <c r="K140" s="44">
        <f>Funktional!G140</f>
        <v>6663.4127366699258</v>
      </c>
      <c r="L140" s="44" t="e">
        <f t="shared" si="70"/>
        <v>#DIV/0!</v>
      </c>
      <c r="M140" s="365">
        <v>2210726.5</v>
      </c>
      <c r="N140" s="365">
        <v>3401117.69</v>
      </c>
      <c r="O140" s="44" t="e">
        <f t="shared" si="71"/>
        <v>#DIV/0!</v>
      </c>
      <c r="P140" s="43"/>
      <c r="Q140" s="44">
        <f>Funktional!AN140/Kennzahlen!I140</f>
        <v>37.155725925939578</v>
      </c>
      <c r="R140" s="46"/>
      <c r="S140" s="365">
        <v>59136.6</v>
      </c>
      <c r="T140" s="365">
        <v>47853.65</v>
      </c>
      <c r="U140" s="365">
        <v>30962.95</v>
      </c>
    </row>
    <row r="141" spans="1:21" x14ac:dyDescent="0.25">
      <c r="A141" t="str">
        <f>Funktional!A141</f>
        <v>Berlingen</v>
      </c>
      <c r="B141" t="str">
        <f>Funktional!B141</f>
        <v>KiGa</v>
      </c>
      <c r="C141" s="403">
        <f t="shared" si="68"/>
        <v>0</v>
      </c>
      <c r="D141" s="403">
        <f t="shared" si="68"/>
        <v>12</v>
      </c>
      <c r="E141">
        <v>2</v>
      </c>
      <c r="F141" s="365"/>
      <c r="G141" s="365"/>
      <c r="H141" s="43"/>
      <c r="I141" s="43">
        <f t="shared" si="69"/>
        <v>12</v>
      </c>
      <c r="J141" s="43">
        <f>Funktional!E141</f>
        <v>191433.38533330566</v>
      </c>
      <c r="K141" s="44">
        <f>Funktional!G141</f>
        <v>15952.782111108805</v>
      </c>
      <c r="L141" s="44" t="e">
        <f t="shared" si="70"/>
        <v>#DIV/0!</v>
      </c>
      <c r="M141" s="365">
        <v>935476.8</v>
      </c>
      <c r="N141" s="365">
        <v>1299273.33</v>
      </c>
      <c r="O141" s="44" t="e">
        <f t="shared" si="71"/>
        <v>#DIV/0!</v>
      </c>
      <c r="P141" s="43"/>
      <c r="Q141" s="44">
        <f>Funktional!AN141/Kennzahlen!I141</f>
        <v>160.65968970673168</v>
      </c>
      <c r="R141" s="46"/>
      <c r="S141" s="365">
        <v>-160675.1</v>
      </c>
      <c r="T141" s="365">
        <v>7554.1</v>
      </c>
      <c r="U141" s="365">
        <v>2749.05</v>
      </c>
    </row>
    <row r="142" spans="1:21" x14ac:dyDescent="0.25">
      <c r="A142" t="str">
        <f>Funktional!A142</f>
        <v>Bettwiesen</v>
      </c>
      <c r="B142" t="str">
        <f>Funktional!B142</f>
        <v>KiGa</v>
      </c>
      <c r="C142" s="403">
        <f t="shared" si="68"/>
        <v>0</v>
      </c>
      <c r="D142" s="403">
        <f t="shared" si="68"/>
        <v>32</v>
      </c>
      <c r="E142">
        <v>2</v>
      </c>
      <c r="F142" s="365"/>
      <c r="G142" s="365"/>
      <c r="H142" s="43"/>
      <c r="I142" s="43">
        <f t="shared" si="69"/>
        <v>32</v>
      </c>
      <c r="J142" s="43">
        <f>Funktional!E142</f>
        <v>276853.99664487294</v>
      </c>
      <c r="K142" s="44">
        <f>Funktional!G142</f>
        <v>8651.6873951522794</v>
      </c>
      <c r="L142" s="44" t="e">
        <f t="shared" si="70"/>
        <v>#DIV/0!</v>
      </c>
      <c r="M142" s="365">
        <v>876786.1</v>
      </c>
      <c r="N142" s="365">
        <v>1202323.72</v>
      </c>
      <c r="O142" s="44" t="e">
        <f t="shared" si="71"/>
        <v>#DIV/0!</v>
      </c>
      <c r="P142" s="43"/>
      <c r="Q142" s="44">
        <f>Funktional!AN142/Kennzahlen!I142</f>
        <v>15.313763420405088</v>
      </c>
      <c r="R142" s="46"/>
      <c r="S142" s="365">
        <v>73433.100000000006</v>
      </c>
      <c r="T142" s="365">
        <v>14715.6</v>
      </c>
      <c r="U142" s="365">
        <v>9154.4500000000007</v>
      </c>
    </row>
    <row r="143" spans="1:21" x14ac:dyDescent="0.25">
      <c r="A143" t="str">
        <f>Funktional!A143</f>
        <v>Bichelsee</v>
      </c>
      <c r="B143" t="str">
        <f>Funktional!B143</f>
        <v>KiGa</v>
      </c>
      <c r="C143" s="403">
        <f t="shared" si="68"/>
        <v>0</v>
      </c>
      <c r="D143" s="403">
        <f t="shared" si="68"/>
        <v>38</v>
      </c>
      <c r="E143">
        <v>2</v>
      </c>
      <c r="F143" s="365"/>
      <c r="G143" s="365"/>
      <c r="H143" s="43"/>
      <c r="I143" s="43">
        <f t="shared" si="69"/>
        <v>38</v>
      </c>
      <c r="J143" s="43">
        <f>Funktional!E143</f>
        <v>292845.21813014161</v>
      </c>
      <c r="K143" s="44">
        <f>Funktional!G143</f>
        <v>7706.4531086879369</v>
      </c>
      <c r="L143" s="44" t="e">
        <f t="shared" si="70"/>
        <v>#DIV/0!</v>
      </c>
      <c r="M143" s="365">
        <v>942164.1</v>
      </c>
      <c r="N143" s="365">
        <v>1177705.1299999999</v>
      </c>
      <c r="O143" s="44" t="e">
        <f t="shared" si="71"/>
        <v>#DIV/0!</v>
      </c>
      <c r="P143" s="43"/>
      <c r="Q143" s="44">
        <f>Funktional!AN143/Kennzahlen!I143</f>
        <v>11.600737402489491</v>
      </c>
      <c r="R143" s="46"/>
      <c r="S143" s="365">
        <v>227388.45</v>
      </c>
      <c r="T143" s="365">
        <v>23596.55</v>
      </c>
      <c r="U143" s="365">
        <v>9312.9500000000007</v>
      </c>
    </row>
    <row r="144" spans="1:21" x14ac:dyDescent="0.25">
      <c r="A144" t="str">
        <f>Funktional!A144</f>
        <v>Bischofszell</v>
      </c>
      <c r="B144" t="str">
        <f>Funktional!B144</f>
        <v>KiGa</v>
      </c>
      <c r="C144" s="403">
        <f t="shared" si="68"/>
        <v>0</v>
      </c>
      <c r="D144" s="403">
        <f t="shared" si="68"/>
        <v>85</v>
      </c>
      <c r="E144">
        <v>1</v>
      </c>
      <c r="F144" s="365"/>
      <c r="G144" s="365"/>
      <c r="H144" s="43"/>
      <c r="I144" s="43">
        <f t="shared" si="69"/>
        <v>85</v>
      </c>
      <c r="J144" s="43">
        <f>Funktional!E144</f>
        <v>619369.44110230077</v>
      </c>
      <c r="K144" s="44">
        <f>Funktional!G144</f>
        <v>7286.6993070858916</v>
      </c>
      <c r="L144" s="44" t="e">
        <f t="shared" si="70"/>
        <v>#DIV/0!</v>
      </c>
      <c r="M144" s="365">
        <v>4434655.25</v>
      </c>
      <c r="N144" s="365">
        <v>6618888.4299999997</v>
      </c>
      <c r="O144" s="44" t="e">
        <f t="shared" si="71"/>
        <v>#DIV/0!</v>
      </c>
      <c r="P144" s="43"/>
      <c r="Q144" s="44">
        <f>Funktional!AN144/Kennzahlen!I144</f>
        <v>12.26889437023315</v>
      </c>
      <c r="R144" s="46"/>
      <c r="S144" s="365">
        <v>-539723.9</v>
      </c>
      <c r="T144" s="365">
        <v>33739.75</v>
      </c>
      <c r="U144" s="365">
        <v>31612.400000000001</v>
      </c>
    </row>
    <row r="145" spans="1:21" x14ac:dyDescent="0.25">
      <c r="A145" t="str">
        <f>Funktional!A145</f>
        <v>Blidegg</v>
      </c>
      <c r="B145" t="str">
        <f>Funktional!B145</f>
        <v>KiGa</v>
      </c>
      <c r="C145" s="403">
        <f t="shared" si="68"/>
        <v>0</v>
      </c>
      <c r="D145" s="403">
        <f t="shared" si="68"/>
        <v>0</v>
      </c>
      <c r="E145">
        <v>2</v>
      </c>
      <c r="F145" s="365"/>
      <c r="G145" s="365"/>
      <c r="H145" s="43"/>
      <c r="I145" s="43">
        <f t="shared" si="69"/>
        <v>0</v>
      </c>
      <c r="J145" s="43">
        <f>Funktional!E145</f>
        <v>0</v>
      </c>
      <c r="K145" s="44">
        <f>Funktional!G145</f>
        <v>0</v>
      </c>
      <c r="L145" s="44" t="e">
        <f t="shared" si="70"/>
        <v>#DIV/0!</v>
      </c>
      <c r="M145" s="365">
        <v>179550.5</v>
      </c>
      <c r="N145" s="365">
        <v>276231.53999999998</v>
      </c>
      <c r="O145" s="44" t="e">
        <f t="shared" si="71"/>
        <v>#DIV/0!</v>
      </c>
      <c r="P145" s="43"/>
      <c r="Q145" s="44" t="e">
        <f>Funktional!AN145/Kennzahlen!I145</f>
        <v>#DIV/0!</v>
      </c>
      <c r="R145" s="46"/>
      <c r="S145" s="365">
        <v>-158275.4</v>
      </c>
      <c r="T145" s="365">
        <v>11943.7</v>
      </c>
      <c r="U145" s="365">
        <v>-106.95</v>
      </c>
    </row>
    <row r="146" spans="1:21" x14ac:dyDescent="0.25">
      <c r="A146" t="str">
        <f>Funktional!A146</f>
        <v>Bottighofen</v>
      </c>
      <c r="B146" t="str">
        <f>Funktional!B146</f>
        <v>KiGa</v>
      </c>
      <c r="C146" s="403">
        <f t="shared" si="68"/>
        <v>0</v>
      </c>
      <c r="D146" s="403">
        <f t="shared" si="68"/>
        <v>31</v>
      </c>
      <c r="E146">
        <v>2</v>
      </c>
      <c r="F146" s="365"/>
      <c r="G146" s="365"/>
      <c r="H146" s="43"/>
      <c r="I146" s="43">
        <f t="shared" si="69"/>
        <v>31</v>
      </c>
      <c r="J146" s="43">
        <f>Funktional!E146</f>
        <v>1829739.6446821226</v>
      </c>
      <c r="K146" s="44">
        <f>Funktional!G146</f>
        <v>59023.859505874927</v>
      </c>
      <c r="L146" s="44" t="e">
        <f t="shared" si="70"/>
        <v>#DIV/0!</v>
      </c>
      <c r="M146" s="365">
        <v>10178858.25</v>
      </c>
      <c r="N146" s="365">
        <v>33929527.5</v>
      </c>
      <c r="O146" s="44" t="e">
        <f t="shared" si="71"/>
        <v>#DIV/0!</v>
      </c>
      <c r="P146" s="43"/>
      <c r="Q146" s="44">
        <f>Funktional!AN146/Kennzahlen!I146</f>
        <v>127.8667037360249</v>
      </c>
      <c r="R146" s="46"/>
      <c r="S146" s="365">
        <v>1362731.25</v>
      </c>
      <c r="T146" s="365">
        <v>14538.85</v>
      </c>
      <c r="U146" s="365">
        <v>0</v>
      </c>
    </row>
    <row r="147" spans="1:21" x14ac:dyDescent="0.25">
      <c r="A147" t="str">
        <f>Funktional!A147</f>
        <v>Braunau</v>
      </c>
      <c r="B147" t="str">
        <f>Funktional!B147</f>
        <v>KiGa</v>
      </c>
      <c r="C147" s="403">
        <f t="shared" si="68"/>
        <v>0</v>
      </c>
      <c r="D147" s="403">
        <f t="shared" si="68"/>
        <v>16</v>
      </c>
      <c r="E147">
        <v>1</v>
      </c>
      <c r="F147" s="365"/>
      <c r="G147" s="365"/>
      <c r="H147" s="43"/>
      <c r="I147" s="43">
        <f t="shared" ref="I147:I162" si="72">H147+D147</f>
        <v>16</v>
      </c>
      <c r="J147" s="43">
        <f>Funktional!E147</f>
        <v>142969.33920774129</v>
      </c>
      <c r="K147" s="44">
        <f>Funktional!G147</f>
        <v>8935.5837004838304</v>
      </c>
      <c r="L147" s="44" t="e">
        <f t="shared" ref="L147:L162" si="73">J147/C147</f>
        <v>#DIV/0!</v>
      </c>
      <c r="M147" s="365">
        <v>472987.15</v>
      </c>
      <c r="N147" s="365">
        <v>647927.6</v>
      </c>
      <c r="O147" s="44" t="e">
        <f t="shared" ref="O147:O162" si="74">N147/C147</f>
        <v>#DIV/0!</v>
      </c>
      <c r="P147" s="43"/>
      <c r="Q147" s="44">
        <f>Funktional!AN147/Kennzahlen!I147</f>
        <v>-19.319884235458368</v>
      </c>
      <c r="R147" s="46"/>
      <c r="S147" s="365">
        <v>-12109.5</v>
      </c>
      <c r="T147" s="365">
        <v>24876.9</v>
      </c>
      <c r="U147" s="365">
        <v>2560.75</v>
      </c>
    </row>
    <row r="148" spans="1:21" x14ac:dyDescent="0.25">
      <c r="A148" t="str">
        <f>Funktional!A148</f>
        <v>Buch bei Frauenfeld</v>
      </c>
      <c r="B148" t="str">
        <f>Funktional!B148</f>
        <v>KiGa</v>
      </c>
      <c r="C148" s="403">
        <f t="shared" si="68"/>
        <v>0</v>
      </c>
      <c r="D148" s="403">
        <f t="shared" si="68"/>
        <v>0</v>
      </c>
      <c r="E148">
        <v>2</v>
      </c>
      <c r="F148" s="365"/>
      <c r="G148" s="365"/>
      <c r="H148" s="43"/>
      <c r="I148" s="43">
        <f t="shared" si="72"/>
        <v>0</v>
      </c>
      <c r="J148" s="43">
        <f>Funktional!E148</f>
        <v>0</v>
      </c>
      <c r="K148" s="44">
        <f>Funktional!G148</f>
        <v>0</v>
      </c>
      <c r="L148" s="44" t="e">
        <f t="shared" si="73"/>
        <v>#DIV/0!</v>
      </c>
      <c r="M148" s="365">
        <v>265622.7</v>
      </c>
      <c r="N148" s="365">
        <v>358044.66</v>
      </c>
      <c r="O148" s="44" t="e">
        <f t="shared" si="74"/>
        <v>#DIV/0!</v>
      </c>
      <c r="P148" s="43"/>
      <c r="Q148" s="44" t="e">
        <f>Funktional!AN148/Kennzahlen!I148</f>
        <v>#DIV/0!</v>
      </c>
      <c r="R148" s="46"/>
      <c r="S148" s="365">
        <v>-7413.9</v>
      </c>
      <c r="T148" s="365">
        <v>0</v>
      </c>
      <c r="U148" s="365">
        <v>825.25</v>
      </c>
    </row>
    <row r="149" spans="1:21" x14ac:dyDescent="0.25">
      <c r="A149" t="str">
        <f>Funktional!A149</f>
        <v>Buhwil-Neukirch an der Thur</v>
      </c>
      <c r="B149" t="str">
        <f>Funktional!B149</f>
        <v>KiGa</v>
      </c>
      <c r="C149" s="403">
        <f t="shared" si="68"/>
        <v>0</v>
      </c>
      <c r="D149" s="403">
        <f t="shared" si="68"/>
        <v>18</v>
      </c>
      <c r="E149">
        <v>2</v>
      </c>
      <c r="F149" s="365"/>
      <c r="G149" s="365"/>
      <c r="H149" s="43"/>
      <c r="I149" s="43">
        <f t="shared" si="72"/>
        <v>18</v>
      </c>
      <c r="J149" s="43">
        <f>Funktional!E149</f>
        <v>174253.34476248315</v>
      </c>
      <c r="K149" s="44">
        <f>Funktional!G149</f>
        <v>9680.7413756935075</v>
      </c>
      <c r="L149" s="44" t="e">
        <f t="shared" si="73"/>
        <v>#DIV/0!</v>
      </c>
      <c r="M149" s="365">
        <v>318892.55</v>
      </c>
      <c r="N149" s="365">
        <v>579804.64</v>
      </c>
      <c r="O149" s="44" t="e">
        <f t="shared" si="74"/>
        <v>#DIV/0!</v>
      </c>
      <c r="P149" s="43"/>
      <c r="Q149" s="44">
        <f>Funktional!AN149/Kennzahlen!I149</f>
        <v>31.707198638575562</v>
      </c>
      <c r="R149" s="46"/>
      <c r="S149" s="365">
        <v>-155985.5</v>
      </c>
      <c r="T149" s="365">
        <v>0</v>
      </c>
      <c r="U149" s="365">
        <v>2541.4499999999998</v>
      </c>
    </row>
    <row r="150" spans="1:21" x14ac:dyDescent="0.25">
      <c r="A150" t="str">
        <f>Funktional!A150</f>
        <v>Bürglen</v>
      </c>
      <c r="B150" t="str">
        <f>Funktional!B150</f>
        <v>KiGa</v>
      </c>
      <c r="C150" s="403">
        <f t="shared" si="68"/>
        <v>0</v>
      </c>
      <c r="D150" s="403">
        <f t="shared" si="68"/>
        <v>66</v>
      </c>
      <c r="E150">
        <v>2</v>
      </c>
      <c r="F150" s="365"/>
      <c r="G150" s="365"/>
      <c r="H150" s="43"/>
      <c r="I150" s="43">
        <f t="shared" si="72"/>
        <v>66</v>
      </c>
      <c r="J150" s="43">
        <f>Funktional!E150</f>
        <v>381433.65212369221</v>
      </c>
      <c r="K150" s="44">
        <f>Funktional!G150</f>
        <v>5779.2977594498816</v>
      </c>
      <c r="L150" s="44" t="e">
        <f t="shared" si="73"/>
        <v>#DIV/0!</v>
      </c>
      <c r="M150" s="365">
        <v>1795260.45</v>
      </c>
      <c r="N150" s="365">
        <v>3149579.74</v>
      </c>
      <c r="O150" s="44" t="e">
        <f t="shared" si="74"/>
        <v>#DIV/0!</v>
      </c>
      <c r="P150" s="43"/>
      <c r="Q150" s="44">
        <f>Funktional!AN150/Kennzahlen!I150</f>
        <v>17.590569988299318</v>
      </c>
      <c r="R150" s="46"/>
      <c r="S150" s="365">
        <v>-87088.8</v>
      </c>
      <c r="T150" s="365">
        <v>78044.399999999994</v>
      </c>
      <c r="U150" s="365">
        <v>34432.400000000001</v>
      </c>
    </row>
    <row r="151" spans="1:21" x14ac:dyDescent="0.25">
      <c r="A151" t="str">
        <f>Funktional!A151</f>
        <v>Bussnang-Rothenhausen</v>
      </c>
      <c r="B151" t="str">
        <f>Funktional!B151</f>
        <v>KiGa</v>
      </c>
      <c r="C151" s="403">
        <f t="shared" si="68"/>
        <v>0</v>
      </c>
      <c r="D151" s="403">
        <f t="shared" si="68"/>
        <v>28</v>
      </c>
      <c r="E151">
        <v>2</v>
      </c>
      <c r="F151" s="365"/>
      <c r="G151" s="365"/>
      <c r="H151" s="43"/>
      <c r="I151" s="43">
        <f t="shared" si="72"/>
        <v>28</v>
      </c>
      <c r="J151" s="43">
        <f>Funktional!E151</f>
        <v>248484.00610934643</v>
      </c>
      <c r="K151" s="44">
        <f>Funktional!G151</f>
        <v>8874.4287896195146</v>
      </c>
      <c r="L151" s="44" t="e">
        <f t="shared" si="73"/>
        <v>#DIV/0!</v>
      </c>
      <c r="M151" s="365">
        <v>773318.25</v>
      </c>
      <c r="N151" s="365">
        <v>1089180.6299999999</v>
      </c>
      <c r="O151" s="44" t="e">
        <f t="shared" si="74"/>
        <v>#DIV/0!</v>
      </c>
      <c r="P151" s="43"/>
      <c r="Q151" s="44">
        <f>Funktional!AN151/Kennzahlen!I151</f>
        <v>25.400876355550626</v>
      </c>
      <c r="R151" s="46"/>
      <c r="S151" s="365">
        <v>-290588.2</v>
      </c>
      <c r="T151" s="365">
        <v>25033.45</v>
      </c>
      <c r="U151" s="365">
        <v>2205.65</v>
      </c>
    </row>
    <row r="152" spans="1:21" x14ac:dyDescent="0.25">
      <c r="A152" t="str">
        <f>Funktional!A152</f>
        <v>Busswil</v>
      </c>
      <c r="B152" t="str">
        <f>Funktional!B152</f>
        <v>KiGa</v>
      </c>
      <c r="C152" s="403">
        <f t="shared" si="68"/>
        <v>0</v>
      </c>
      <c r="D152" s="403">
        <f t="shared" si="68"/>
        <v>15</v>
      </c>
      <c r="E152">
        <v>2</v>
      </c>
      <c r="F152" s="365"/>
      <c r="G152" s="365"/>
      <c r="H152" s="43"/>
      <c r="I152" s="43">
        <f t="shared" si="72"/>
        <v>15</v>
      </c>
      <c r="J152" s="43">
        <f>Funktional!E152</f>
        <v>145620.59463193035</v>
      </c>
      <c r="K152" s="44">
        <f>Funktional!G152</f>
        <v>9708.0396421286896</v>
      </c>
      <c r="L152" s="44" t="e">
        <f t="shared" si="73"/>
        <v>#DIV/0!</v>
      </c>
      <c r="M152" s="365">
        <v>496013.15</v>
      </c>
      <c r="N152" s="365">
        <v>763097.15</v>
      </c>
      <c r="O152" s="44" t="e">
        <f t="shared" si="74"/>
        <v>#DIV/0!</v>
      </c>
      <c r="P152" s="43"/>
      <c r="Q152" s="44">
        <f>Funktional!AN152/Kennzahlen!I152</f>
        <v>30.490189485911511</v>
      </c>
      <c r="R152" s="46"/>
      <c r="S152" s="365">
        <v>-198251.3</v>
      </c>
      <c r="T152" s="365">
        <v>33230.9</v>
      </c>
      <c r="U152" s="365">
        <v>5572.95</v>
      </c>
    </row>
    <row r="153" spans="1:21" x14ac:dyDescent="0.25">
      <c r="A153" t="str">
        <f>Funktional!A153</f>
        <v>Dettighofen-Lanzenneunforn</v>
      </c>
      <c r="B153" t="str">
        <f>Funktional!B153</f>
        <v>KiGa</v>
      </c>
      <c r="C153" s="403">
        <f t="shared" si="68"/>
        <v>0</v>
      </c>
      <c r="D153" s="403">
        <f t="shared" si="68"/>
        <v>25</v>
      </c>
      <c r="E153">
        <v>2</v>
      </c>
      <c r="F153" s="365"/>
      <c r="G153" s="365"/>
      <c r="H153" s="43"/>
      <c r="I153" s="43">
        <f t="shared" si="72"/>
        <v>25</v>
      </c>
      <c r="J153" s="43">
        <f>Funktional!E153</f>
        <v>178175.06000758742</v>
      </c>
      <c r="K153" s="44">
        <f>Funktional!G153</f>
        <v>7127.0024003034969</v>
      </c>
      <c r="L153" s="44" t="e">
        <f t="shared" si="73"/>
        <v>#DIV/0!</v>
      </c>
      <c r="M153" s="365">
        <v>549854.35</v>
      </c>
      <c r="N153" s="365">
        <v>743046.42</v>
      </c>
      <c r="O153" s="44" t="e">
        <f t="shared" si="74"/>
        <v>#DIV/0!</v>
      </c>
      <c r="P153" s="43"/>
      <c r="Q153" s="44">
        <f>Funktional!AN153/Kennzahlen!I153</f>
        <v>31.79720820898115</v>
      </c>
      <c r="R153" s="46"/>
      <c r="S153" s="365">
        <v>51814.5</v>
      </c>
      <c r="T153" s="365">
        <v>8780.7999999999993</v>
      </c>
      <c r="U153" s="365">
        <v>2916.5</v>
      </c>
    </row>
    <row r="154" spans="1:21" x14ac:dyDescent="0.25">
      <c r="A154" t="str">
        <f>Funktional!A154</f>
        <v>Diessenhofen</v>
      </c>
      <c r="B154" t="str">
        <f>Funktional!B154</f>
        <v>KiGa</v>
      </c>
      <c r="C154" s="403">
        <f t="shared" si="68"/>
        <v>0</v>
      </c>
      <c r="D154" s="403">
        <f t="shared" si="68"/>
        <v>66</v>
      </c>
      <c r="E154">
        <v>2</v>
      </c>
      <c r="F154" s="365"/>
      <c r="G154" s="365"/>
      <c r="H154" s="43"/>
      <c r="I154" s="43">
        <f t="shared" si="72"/>
        <v>66</v>
      </c>
      <c r="J154" s="43">
        <f>Funktional!E154</f>
        <v>492382.35501784866</v>
      </c>
      <c r="K154" s="44">
        <f>Funktional!G154</f>
        <v>7460.3387123916464</v>
      </c>
      <c r="L154" s="44" t="e">
        <f t="shared" si="73"/>
        <v>#DIV/0!</v>
      </c>
      <c r="M154" s="365">
        <v>2883027.85</v>
      </c>
      <c r="N154" s="365">
        <v>4435427.46</v>
      </c>
      <c r="O154" s="44" t="e">
        <f t="shared" si="74"/>
        <v>#DIV/0!</v>
      </c>
      <c r="P154" s="43"/>
      <c r="Q154" s="44">
        <f>Funktional!AN154/Kennzahlen!I154</f>
        <v>31.348921181293235</v>
      </c>
      <c r="R154" s="46"/>
      <c r="S154" s="365">
        <v>346529</v>
      </c>
      <c r="T154" s="365">
        <v>5867.5</v>
      </c>
      <c r="U154" s="365">
        <v>33155.199999999997</v>
      </c>
    </row>
    <row r="155" spans="1:21" x14ac:dyDescent="0.25">
      <c r="A155" t="str">
        <f>Funktional!A155</f>
        <v>Dingetswil</v>
      </c>
      <c r="B155" t="str">
        <f>Funktional!B155</f>
        <v>KiGa</v>
      </c>
      <c r="C155" s="403">
        <f t="shared" si="68"/>
        <v>0</v>
      </c>
      <c r="D155" s="403">
        <f t="shared" si="68"/>
        <v>0</v>
      </c>
      <c r="E155">
        <v>2</v>
      </c>
      <c r="F155" s="365"/>
      <c r="G155" s="365"/>
      <c r="H155" s="43"/>
      <c r="I155" s="43">
        <f t="shared" si="72"/>
        <v>0</v>
      </c>
      <c r="J155" s="43">
        <f>Funktional!E155</f>
        <v>0</v>
      </c>
      <c r="K155" s="44">
        <f>Funktional!G155</f>
        <v>0</v>
      </c>
      <c r="L155" s="44" t="e">
        <f t="shared" si="73"/>
        <v>#DIV/0!</v>
      </c>
      <c r="M155" s="365">
        <v>45658.9</v>
      </c>
      <c r="N155" s="365">
        <v>91317.8</v>
      </c>
      <c r="O155" s="44" t="e">
        <f t="shared" si="74"/>
        <v>#DIV/0!</v>
      </c>
      <c r="P155" s="43"/>
      <c r="Q155" s="44" t="e">
        <f>Funktional!AN155/Kennzahlen!I155</f>
        <v>#DIV/0!</v>
      </c>
      <c r="R155" s="46"/>
      <c r="S155" s="365">
        <v>42600.4</v>
      </c>
      <c r="T155" s="365">
        <v>0</v>
      </c>
      <c r="U155" s="365">
        <v>1027.2</v>
      </c>
    </row>
    <row r="156" spans="1:21" x14ac:dyDescent="0.25">
      <c r="A156" t="str">
        <f>Funktional!A156</f>
        <v>Donzhausen</v>
      </c>
      <c r="B156" t="str">
        <f>Funktional!B156</f>
        <v>KiGa</v>
      </c>
      <c r="C156" s="403">
        <f t="shared" si="68"/>
        <v>0</v>
      </c>
      <c r="D156" s="403">
        <f t="shared" si="68"/>
        <v>11</v>
      </c>
      <c r="E156">
        <v>2</v>
      </c>
      <c r="F156" s="365"/>
      <c r="G156" s="365"/>
      <c r="H156" s="43"/>
      <c r="I156" s="43">
        <f t="shared" si="72"/>
        <v>11</v>
      </c>
      <c r="J156" s="43">
        <f>Funktional!E156</f>
        <v>98082.907321899693</v>
      </c>
      <c r="K156" s="44">
        <f>Funktional!G156</f>
        <v>8916.627938354517</v>
      </c>
      <c r="L156" s="44" t="e">
        <f t="shared" si="73"/>
        <v>#DIV/0!</v>
      </c>
      <c r="M156" s="365">
        <v>155156.95000000001</v>
      </c>
      <c r="N156" s="365">
        <v>224865.14</v>
      </c>
      <c r="O156" s="44" t="e">
        <f t="shared" si="74"/>
        <v>#DIV/0!</v>
      </c>
      <c r="P156" s="43"/>
      <c r="Q156" s="44">
        <f>Funktional!AN156/Kennzahlen!I156</f>
        <v>50.205209432020688</v>
      </c>
      <c r="R156" s="46"/>
      <c r="S156" s="365">
        <v>-74029.600000000006</v>
      </c>
      <c r="T156" s="365">
        <v>1157.7</v>
      </c>
      <c r="U156" s="365">
        <v>2230.8000000000002</v>
      </c>
    </row>
    <row r="157" spans="1:21" x14ac:dyDescent="0.25">
      <c r="A157" t="str">
        <f>Funktional!A157</f>
        <v>Dozwil</v>
      </c>
      <c r="B157" t="str">
        <f>Funktional!B157</f>
        <v>KiGa</v>
      </c>
      <c r="C157" s="403">
        <f t="shared" si="68"/>
        <v>0</v>
      </c>
      <c r="D157" s="403">
        <f t="shared" si="68"/>
        <v>0</v>
      </c>
      <c r="E157">
        <v>1</v>
      </c>
      <c r="F157" s="365"/>
      <c r="G157" s="365"/>
      <c r="H157" s="43"/>
      <c r="I157" s="43">
        <f t="shared" si="72"/>
        <v>0</v>
      </c>
      <c r="J157" s="43">
        <f>Funktional!E157</f>
        <v>0</v>
      </c>
      <c r="K157" s="44">
        <f>Funktional!G157</f>
        <v>0</v>
      </c>
      <c r="L157" s="44" t="e">
        <f t="shared" si="73"/>
        <v>#DIV/0!</v>
      </c>
      <c r="M157" s="365">
        <v>291168.75</v>
      </c>
      <c r="N157" s="365">
        <v>462172.62</v>
      </c>
      <c r="O157" s="44" t="e">
        <f t="shared" si="74"/>
        <v>#DIV/0!</v>
      </c>
      <c r="P157" s="43"/>
      <c r="Q157" s="44" t="e">
        <f>Funktional!AN157/Kennzahlen!I157</f>
        <v>#DIV/0!</v>
      </c>
      <c r="R157" s="46"/>
      <c r="S157" s="365">
        <v>-34183.35</v>
      </c>
      <c r="T157" s="365">
        <v>5042.1499999999996</v>
      </c>
      <c r="U157" s="365">
        <v>5192.1000000000004</v>
      </c>
    </row>
    <row r="158" spans="1:21" x14ac:dyDescent="0.25">
      <c r="A158" t="str">
        <f>Funktional!A158</f>
        <v>Dussnang-Oberwangen</v>
      </c>
      <c r="B158" t="str">
        <f>Funktional!B158</f>
        <v>KiGa</v>
      </c>
      <c r="C158" s="403">
        <f t="shared" si="68"/>
        <v>0</v>
      </c>
      <c r="D158" s="403">
        <f t="shared" si="68"/>
        <v>33</v>
      </c>
      <c r="E158">
        <v>1</v>
      </c>
      <c r="F158" s="365"/>
      <c r="G158" s="365"/>
      <c r="H158" s="43"/>
      <c r="I158" s="43">
        <f t="shared" si="72"/>
        <v>33</v>
      </c>
      <c r="J158" s="43">
        <f>Funktional!E158</f>
        <v>255012.10703367862</v>
      </c>
      <c r="K158" s="44">
        <f>Funktional!G158</f>
        <v>7727.6396070811707</v>
      </c>
      <c r="L158" s="44" t="e">
        <f t="shared" si="73"/>
        <v>#DIV/0!</v>
      </c>
      <c r="M158" s="365">
        <v>963594.75</v>
      </c>
      <c r="N158" s="365">
        <v>1927189.5</v>
      </c>
      <c r="O158" s="44" t="e">
        <f t="shared" si="74"/>
        <v>#DIV/0!</v>
      </c>
      <c r="P158" s="43"/>
      <c r="Q158" s="44">
        <f>Funktional!AN158/Kennzahlen!I158</f>
        <v>38.032529770271715</v>
      </c>
      <c r="R158" s="46"/>
      <c r="S158" s="365">
        <v>-30259.55</v>
      </c>
      <c r="T158" s="365">
        <v>26305.9</v>
      </c>
      <c r="U158" s="365">
        <v>12167.65</v>
      </c>
    </row>
    <row r="159" spans="1:21" x14ac:dyDescent="0.25">
      <c r="A159" t="str">
        <f>Funktional!A159</f>
        <v>Egg</v>
      </c>
      <c r="B159" t="str">
        <f>Funktional!B159</f>
        <v>KiGa</v>
      </c>
      <c r="C159" s="403">
        <f t="shared" si="68"/>
        <v>0</v>
      </c>
      <c r="D159" s="403">
        <f t="shared" si="68"/>
        <v>21</v>
      </c>
      <c r="E159">
        <v>2</v>
      </c>
      <c r="F159" s="365"/>
      <c r="G159" s="365"/>
      <c r="H159" s="43"/>
      <c r="I159" s="43">
        <f t="shared" si="72"/>
        <v>21</v>
      </c>
      <c r="J159" s="43">
        <f>Funktional!E159</f>
        <v>109998.73396983455</v>
      </c>
      <c r="K159" s="44">
        <f>Funktional!G159</f>
        <v>5238.0349509445023</v>
      </c>
      <c r="L159" s="44" t="e">
        <f t="shared" si="73"/>
        <v>#DIV/0!</v>
      </c>
      <c r="M159" s="365">
        <v>421370.95</v>
      </c>
      <c r="N159" s="365">
        <v>712979.8</v>
      </c>
      <c r="O159" s="44" t="e">
        <f t="shared" si="74"/>
        <v>#DIV/0!</v>
      </c>
      <c r="P159" s="43"/>
      <c r="Q159" s="44">
        <f>Funktional!AN159/Kennzahlen!I159</f>
        <v>19.253637566525505</v>
      </c>
      <c r="R159" s="46"/>
      <c r="S159" s="365">
        <v>-46005.45</v>
      </c>
      <c r="T159" s="365">
        <v>6113</v>
      </c>
      <c r="U159" s="365">
        <v>3330.3</v>
      </c>
    </row>
    <row r="160" spans="1:21" x14ac:dyDescent="0.25">
      <c r="A160" t="str">
        <f>Funktional!A160</f>
        <v>Eggethof</v>
      </c>
      <c r="B160" t="str">
        <f>Funktional!B160</f>
        <v>KiGa</v>
      </c>
      <c r="C160" s="403">
        <f t="shared" si="68"/>
        <v>0</v>
      </c>
      <c r="D160" s="403">
        <f t="shared" si="68"/>
        <v>0</v>
      </c>
      <c r="E160">
        <v>1</v>
      </c>
      <c r="F160" s="365"/>
      <c r="G160" s="365"/>
      <c r="H160" s="43"/>
      <c r="I160" s="43">
        <f t="shared" si="72"/>
        <v>0</v>
      </c>
      <c r="J160" s="43">
        <f>Funktional!E160</f>
        <v>0</v>
      </c>
      <c r="K160" s="44">
        <f>Funktional!G160</f>
        <v>0</v>
      </c>
      <c r="L160" s="44" t="e">
        <f t="shared" si="73"/>
        <v>#DIV/0!</v>
      </c>
      <c r="M160" s="365">
        <v>147059.85</v>
      </c>
      <c r="N160" s="365">
        <v>245099.75</v>
      </c>
      <c r="O160" s="44" t="e">
        <f t="shared" si="74"/>
        <v>#DIV/0!</v>
      </c>
      <c r="P160" s="43"/>
      <c r="Q160" s="44" t="e">
        <f>Funktional!AN160/Kennzahlen!I160</f>
        <v>#DIV/0!</v>
      </c>
      <c r="R160" s="46"/>
      <c r="S160" s="365">
        <v>-66588.600000000006</v>
      </c>
      <c r="T160" s="365">
        <v>3860.1</v>
      </c>
      <c r="U160" s="365">
        <v>1061.4000000000001</v>
      </c>
    </row>
    <row r="161" spans="1:21" x14ac:dyDescent="0.25">
      <c r="A161" t="str">
        <f>Funktional!A161</f>
        <v>Egnach</v>
      </c>
      <c r="B161" t="str">
        <f>Funktional!B161</f>
        <v>KiGa</v>
      </c>
      <c r="C161" s="403">
        <f t="shared" si="68"/>
        <v>0</v>
      </c>
      <c r="D161" s="403">
        <f t="shared" si="68"/>
        <v>32</v>
      </c>
      <c r="E161">
        <v>2</v>
      </c>
      <c r="F161" s="365"/>
      <c r="G161" s="365"/>
      <c r="H161" s="43"/>
      <c r="I161" s="43">
        <f t="shared" si="72"/>
        <v>32</v>
      </c>
      <c r="J161" s="43">
        <f>Funktional!E161</f>
        <v>233101.08808552352</v>
      </c>
      <c r="K161" s="44">
        <f>Funktional!G161</f>
        <v>7284.4090026726099</v>
      </c>
      <c r="L161" s="44" t="e">
        <f t="shared" si="73"/>
        <v>#DIV/0!</v>
      </c>
      <c r="M161" s="365">
        <v>1238663.7</v>
      </c>
      <c r="N161" s="365">
        <v>1997844.68</v>
      </c>
      <c r="O161" s="44" t="e">
        <f t="shared" si="74"/>
        <v>#DIV/0!</v>
      </c>
      <c r="P161" s="43"/>
      <c r="Q161" s="44">
        <f>Funktional!AN161/Kennzahlen!I161</f>
        <v>46.875986493118504</v>
      </c>
      <c r="R161" s="46"/>
      <c r="S161" s="365">
        <v>-178838.65</v>
      </c>
      <c r="T161" s="365">
        <v>17408.2</v>
      </c>
      <c r="U161" s="365">
        <v>19046.8</v>
      </c>
    </row>
    <row r="162" spans="1:21" x14ac:dyDescent="0.25">
      <c r="A162" t="str">
        <f>Funktional!A162</f>
        <v>Engelswilen-Dotnacht</v>
      </c>
      <c r="B162" t="str">
        <f>Funktional!B162</f>
        <v>KiGa</v>
      </c>
      <c r="C162" s="403">
        <f t="shared" ref="C162:D193" si="75">C40</f>
        <v>0</v>
      </c>
      <c r="D162" s="403">
        <f t="shared" si="75"/>
        <v>0</v>
      </c>
      <c r="E162">
        <v>2</v>
      </c>
      <c r="F162" s="365"/>
      <c r="G162" s="365"/>
      <c r="H162" s="43"/>
      <c r="I162" s="43">
        <f t="shared" si="72"/>
        <v>0</v>
      </c>
      <c r="J162" s="43">
        <f>Funktional!E162</f>
        <v>0</v>
      </c>
      <c r="K162" s="44">
        <f>Funktional!G162</f>
        <v>0</v>
      </c>
      <c r="L162" s="44" t="e">
        <f t="shared" si="73"/>
        <v>#DIV/0!</v>
      </c>
      <c r="M162" s="365">
        <v>177005.65</v>
      </c>
      <c r="N162" s="365">
        <v>264811.28000000003</v>
      </c>
      <c r="O162" s="44" t="e">
        <f t="shared" si="74"/>
        <v>#DIV/0!</v>
      </c>
      <c r="P162" s="43"/>
      <c r="Q162" s="44" t="e">
        <f>Funktional!AN162/Kennzahlen!I162</f>
        <v>#DIV/0!</v>
      </c>
      <c r="R162" s="46"/>
      <c r="S162" s="365">
        <v>-59394.05</v>
      </c>
      <c r="T162" s="365">
        <v>14007.95</v>
      </c>
      <c r="U162" s="365">
        <v>4994.6499999999996</v>
      </c>
    </row>
    <row r="163" spans="1:21" x14ac:dyDescent="0.25">
      <c r="A163" t="str">
        <f>Funktional!A163</f>
        <v>Engwang-Wagerswil</v>
      </c>
      <c r="B163" t="str">
        <f>Funktional!B163</f>
        <v>KiGa</v>
      </c>
      <c r="C163" s="403">
        <f t="shared" si="75"/>
        <v>0</v>
      </c>
      <c r="D163" s="403">
        <f t="shared" si="75"/>
        <v>0</v>
      </c>
      <c r="E163">
        <v>2</v>
      </c>
      <c r="F163" s="365"/>
      <c r="G163" s="365"/>
      <c r="H163" s="43"/>
      <c r="I163" s="43">
        <f t="shared" ref="I163:I178" si="76">H163+D163</f>
        <v>0</v>
      </c>
      <c r="J163" s="43">
        <f>Funktional!E163</f>
        <v>0</v>
      </c>
      <c r="K163" s="44">
        <f>Funktional!G163</f>
        <v>0</v>
      </c>
      <c r="L163" s="44" t="e">
        <f t="shared" ref="L163:L170" si="77">J163/C163</f>
        <v>#DIV/0!</v>
      </c>
      <c r="M163" s="365">
        <v>121917.5</v>
      </c>
      <c r="N163" s="365">
        <v>234456.73</v>
      </c>
      <c r="O163" s="44" t="e">
        <f t="shared" ref="O163:O170" si="78">N163/C163</f>
        <v>#DIV/0!</v>
      </c>
      <c r="P163" s="43"/>
      <c r="Q163" s="44" t="e">
        <f>Funktional!AN163/Kennzahlen!I163</f>
        <v>#DIV/0!</v>
      </c>
      <c r="R163" s="46"/>
      <c r="S163" s="365">
        <v>-16116.2</v>
      </c>
      <c r="T163" s="365">
        <v>2946.05</v>
      </c>
      <c r="U163" s="365">
        <v>2576.4499999999998</v>
      </c>
    </row>
    <row r="164" spans="1:21" x14ac:dyDescent="0.25">
      <c r="A164" t="str">
        <f>Funktional!A164</f>
        <v>Ermatingen</v>
      </c>
      <c r="B164" t="str">
        <f>Funktional!B164</f>
        <v>KiGa</v>
      </c>
      <c r="C164" s="403">
        <f t="shared" si="75"/>
        <v>0</v>
      </c>
      <c r="D164" s="403">
        <f t="shared" si="75"/>
        <v>55</v>
      </c>
      <c r="E164">
        <v>2</v>
      </c>
      <c r="F164" s="365"/>
      <c r="G164" s="365"/>
      <c r="H164" s="43"/>
      <c r="I164" s="43">
        <f t="shared" si="76"/>
        <v>55</v>
      </c>
      <c r="J164" s="43">
        <f>Funktional!E164</f>
        <v>479133.2029510428</v>
      </c>
      <c r="K164" s="44">
        <f>Funktional!G164</f>
        <v>8711.5127809280511</v>
      </c>
      <c r="L164" s="44" t="e">
        <f t="shared" si="77"/>
        <v>#DIV/0!</v>
      </c>
      <c r="M164" s="365">
        <v>2218730.4</v>
      </c>
      <c r="N164" s="365">
        <v>4437460.8</v>
      </c>
      <c r="O164" s="44" t="e">
        <f t="shared" si="78"/>
        <v>#DIV/0!</v>
      </c>
      <c r="P164" s="43"/>
      <c r="Q164" s="44">
        <f>Funktional!AN164/Kennzahlen!I164</f>
        <v>28.612053706086542</v>
      </c>
      <c r="R164" s="46"/>
      <c r="S164" s="365">
        <v>-531628.1</v>
      </c>
      <c r="T164" s="365">
        <v>129067.7</v>
      </c>
      <c r="U164" s="365">
        <v>13344.75</v>
      </c>
    </row>
    <row r="165" spans="1:21" x14ac:dyDescent="0.25">
      <c r="A165" t="str">
        <f>Funktional!A165</f>
        <v>Eschenz</v>
      </c>
      <c r="B165" t="str">
        <f>Funktional!B165</f>
        <v>KiGa</v>
      </c>
      <c r="C165" s="403">
        <f t="shared" si="75"/>
        <v>0</v>
      </c>
      <c r="D165" s="403">
        <f t="shared" si="75"/>
        <v>48</v>
      </c>
      <c r="E165">
        <v>2</v>
      </c>
      <c r="F165" s="365"/>
      <c r="G165" s="365"/>
      <c r="H165" s="43"/>
      <c r="I165" s="43">
        <f t="shared" si="76"/>
        <v>48</v>
      </c>
      <c r="J165" s="43">
        <f>Funktional!E165</f>
        <v>246909.46564961248</v>
      </c>
      <c r="K165" s="44">
        <f>Funktional!G165</f>
        <v>5143.947201033593</v>
      </c>
      <c r="L165" s="44" t="e">
        <f t="shared" si="77"/>
        <v>#DIV/0!</v>
      </c>
      <c r="M165" s="365">
        <v>1027245.9</v>
      </c>
      <c r="N165" s="365">
        <v>1580378.31</v>
      </c>
      <c r="O165" s="44" t="e">
        <f t="shared" si="78"/>
        <v>#DIV/0!</v>
      </c>
      <c r="P165" s="43"/>
      <c r="Q165" s="44">
        <f>Funktional!AN165/Kennzahlen!I165</f>
        <v>22.755527067921079</v>
      </c>
      <c r="R165" s="46"/>
      <c r="S165" s="365">
        <v>-143426.70000000001</v>
      </c>
      <c r="T165" s="365">
        <v>19950</v>
      </c>
      <c r="U165" s="365">
        <v>17766.849999999999</v>
      </c>
    </row>
    <row r="166" spans="1:21" x14ac:dyDescent="0.25">
      <c r="A166" t="str">
        <f>Funktional!A166</f>
        <v>Ettenhausen</v>
      </c>
      <c r="B166" t="str">
        <f>Funktional!B166</f>
        <v>KiGa</v>
      </c>
      <c r="C166" s="403">
        <f t="shared" si="75"/>
        <v>0</v>
      </c>
      <c r="D166" s="403">
        <f t="shared" si="75"/>
        <v>28</v>
      </c>
      <c r="E166">
        <v>2</v>
      </c>
      <c r="F166" s="365"/>
      <c r="G166" s="365"/>
      <c r="H166" s="43"/>
      <c r="I166" s="43">
        <f t="shared" si="76"/>
        <v>28</v>
      </c>
      <c r="J166" s="43">
        <f>Funktional!E166</f>
        <v>177606.41060378141</v>
      </c>
      <c r="K166" s="44">
        <f>Funktional!G166</f>
        <v>6343.0860929921928</v>
      </c>
      <c r="L166" s="44" t="e">
        <f t="shared" si="77"/>
        <v>#DIV/0!</v>
      </c>
      <c r="M166" s="365">
        <v>756043.35</v>
      </c>
      <c r="N166" s="365">
        <v>1453929.52</v>
      </c>
      <c r="O166" s="44" t="e">
        <f t="shared" si="78"/>
        <v>#DIV/0!</v>
      </c>
      <c r="P166" s="43"/>
      <c r="Q166" s="44">
        <f>Funktional!AN166/Kennzahlen!I166</f>
        <v>26.289304784014501</v>
      </c>
      <c r="R166" s="46"/>
      <c r="S166" s="365">
        <v>-6740.4</v>
      </c>
      <c r="T166" s="365">
        <v>15443</v>
      </c>
      <c r="U166" s="365">
        <v>1082</v>
      </c>
    </row>
    <row r="167" spans="1:21" x14ac:dyDescent="0.25">
      <c r="A167" t="str">
        <f>Funktional!A167</f>
        <v>Felben-Wellhausen</v>
      </c>
      <c r="B167" t="str">
        <f>Funktional!B167</f>
        <v>KiGa</v>
      </c>
      <c r="C167" s="403">
        <f t="shared" si="75"/>
        <v>0</v>
      </c>
      <c r="D167" s="403">
        <f t="shared" si="75"/>
        <v>60</v>
      </c>
      <c r="E167">
        <v>2</v>
      </c>
      <c r="F167" s="365"/>
      <c r="G167" s="365"/>
      <c r="H167" s="43"/>
      <c r="I167" s="43">
        <f t="shared" si="76"/>
        <v>60</v>
      </c>
      <c r="J167" s="43">
        <f>Funktional!E167</f>
        <v>338051.67958430736</v>
      </c>
      <c r="K167" s="44">
        <f>Funktional!G167</f>
        <v>5634.1946597384558</v>
      </c>
      <c r="L167" s="44" t="e">
        <f t="shared" si="77"/>
        <v>#DIV/0!</v>
      </c>
      <c r="M167" s="365">
        <v>2899736.05</v>
      </c>
      <c r="N167" s="365">
        <v>3624670.06</v>
      </c>
      <c r="O167" s="44" t="e">
        <f t="shared" si="78"/>
        <v>#DIV/0!</v>
      </c>
      <c r="P167" s="43"/>
      <c r="Q167" s="44">
        <f>Funktional!AN167/Kennzahlen!I167</f>
        <v>28.775594174997781</v>
      </c>
      <c r="R167" s="46"/>
      <c r="S167" s="365">
        <v>832656.5</v>
      </c>
      <c r="T167" s="365">
        <v>7015</v>
      </c>
      <c r="U167" s="365">
        <v>21806.05</v>
      </c>
    </row>
    <row r="168" spans="1:21" x14ac:dyDescent="0.25">
      <c r="A168" t="str">
        <f>Funktional!A168</f>
        <v>Fimmelsberg-Holzhäusern</v>
      </c>
      <c r="B168" t="str">
        <f>Funktional!B168</f>
        <v>KiGa</v>
      </c>
      <c r="C168" s="403">
        <f t="shared" si="75"/>
        <v>0</v>
      </c>
      <c r="D168" s="403">
        <f t="shared" si="75"/>
        <v>15</v>
      </c>
      <c r="E168">
        <v>1</v>
      </c>
      <c r="F168" s="365"/>
      <c r="G168" s="365"/>
      <c r="H168" s="43"/>
      <c r="I168" s="43">
        <f t="shared" si="76"/>
        <v>15</v>
      </c>
      <c r="J168" s="43">
        <f>Funktional!E168</f>
        <v>145131.45179896854</v>
      </c>
      <c r="K168" s="44">
        <f>Funktional!G168</f>
        <v>9675.4301199312358</v>
      </c>
      <c r="L168" s="44" t="e">
        <f t="shared" si="77"/>
        <v>#DIV/0!</v>
      </c>
      <c r="M168" s="365">
        <v>379892.65</v>
      </c>
      <c r="N168" s="365">
        <v>535060.06999999995</v>
      </c>
      <c r="O168" s="44" t="e">
        <f t="shared" si="78"/>
        <v>#DIV/0!</v>
      </c>
      <c r="P168" s="43"/>
      <c r="Q168" s="44">
        <f>Funktional!AN168/Kennzahlen!I168</f>
        <v>49.257946405028484</v>
      </c>
      <c r="R168" s="46"/>
      <c r="S168" s="365">
        <v>-6381.14</v>
      </c>
      <c r="T168" s="365">
        <v>13442.8</v>
      </c>
      <c r="U168" s="365">
        <v>4582.25</v>
      </c>
    </row>
    <row r="169" spans="1:21" x14ac:dyDescent="0.25">
      <c r="A169" t="str">
        <f>Funktional!A169</f>
        <v>Fischingen</v>
      </c>
      <c r="B169" t="str">
        <f>Funktional!B169</f>
        <v>KiGa</v>
      </c>
      <c r="C169" s="403">
        <f t="shared" si="75"/>
        <v>0</v>
      </c>
      <c r="D169" s="403">
        <f t="shared" si="75"/>
        <v>20</v>
      </c>
      <c r="E169">
        <v>2</v>
      </c>
      <c r="F169" s="365"/>
      <c r="G169" s="365"/>
      <c r="H169" s="43"/>
      <c r="I169" s="43">
        <f t="shared" si="76"/>
        <v>20</v>
      </c>
      <c r="J169" s="43">
        <f>Funktional!E169</f>
        <v>157202.65009648458</v>
      </c>
      <c r="K169" s="44">
        <f>Funktional!G169</f>
        <v>7860.1325048242288</v>
      </c>
      <c r="L169" s="44" t="e">
        <f t="shared" si="77"/>
        <v>#DIV/0!</v>
      </c>
      <c r="M169" s="365">
        <v>236623.15</v>
      </c>
      <c r="N169" s="365">
        <v>473246.3</v>
      </c>
      <c r="O169" s="44" t="e">
        <f t="shared" si="78"/>
        <v>#DIV/0!</v>
      </c>
      <c r="P169" s="43"/>
      <c r="Q169" s="44">
        <f>Funktional!AN169/Kennzahlen!I169</f>
        <v>17.951675840631321</v>
      </c>
      <c r="R169" s="46"/>
      <c r="S169" s="365">
        <v>-35826.199999999997</v>
      </c>
      <c r="T169" s="365">
        <v>2300</v>
      </c>
      <c r="U169" s="365">
        <v>2523.0500000000002</v>
      </c>
    </row>
    <row r="170" spans="1:21" x14ac:dyDescent="0.25">
      <c r="A170" t="str">
        <f>Funktional!A170</f>
        <v>Frauenfeld</v>
      </c>
      <c r="B170" t="str">
        <f>Funktional!B170</f>
        <v>KiGa</v>
      </c>
      <c r="C170" s="403">
        <f t="shared" si="75"/>
        <v>0</v>
      </c>
      <c r="D170" s="403">
        <f t="shared" si="75"/>
        <v>476</v>
      </c>
      <c r="E170">
        <v>2</v>
      </c>
      <c r="F170" s="365"/>
      <c r="G170" s="365"/>
      <c r="H170" s="43"/>
      <c r="I170" s="43">
        <f t="shared" si="76"/>
        <v>476</v>
      </c>
      <c r="J170" s="43">
        <f>Funktional!E170</f>
        <v>3362493.3032789156</v>
      </c>
      <c r="K170" s="44">
        <f>Funktional!G170</f>
        <v>7064.061561510327</v>
      </c>
      <c r="L170" s="44" t="e">
        <f t="shared" si="77"/>
        <v>#DIV/0!</v>
      </c>
      <c r="M170" s="365">
        <v>19754749.75</v>
      </c>
      <c r="N170" s="365">
        <v>38742951.530000001</v>
      </c>
      <c r="O170" s="44" t="e">
        <f t="shared" si="78"/>
        <v>#DIV/0!</v>
      </c>
      <c r="P170" s="43"/>
      <c r="Q170" s="44">
        <f>Funktional!AN170/Kennzahlen!I170</f>
        <v>-23.602275023944248</v>
      </c>
      <c r="R170" s="46"/>
      <c r="S170" s="365">
        <v>-68830.3</v>
      </c>
      <c r="T170" s="365">
        <v>981368.2</v>
      </c>
      <c r="U170" s="365">
        <v>265909.40000000002</v>
      </c>
    </row>
    <row r="171" spans="1:21" x14ac:dyDescent="0.25">
      <c r="A171" t="str">
        <f>Funktional!A171</f>
        <v>Friltschen</v>
      </c>
      <c r="B171" t="str">
        <f>Funktional!B171</f>
        <v>KiGa</v>
      </c>
      <c r="C171" s="403">
        <f t="shared" si="75"/>
        <v>0</v>
      </c>
      <c r="D171" s="403">
        <f t="shared" si="75"/>
        <v>0</v>
      </c>
      <c r="E171">
        <v>2</v>
      </c>
      <c r="F171" s="365"/>
      <c r="G171" s="365"/>
      <c r="H171" s="43"/>
      <c r="I171" s="43">
        <f t="shared" si="76"/>
        <v>0</v>
      </c>
      <c r="J171" s="43">
        <f>Funktional!E171</f>
        <v>0</v>
      </c>
      <c r="K171" s="44">
        <f>Funktional!G171</f>
        <v>0</v>
      </c>
      <c r="L171" s="44" t="e">
        <f>J171/C171</f>
        <v>#DIV/0!</v>
      </c>
      <c r="M171" s="365">
        <v>183899.85</v>
      </c>
      <c r="N171" s="365">
        <v>291904.52</v>
      </c>
      <c r="O171" s="44" t="e">
        <f>N171/C171</f>
        <v>#DIV/0!</v>
      </c>
      <c r="P171" s="43"/>
      <c r="Q171" s="44" t="e">
        <f>Funktional!AN171/Kennzahlen!I171</f>
        <v>#DIV/0!</v>
      </c>
      <c r="R171" s="46"/>
      <c r="S171" s="365">
        <v>51382.2</v>
      </c>
      <c r="T171" s="365">
        <v>3443.65</v>
      </c>
      <c r="U171" s="365">
        <v>7479.7</v>
      </c>
    </row>
    <row r="172" spans="1:21" x14ac:dyDescent="0.25">
      <c r="A172" t="str">
        <f>Funktional!A172</f>
        <v>Gachnang</v>
      </c>
      <c r="B172" t="str">
        <f>Funktional!B172</f>
        <v>KiGa</v>
      </c>
      <c r="C172" s="403">
        <f t="shared" si="75"/>
        <v>0</v>
      </c>
      <c r="D172" s="403">
        <f t="shared" si="75"/>
        <v>87</v>
      </c>
      <c r="E172">
        <v>2</v>
      </c>
      <c r="F172" s="365"/>
      <c r="G172" s="365"/>
      <c r="H172" s="43"/>
      <c r="I172" s="43">
        <f t="shared" si="76"/>
        <v>87</v>
      </c>
      <c r="J172" s="43">
        <f>Funktional!E172</f>
        <v>552252.000079897</v>
      </c>
      <c r="K172" s="44">
        <f>Funktional!G172</f>
        <v>6347.7241388493912</v>
      </c>
      <c r="L172" s="44" t="e">
        <f t="shared" ref="L172:L186" si="79">J172/C172</f>
        <v>#DIV/0!</v>
      </c>
      <c r="M172" s="365">
        <v>3165395.4</v>
      </c>
      <c r="N172" s="365">
        <v>4220527.2</v>
      </c>
      <c r="O172" s="44" t="e">
        <f t="shared" ref="O172:O186" si="80">N172/C172</f>
        <v>#DIV/0!</v>
      </c>
      <c r="P172" s="43"/>
      <c r="Q172" s="44">
        <f>Funktional!AN172/Kennzahlen!I172</f>
        <v>16.315442986320367</v>
      </c>
      <c r="R172" s="46"/>
      <c r="S172" s="365">
        <v>285886.90000000002</v>
      </c>
      <c r="T172" s="365">
        <v>114692.75</v>
      </c>
      <c r="U172" s="365">
        <v>24747.35</v>
      </c>
    </row>
    <row r="173" spans="1:21" x14ac:dyDescent="0.25">
      <c r="A173" t="str">
        <f>Funktional!A173</f>
        <v>Götighofen</v>
      </c>
      <c r="B173" t="str">
        <f>Funktional!B173</f>
        <v>KiGa</v>
      </c>
      <c r="C173" s="403">
        <f t="shared" si="75"/>
        <v>0</v>
      </c>
      <c r="D173" s="403">
        <f t="shared" si="75"/>
        <v>18</v>
      </c>
      <c r="E173">
        <v>1</v>
      </c>
      <c r="F173" s="365"/>
      <c r="G173" s="365"/>
      <c r="H173" s="43"/>
      <c r="I173" s="43">
        <f t="shared" si="76"/>
        <v>18</v>
      </c>
      <c r="J173" s="43">
        <f>Funktional!E173</f>
        <v>172329.65457250323</v>
      </c>
      <c r="K173" s="44">
        <f>Funktional!G173</f>
        <v>9573.8696984724011</v>
      </c>
      <c r="L173" s="44" t="e">
        <f t="shared" si="79"/>
        <v>#DIV/0!</v>
      </c>
      <c r="M173" s="365">
        <v>375586.7</v>
      </c>
      <c r="N173" s="365">
        <v>591114.43000000005</v>
      </c>
      <c r="O173" s="44" t="e">
        <f t="shared" si="80"/>
        <v>#DIV/0!</v>
      </c>
      <c r="P173" s="43"/>
      <c r="Q173" s="44">
        <f>Funktional!AN173/Kennzahlen!I173</f>
        <v>55.346324071041792</v>
      </c>
      <c r="R173" s="46"/>
      <c r="S173" s="365">
        <v>-66749</v>
      </c>
      <c r="T173" s="365">
        <v>5179.1000000000004</v>
      </c>
      <c r="U173" s="365">
        <v>746</v>
      </c>
    </row>
    <row r="174" spans="1:21" x14ac:dyDescent="0.25">
      <c r="A174" t="str">
        <f>Funktional!A174</f>
        <v>Gottlieben</v>
      </c>
      <c r="B174" t="str">
        <f>Funktional!B174</f>
        <v>KiGa</v>
      </c>
      <c r="C174" s="403">
        <f t="shared" si="75"/>
        <v>0</v>
      </c>
      <c r="D174" s="403">
        <f t="shared" si="75"/>
        <v>0</v>
      </c>
      <c r="E174">
        <v>2</v>
      </c>
      <c r="F174" s="365"/>
      <c r="G174" s="365"/>
      <c r="H174" s="43"/>
      <c r="I174" s="43">
        <f t="shared" si="76"/>
        <v>0</v>
      </c>
      <c r="J174" s="43">
        <f>Funktional!E174</f>
        <v>0</v>
      </c>
      <c r="K174" s="44">
        <f>Funktional!G174</f>
        <v>0</v>
      </c>
      <c r="L174" s="44" t="e">
        <f t="shared" si="79"/>
        <v>#DIV/0!</v>
      </c>
      <c r="M174" s="365">
        <v>211800.25</v>
      </c>
      <c r="N174" s="365">
        <v>706000.83</v>
      </c>
      <c r="O174" s="44" t="e">
        <f t="shared" si="80"/>
        <v>#DIV/0!</v>
      </c>
      <c r="P174" s="43"/>
      <c r="Q174" s="44" t="e">
        <f>Funktional!AN174/Kennzahlen!I174</f>
        <v>#DIV/0!</v>
      </c>
      <c r="R174" s="46"/>
      <c r="S174" s="365">
        <v>-38925.300000000003</v>
      </c>
      <c r="T174" s="365">
        <v>6307.75</v>
      </c>
      <c r="U174" s="365">
        <v>112.15</v>
      </c>
    </row>
    <row r="175" spans="1:21" x14ac:dyDescent="0.25">
      <c r="A175" t="str">
        <f>Funktional!A175</f>
        <v>Gottshaus</v>
      </c>
      <c r="B175" t="str">
        <f>Funktional!B175</f>
        <v>KiGa</v>
      </c>
      <c r="C175" s="403">
        <f t="shared" si="75"/>
        <v>0</v>
      </c>
      <c r="D175" s="403">
        <f t="shared" si="75"/>
        <v>17</v>
      </c>
      <c r="E175">
        <v>2</v>
      </c>
      <c r="F175" s="365"/>
      <c r="G175" s="365"/>
      <c r="H175" s="43"/>
      <c r="I175" s="43">
        <f t="shared" si="76"/>
        <v>17</v>
      </c>
      <c r="J175" s="43">
        <f>Funktional!E175</f>
        <v>126125.42400374384</v>
      </c>
      <c r="K175" s="44">
        <f>Funktional!G175</f>
        <v>7419.1425884555201</v>
      </c>
      <c r="L175" s="44" t="e">
        <f t="shared" si="79"/>
        <v>#DIV/0!</v>
      </c>
      <c r="M175" s="365">
        <v>380098.5</v>
      </c>
      <c r="N175" s="365">
        <v>666839.47</v>
      </c>
      <c r="O175" s="44" t="e">
        <f t="shared" si="80"/>
        <v>#DIV/0!</v>
      </c>
      <c r="P175" s="43"/>
      <c r="Q175" s="44">
        <f>Funktional!AN175/Kennzahlen!I175</f>
        <v>28.29595292033774</v>
      </c>
      <c r="R175" s="46"/>
      <c r="S175" s="365">
        <v>-148631.35</v>
      </c>
      <c r="T175" s="365">
        <v>15057</v>
      </c>
      <c r="U175" s="365">
        <v>2259.9</v>
      </c>
    </row>
    <row r="176" spans="1:21" x14ac:dyDescent="0.25">
      <c r="A176" t="str">
        <f>Funktional!A176</f>
        <v>Gündelhart-Hörhausen</v>
      </c>
      <c r="B176" t="str">
        <f>Funktional!B176</f>
        <v>KiGa</v>
      </c>
      <c r="C176" s="403">
        <f t="shared" si="75"/>
        <v>0</v>
      </c>
      <c r="D176" s="403">
        <f t="shared" si="75"/>
        <v>20</v>
      </c>
      <c r="E176">
        <v>1</v>
      </c>
      <c r="F176" s="365"/>
      <c r="G176" s="365"/>
      <c r="H176" s="43"/>
      <c r="I176" s="43">
        <f t="shared" si="76"/>
        <v>20</v>
      </c>
      <c r="J176" s="43">
        <f>Funktional!E176</f>
        <v>106183.52203744321</v>
      </c>
      <c r="K176" s="44">
        <f>Funktional!G176</f>
        <v>5309.1761018721609</v>
      </c>
      <c r="L176" s="44" t="e">
        <f t="shared" si="79"/>
        <v>#DIV/0!</v>
      </c>
      <c r="M176" s="365">
        <v>381553.7</v>
      </c>
      <c r="N176" s="365">
        <v>569483.13</v>
      </c>
      <c r="O176" s="44" t="e">
        <f t="shared" si="80"/>
        <v>#DIV/0!</v>
      </c>
      <c r="P176" s="43"/>
      <c r="Q176" s="44">
        <f>Funktional!AN176/Kennzahlen!I176</f>
        <v>43.481725819122843</v>
      </c>
      <c r="R176" s="46"/>
      <c r="S176" s="365">
        <v>-17246.45</v>
      </c>
      <c r="T176" s="365">
        <v>26515.9</v>
      </c>
      <c r="U176" s="365">
        <v>-1847.5</v>
      </c>
    </row>
    <row r="177" spans="1:21" x14ac:dyDescent="0.25">
      <c r="A177" t="str">
        <f>Funktional!A177</f>
        <v>Guntershausen</v>
      </c>
      <c r="B177" t="str">
        <f>Funktional!B177</f>
        <v>KiGa</v>
      </c>
      <c r="C177" s="403">
        <f t="shared" si="75"/>
        <v>0</v>
      </c>
      <c r="D177" s="403">
        <f t="shared" si="75"/>
        <v>20</v>
      </c>
      <c r="E177">
        <v>1</v>
      </c>
      <c r="F177" s="365"/>
      <c r="G177" s="365"/>
      <c r="H177" s="43"/>
      <c r="I177" s="43">
        <f t="shared" si="76"/>
        <v>20</v>
      </c>
      <c r="J177" s="43">
        <f>Funktional!E177</f>
        <v>193297.8481762989</v>
      </c>
      <c r="K177" s="44">
        <f>Funktional!G177</f>
        <v>9664.8924088149452</v>
      </c>
      <c r="L177" s="44" t="e">
        <f t="shared" si="79"/>
        <v>#DIV/0!</v>
      </c>
      <c r="M177" s="365">
        <v>756342.5</v>
      </c>
      <c r="N177" s="365">
        <v>1454504.81</v>
      </c>
      <c r="O177" s="44" t="e">
        <f t="shared" si="80"/>
        <v>#DIV/0!</v>
      </c>
      <c r="P177" s="43"/>
      <c r="Q177" s="44">
        <f>Funktional!AN177/Kennzahlen!I177</f>
        <v>22.36249195149249</v>
      </c>
      <c r="R177" s="46"/>
      <c r="S177" s="365">
        <v>-97554.11</v>
      </c>
      <c r="T177" s="365">
        <v>45961.55</v>
      </c>
      <c r="U177" s="365">
        <v>3672.45</v>
      </c>
    </row>
    <row r="178" spans="1:21" x14ac:dyDescent="0.25">
      <c r="A178" t="str">
        <f>Funktional!A178</f>
        <v>Güttingen</v>
      </c>
      <c r="B178" t="str">
        <f>Funktional!B178</f>
        <v>KiGa</v>
      </c>
      <c r="C178" s="403">
        <f t="shared" si="75"/>
        <v>0</v>
      </c>
      <c r="D178" s="403">
        <f t="shared" si="75"/>
        <v>30</v>
      </c>
      <c r="E178">
        <v>1</v>
      </c>
      <c r="F178" s="365"/>
      <c r="G178" s="365"/>
      <c r="H178" s="43"/>
      <c r="I178" s="43">
        <f t="shared" si="76"/>
        <v>30</v>
      </c>
      <c r="J178" s="43">
        <f>Funktional!E178</f>
        <v>184788.15214906129</v>
      </c>
      <c r="K178" s="44">
        <f>Funktional!G178</f>
        <v>6159.6050716353766</v>
      </c>
      <c r="L178" s="44" t="e">
        <f t="shared" si="79"/>
        <v>#DIV/0!</v>
      </c>
      <c r="M178" s="365">
        <v>990309.9</v>
      </c>
      <c r="N178" s="365">
        <v>1650516.5</v>
      </c>
      <c r="O178" s="44" t="e">
        <f t="shared" si="80"/>
        <v>#DIV/0!</v>
      </c>
      <c r="P178" s="43"/>
      <c r="Q178" s="44">
        <f>Funktional!AN178/Kennzahlen!I178</f>
        <v>25.846174531094682</v>
      </c>
      <c r="R178" s="46"/>
      <c r="S178" s="365">
        <v>-305934.84999999998</v>
      </c>
      <c r="T178" s="365">
        <v>14695.2</v>
      </c>
      <c r="U178" s="365">
        <v>13459.4</v>
      </c>
    </row>
    <row r="179" spans="1:21" x14ac:dyDescent="0.25">
      <c r="A179" t="str">
        <f>Funktional!A179</f>
        <v>Halden-Kenzenau</v>
      </c>
      <c r="B179" t="str">
        <f>Funktional!B179</f>
        <v>KiGa</v>
      </c>
      <c r="C179" s="403">
        <f t="shared" si="75"/>
        <v>0</v>
      </c>
      <c r="D179" s="403">
        <f t="shared" si="75"/>
        <v>23</v>
      </c>
      <c r="E179">
        <v>2</v>
      </c>
      <c r="F179" s="365"/>
      <c r="G179" s="365"/>
      <c r="H179" s="43"/>
      <c r="I179" s="43">
        <f t="shared" ref="I179:I186" si="81">H179+D179</f>
        <v>23</v>
      </c>
      <c r="J179" s="43">
        <f>Funktional!E179</f>
        <v>93296.324893298413</v>
      </c>
      <c r="K179" s="44">
        <f>Funktional!G179</f>
        <v>4056.3619518825399</v>
      </c>
      <c r="L179" s="44" t="e">
        <f t="shared" si="79"/>
        <v>#DIV/0!</v>
      </c>
      <c r="M179" s="365">
        <v>400558.05</v>
      </c>
      <c r="N179" s="365">
        <v>597847.84</v>
      </c>
      <c r="O179" s="44" t="e">
        <f t="shared" si="80"/>
        <v>#DIV/0!</v>
      </c>
      <c r="P179" s="43"/>
      <c r="Q179" s="44">
        <f>Funktional!AN179/Kennzahlen!I179</f>
        <v>33.176840919400426</v>
      </c>
      <c r="R179" s="46"/>
      <c r="S179" s="365">
        <v>21262.35</v>
      </c>
      <c r="T179" s="365">
        <v>6097.3</v>
      </c>
      <c r="U179" s="365">
        <v>3787</v>
      </c>
    </row>
    <row r="180" spans="1:21" x14ac:dyDescent="0.25">
      <c r="A180" t="str">
        <f>Funktional!A180</f>
        <v>Hauptwil</v>
      </c>
      <c r="B180" t="str">
        <f>Funktional!B180</f>
        <v>KiGa</v>
      </c>
      <c r="C180" s="403">
        <f t="shared" si="75"/>
        <v>0</v>
      </c>
      <c r="D180" s="403">
        <f t="shared" si="75"/>
        <v>22</v>
      </c>
      <c r="E180">
        <v>1</v>
      </c>
      <c r="F180" s="365"/>
      <c r="G180" s="365"/>
      <c r="H180" s="43"/>
      <c r="I180" s="43">
        <f t="shared" si="81"/>
        <v>22</v>
      </c>
      <c r="J180" s="43">
        <f>Funktional!E180</f>
        <v>224712.7902973798</v>
      </c>
      <c r="K180" s="44">
        <f>Funktional!G180</f>
        <v>10214.217740789991</v>
      </c>
      <c r="L180" s="44" t="e">
        <f t="shared" si="79"/>
        <v>#DIV/0!</v>
      </c>
      <c r="M180" s="365">
        <v>723703.4</v>
      </c>
      <c r="N180" s="365">
        <v>1269655.0900000001</v>
      </c>
      <c r="O180" s="44" t="e">
        <f t="shared" si="80"/>
        <v>#DIV/0!</v>
      </c>
      <c r="P180" s="43"/>
      <c r="Q180" s="44">
        <f>Funktional!AN180/Kennzahlen!I180</f>
        <v>9.9804827810465131</v>
      </c>
      <c r="R180" s="46"/>
      <c r="S180" s="365">
        <v>-223624.8</v>
      </c>
      <c r="T180" s="365">
        <v>15959</v>
      </c>
      <c r="U180" s="365">
        <v>9856.0499999999993</v>
      </c>
    </row>
    <row r="181" spans="1:21" x14ac:dyDescent="0.25">
      <c r="A181" t="str">
        <f>Funktional!A181</f>
        <v>Häuslenen-Aawangen</v>
      </c>
      <c r="B181" t="str">
        <f>Funktional!B181</f>
        <v>KiGa</v>
      </c>
      <c r="C181" s="403">
        <f t="shared" si="75"/>
        <v>0</v>
      </c>
      <c r="D181" s="403">
        <f t="shared" si="75"/>
        <v>11</v>
      </c>
      <c r="E181">
        <v>2</v>
      </c>
      <c r="F181" s="365"/>
      <c r="G181" s="365"/>
      <c r="H181" s="43"/>
      <c r="I181" s="43">
        <f t="shared" si="81"/>
        <v>11</v>
      </c>
      <c r="J181" s="43">
        <f>Funktional!E181</f>
        <v>119568.50743308497</v>
      </c>
      <c r="K181" s="44">
        <f>Funktional!G181</f>
        <v>10869.864312098634</v>
      </c>
      <c r="L181" s="44" t="e">
        <f t="shared" si="79"/>
        <v>#DIV/0!</v>
      </c>
      <c r="M181" s="365">
        <v>314156.25</v>
      </c>
      <c r="N181" s="365">
        <v>604146.63</v>
      </c>
      <c r="O181" s="44" t="e">
        <f t="shared" si="80"/>
        <v>#DIV/0!</v>
      </c>
      <c r="P181" s="43"/>
      <c r="Q181" s="44">
        <f>Funktional!AN181/Kennzahlen!I181</f>
        <v>17.119661281847687</v>
      </c>
      <c r="R181" s="46"/>
      <c r="S181" s="365">
        <v>-23061</v>
      </c>
      <c r="T181" s="365">
        <v>8155.8</v>
      </c>
      <c r="U181" s="365">
        <v>10875.15</v>
      </c>
    </row>
    <row r="182" spans="1:21" x14ac:dyDescent="0.25">
      <c r="A182" t="str">
        <f>Funktional!A182</f>
        <v>Hefenhofen</v>
      </c>
      <c r="B182" t="str">
        <f>Funktional!B182</f>
        <v>KiGa</v>
      </c>
      <c r="C182" s="403">
        <f t="shared" si="75"/>
        <v>0</v>
      </c>
      <c r="D182" s="403">
        <f t="shared" si="75"/>
        <v>43</v>
      </c>
      <c r="E182">
        <v>2</v>
      </c>
      <c r="F182" s="365"/>
      <c r="G182" s="365"/>
      <c r="H182" s="43"/>
      <c r="I182" s="43">
        <f t="shared" si="81"/>
        <v>43</v>
      </c>
      <c r="J182" s="43">
        <f>Funktional!E182</f>
        <v>200037.86469232923</v>
      </c>
      <c r="K182" s="44">
        <f>Funktional!G182</f>
        <v>4652.0433649378892</v>
      </c>
      <c r="L182" s="44" t="e">
        <f t="shared" si="79"/>
        <v>#DIV/0!</v>
      </c>
      <c r="M182" s="365">
        <v>685679.15</v>
      </c>
      <c r="N182" s="365">
        <v>1162168.05</v>
      </c>
      <c r="O182" s="44" t="e">
        <f t="shared" si="80"/>
        <v>#DIV/0!</v>
      </c>
      <c r="P182" s="43"/>
      <c r="Q182" s="44">
        <f>Funktional!AN182/Kennzahlen!I182</f>
        <v>24.897165523219382</v>
      </c>
      <c r="R182" s="46"/>
      <c r="S182" s="365">
        <v>-41258.35</v>
      </c>
      <c r="T182" s="365">
        <v>8792.5</v>
      </c>
      <c r="U182" s="365">
        <v>5280.85</v>
      </c>
    </row>
    <row r="183" spans="1:21" x14ac:dyDescent="0.25">
      <c r="A183" t="str">
        <f>Funktional!A183</f>
        <v>Hegi-Winden</v>
      </c>
      <c r="B183" t="str">
        <f>Funktional!B183</f>
        <v>KiGa</v>
      </c>
      <c r="C183" s="403">
        <f t="shared" si="75"/>
        <v>0</v>
      </c>
      <c r="D183" s="403">
        <f t="shared" si="75"/>
        <v>19</v>
      </c>
      <c r="E183">
        <v>2</v>
      </c>
      <c r="F183" s="365"/>
      <c r="G183" s="365"/>
      <c r="H183" s="43"/>
      <c r="I183" s="43">
        <f t="shared" si="81"/>
        <v>19</v>
      </c>
      <c r="J183" s="43">
        <f>Funktional!E183</f>
        <v>116830.52522263382</v>
      </c>
      <c r="K183" s="44">
        <f>Funktional!G183</f>
        <v>6148.975011717569</v>
      </c>
      <c r="L183" s="44" t="e">
        <f t="shared" si="79"/>
        <v>#DIV/0!</v>
      </c>
      <c r="M183" s="365">
        <v>277079.15000000002</v>
      </c>
      <c r="N183" s="365">
        <v>446901.85</v>
      </c>
      <c r="O183" s="44" t="e">
        <f t="shared" si="80"/>
        <v>#DIV/0!</v>
      </c>
      <c r="P183" s="43"/>
      <c r="Q183" s="44">
        <f>Funktional!AN183/Kennzahlen!I183</f>
        <v>21.528562558753794</v>
      </c>
      <c r="R183" s="46"/>
      <c r="S183" s="365">
        <v>-59863.45</v>
      </c>
      <c r="T183" s="365">
        <v>5764.05</v>
      </c>
      <c r="U183" s="365">
        <v>5792.3</v>
      </c>
    </row>
    <row r="184" spans="1:21" x14ac:dyDescent="0.25">
      <c r="A184" t="str">
        <f>Funktional!A184</f>
        <v>Herdern</v>
      </c>
      <c r="B184" t="str">
        <f>Funktional!B184</f>
        <v>KiGa</v>
      </c>
      <c r="C184" s="403">
        <f t="shared" si="75"/>
        <v>0</v>
      </c>
      <c r="D184" s="403">
        <f t="shared" si="75"/>
        <v>18</v>
      </c>
      <c r="E184">
        <v>2</v>
      </c>
      <c r="F184" s="365"/>
      <c r="G184" s="365"/>
      <c r="H184" s="43"/>
      <c r="I184" s="43">
        <f t="shared" si="81"/>
        <v>18</v>
      </c>
      <c r="J184" s="43">
        <f>Funktional!E184</f>
        <v>95131.009123283744</v>
      </c>
      <c r="K184" s="44">
        <f>Funktional!G184</f>
        <v>5285.056062404652</v>
      </c>
      <c r="L184" s="44" t="e">
        <f t="shared" si="79"/>
        <v>#DIV/0!</v>
      </c>
      <c r="M184" s="365">
        <v>496849.2</v>
      </c>
      <c r="N184" s="365">
        <v>671417.84</v>
      </c>
      <c r="O184" s="44" t="e">
        <f t="shared" si="80"/>
        <v>#DIV/0!</v>
      </c>
      <c r="P184" s="43"/>
      <c r="Q184" s="44">
        <f>Funktional!AN184/Kennzahlen!I184</f>
        <v>18.385486921501748</v>
      </c>
      <c r="R184" s="46"/>
      <c r="S184" s="365">
        <v>37934.449999999997</v>
      </c>
      <c r="T184" s="365">
        <v>9512.65</v>
      </c>
      <c r="U184" s="365">
        <v>1250.2</v>
      </c>
    </row>
    <row r="185" spans="1:21" x14ac:dyDescent="0.25">
      <c r="A185" t="str">
        <f>Funktional!A185</f>
        <v>Herrenhof-Langrickenbach</v>
      </c>
      <c r="B185" t="str">
        <f>Funktional!B185</f>
        <v>KiGa</v>
      </c>
      <c r="C185" s="403">
        <f t="shared" si="75"/>
        <v>0</v>
      </c>
      <c r="D185" s="403">
        <f t="shared" si="75"/>
        <v>21</v>
      </c>
      <c r="E185">
        <v>1</v>
      </c>
      <c r="F185" s="365"/>
      <c r="G185" s="365"/>
      <c r="H185" s="43"/>
      <c r="I185" s="43">
        <f t="shared" si="81"/>
        <v>21</v>
      </c>
      <c r="J185" s="43">
        <f>Funktional!E185</f>
        <v>118543.24560416165</v>
      </c>
      <c r="K185" s="44">
        <f>Funktional!G185</f>
        <v>5644.9164573410308</v>
      </c>
      <c r="L185" s="44" t="e">
        <f t="shared" si="79"/>
        <v>#DIV/0!</v>
      </c>
      <c r="M185" s="365">
        <v>178759.75</v>
      </c>
      <c r="N185" s="365">
        <v>297932.92</v>
      </c>
      <c r="O185" s="44" t="e">
        <f t="shared" si="80"/>
        <v>#DIV/0!</v>
      </c>
      <c r="P185" s="43"/>
      <c r="Q185" s="44">
        <f>Funktional!AN185/Kennzahlen!I185</f>
        <v>17.477029561979709</v>
      </c>
      <c r="R185" s="46"/>
      <c r="S185" s="365">
        <v>-50731.1</v>
      </c>
      <c r="T185" s="365">
        <v>2020.4</v>
      </c>
      <c r="U185" s="365">
        <v>1618.4</v>
      </c>
    </row>
    <row r="186" spans="1:21" x14ac:dyDescent="0.25">
      <c r="A186" t="str">
        <f>Funktional!A186</f>
        <v>Hohentannen</v>
      </c>
      <c r="B186" t="str">
        <f>Funktional!B186</f>
        <v>KiGa</v>
      </c>
      <c r="C186" s="403">
        <f t="shared" si="75"/>
        <v>0</v>
      </c>
      <c r="D186" s="403">
        <f t="shared" si="75"/>
        <v>11</v>
      </c>
      <c r="E186">
        <v>2</v>
      </c>
      <c r="F186" s="365"/>
      <c r="G186" s="365"/>
      <c r="H186" s="43"/>
      <c r="I186" s="43">
        <f t="shared" si="81"/>
        <v>11</v>
      </c>
      <c r="J186" s="43">
        <f>Funktional!E186</f>
        <v>160406.7184135908</v>
      </c>
      <c r="K186" s="44">
        <f>Funktional!G186</f>
        <v>14582.428946690074</v>
      </c>
      <c r="L186" s="44" t="e">
        <f t="shared" si="79"/>
        <v>#DIV/0!</v>
      </c>
      <c r="M186" s="365">
        <v>170950.15</v>
      </c>
      <c r="N186" s="365">
        <v>299912.53999999998</v>
      </c>
      <c r="O186" s="44" t="e">
        <f t="shared" si="80"/>
        <v>#DIV/0!</v>
      </c>
      <c r="P186" s="43"/>
      <c r="Q186" s="44">
        <f>Funktional!AN186/Kennzahlen!I186</f>
        <v>89.413502382390675</v>
      </c>
      <c r="R186" s="46"/>
      <c r="S186" s="365">
        <v>-121128.8</v>
      </c>
      <c r="T186" s="365">
        <v>15329.8</v>
      </c>
      <c r="U186" s="365">
        <v>5978.25</v>
      </c>
    </row>
    <row r="187" spans="1:21" x14ac:dyDescent="0.25">
      <c r="A187" t="str">
        <f>Funktional!A187</f>
        <v>Homburg-Hörstetten</v>
      </c>
      <c r="B187" t="str">
        <f>Funktional!B187</f>
        <v>KiGa</v>
      </c>
      <c r="C187" s="403">
        <f t="shared" si="75"/>
        <v>0</v>
      </c>
      <c r="D187" s="403">
        <f t="shared" si="75"/>
        <v>26</v>
      </c>
      <c r="E187">
        <v>2</v>
      </c>
      <c r="F187" s="365"/>
      <c r="G187" s="365"/>
      <c r="H187" s="43"/>
      <c r="I187" s="43">
        <f t="shared" ref="I187:I193" si="82">H187+D187</f>
        <v>26</v>
      </c>
      <c r="J187" s="43">
        <f>Funktional!E187</f>
        <v>157878.92746150002</v>
      </c>
      <c r="K187" s="44">
        <f>Funktional!G187</f>
        <v>6072.2664408269238</v>
      </c>
      <c r="L187" s="44" t="e">
        <f t="shared" ref="L187:L202" si="83">J187/C187</f>
        <v>#DIV/0!</v>
      </c>
      <c r="M187" s="365">
        <v>560423.25</v>
      </c>
      <c r="N187" s="365">
        <v>1018951.36</v>
      </c>
      <c r="O187" s="44" t="e">
        <f t="shared" ref="O187:O202" si="84">N187/C187</f>
        <v>#DIV/0!</v>
      </c>
      <c r="P187" s="43"/>
      <c r="Q187" s="44">
        <f>Funktional!AN187/Kennzahlen!I187</f>
        <v>30.287317978924438</v>
      </c>
      <c r="R187" s="46"/>
      <c r="S187" s="365">
        <v>10630.15</v>
      </c>
      <c r="T187" s="365">
        <v>8757.15</v>
      </c>
      <c r="U187" s="365">
        <v>0</v>
      </c>
    </row>
    <row r="188" spans="1:21" x14ac:dyDescent="0.25">
      <c r="A188" t="str">
        <f>Funktional!A188</f>
        <v>Hugelshofen-Lippoldswilen</v>
      </c>
      <c r="B188" t="str">
        <f>Funktional!B188</f>
        <v>KiGa</v>
      </c>
      <c r="C188" s="403">
        <f t="shared" si="75"/>
        <v>0</v>
      </c>
      <c r="D188" s="403">
        <f t="shared" si="75"/>
        <v>18</v>
      </c>
      <c r="E188">
        <v>2</v>
      </c>
      <c r="F188" s="365"/>
      <c r="G188" s="365"/>
      <c r="H188" s="43"/>
      <c r="I188" s="43">
        <f t="shared" si="82"/>
        <v>18</v>
      </c>
      <c r="J188" s="43">
        <f>Funktional!E188</f>
        <v>217065.74530950584</v>
      </c>
      <c r="K188" s="44">
        <f>Funktional!G188</f>
        <v>12059.208072750325</v>
      </c>
      <c r="L188" s="44" t="e">
        <f t="shared" si="83"/>
        <v>#DIV/0!</v>
      </c>
      <c r="M188" s="365">
        <v>244464.45</v>
      </c>
      <c r="N188" s="365">
        <v>376099.15</v>
      </c>
      <c r="O188" s="44" t="e">
        <f t="shared" si="84"/>
        <v>#DIV/0!</v>
      </c>
      <c r="P188" s="43"/>
      <c r="Q188" s="44">
        <f>Funktional!AN188/Kennzahlen!I188</f>
        <v>51.149305283056208</v>
      </c>
      <c r="R188" s="46"/>
      <c r="S188" s="365">
        <v>-33791.25</v>
      </c>
      <c r="T188" s="365">
        <v>22743.45</v>
      </c>
      <c r="U188" s="365">
        <v>5107.55</v>
      </c>
    </row>
    <row r="189" spans="1:21" x14ac:dyDescent="0.25">
      <c r="A189" t="str">
        <f>Funktional!A189</f>
        <v>Hüttlingen</v>
      </c>
      <c r="B189" t="str">
        <f>Funktional!B189</f>
        <v>KiGa</v>
      </c>
      <c r="C189" s="403">
        <f t="shared" si="75"/>
        <v>0</v>
      </c>
      <c r="D189" s="403">
        <f t="shared" si="75"/>
        <v>29</v>
      </c>
      <c r="E189">
        <v>2</v>
      </c>
      <c r="F189" s="365"/>
      <c r="G189" s="365"/>
      <c r="H189" s="43"/>
      <c r="I189" s="43">
        <f t="shared" si="82"/>
        <v>29</v>
      </c>
      <c r="J189" s="43">
        <f>Funktional!E189</f>
        <v>219300.37309891754</v>
      </c>
      <c r="K189" s="44">
        <f>Funktional!G189</f>
        <v>7562.0818309971564</v>
      </c>
      <c r="L189" s="44" t="e">
        <f t="shared" si="83"/>
        <v>#DIV/0!</v>
      </c>
      <c r="M189" s="365">
        <v>750741.35</v>
      </c>
      <c r="N189" s="365">
        <v>938426.69</v>
      </c>
      <c r="O189" s="44" t="e">
        <f t="shared" si="84"/>
        <v>#DIV/0!</v>
      </c>
      <c r="P189" s="43"/>
      <c r="Q189" s="44">
        <f>Funktional!AN189/Kennzahlen!I189</f>
        <v>22.36083084824168</v>
      </c>
      <c r="R189" s="46"/>
      <c r="S189" s="365">
        <v>36082.199999999997</v>
      </c>
      <c r="T189" s="365">
        <v>8933.1</v>
      </c>
      <c r="U189" s="365">
        <v>12013.25</v>
      </c>
    </row>
    <row r="190" spans="1:21" x14ac:dyDescent="0.25">
      <c r="A190" t="str">
        <f>Funktional!A190</f>
        <v>Hüttwilen</v>
      </c>
      <c r="B190" t="str">
        <f>Funktional!B190</f>
        <v>KiGa</v>
      </c>
      <c r="C190" s="403">
        <f t="shared" si="75"/>
        <v>0</v>
      </c>
      <c r="D190" s="403">
        <f t="shared" si="75"/>
        <v>25</v>
      </c>
      <c r="E190">
        <v>2</v>
      </c>
      <c r="F190" s="365"/>
      <c r="G190" s="365"/>
      <c r="H190" s="43"/>
      <c r="I190" s="43">
        <f t="shared" si="82"/>
        <v>25</v>
      </c>
      <c r="J190" s="43">
        <f>Funktional!E190</f>
        <v>135044.79393846306</v>
      </c>
      <c r="K190" s="44">
        <f>Funktional!G190</f>
        <v>5401.7917575385227</v>
      </c>
      <c r="L190" s="44" t="e">
        <f t="shared" si="83"/>
        <v>#DIV/0!</v>
      </c>
      <c r="M190" s="365">
        <v>1005051.3</v>
      </c>
      <c r="N190" s="365">
        <v>1272216.8400000001</v>
      </c>
      <c r="O190" s="44" t="e">
        <f t="shared" si="84"/>
        <v>#DIV/0!</v>
      </c>
      <c r="P190" s="43"/>
      <c r="Q190" s="44">
        <f>Funktional!AN190/Kennzahlen!I190</f>
        <v>17.603611165944038</v>
      </c>
      <c r="R190" s="46"/>
      <c r="S190" s="365">
        <v>73967.199999999997</v>
      </c>
      <c r="T190" s="365">
        <v>187027.25</v>
      </c>
      <c r="U190" s="365">
        <v>-1380.95</v>
      </c>
    </row>
    <row r="191" spans="1:21" x14ac:dyDescent="0.25">
      <c r="A191" t="str">
        <f>Funktional!A191</f>
        <v>Illighausen</v>
      </c>
      <c r="B191" t="str">
        <f>Funktional!B191</f>
        <v>KiGa</v>
      </c>
      <c r="C191" s="403">
        <f t="shared" si="75"/>
        <v>0</v>
      </c>
      <c r="D191" s="403">
        <f t="shared" si="75"/>
        <v>0</v>
      </c>
      <c r="E191">
        <v>2</v>
      </c>
      <c r="F191" s="365"/>
      <c r="G191" s="365"/>
      <c r="H191" s="43"/>
      <c r="I191" s="43">
        <f t="shared" si="82"/>
        <v>0</v>
      </c>
      <c r="J191" s="43">
        <f>Funktional!E191</f>
        <v>0</v>
      </c>
      <c r="K191" s="44">
        <f>Funktional!G191</f>
        <v>0</v>
      </c>
      <c r="L191" s="44" t="e">
        <f t="shared" si="83"/>
        <v>#DIV/0!</v>
      </c>
      <c r="M191" s="365">
        <v>262584.7</v>
      </c>
      <c r="N191" s="365">
        <v>350112.93</v>
      </c>
      <c r="O191" s="44" t="e">
        <f t="shared" si="84"/>
        <v>#DIV/0!</v>
      </c>
      <c r="P191" s="43"/>
      <c r="Q191" s="44" t="e">
        <f>Funktional!AN191/Kennzahlen!I191</f>
        <v>#DIV/0!</v>
      </c>
      <c r="R191" s="46"/>
      <c r="S191" s="365">
        <v>-191575.44</v>
      </c>
      <c r="T191" s="365">
        <v>7543.55</v>
      </c>
      <c r="U191" s="365">
        <v>157.30000000000001</v>
      </c>
    </row>
    <row r="192" spans="1:21" x14ac:dyDescent="0.25">
      <c r="A192" t="str">
        <f>Funktional!A192</f>
        <v>Istighofen</v>
      </c>
      <c r="B192" t="str">
        <f>Funktional!B192</f>
        <v>KiGa</v>
      </c>
      <c r="C192" s="403">
        <f t="shared" si="75"/>
        <v>0</v>
      </c>
      <c r="D192" s="403">
        <f t="shared" si="75"/>
        <v>23</v>
      </c>
      <c r="E192">
        <v>2</v>
      </c>
      <c r="F192" s="365"/>
      <c r="G192" s="365"/>
      <c r="H192" s="43"/>
      <c r="I192" s="43">
        <f t="shared" si="82"/>
        <v>23</v>
      </c>
      <c r="J192" s="43">
        <f>Funktional!E192</f>
        <v>171320.23653762543</v>
      </c>
      <c r="K192" s="44">
        <f>Funktional!G192</f>
        <v>7448.705936418497</v>
      </c>
      <c r="L192" s="44" t="e">
        <f t="shared" si="83"/>
        <v>#DIV/0!</v>
      </c>
      <c r="M192" s="365">
        <v>393355.1</v>
      </c>
      <c r="N192" s="365">
        <v>708530.82</v>
      </c>
      <c r="O192" s="44" t="e">
        <f t="shared" si="84"/>
        <v>#DIV/0!</v>
      </c>
      <c r="P192" s="43"/>
      <c r="Q192" s="44">
        <f>Funktional!AN192/Kennzahlen!I192</f>
        <v>32.122699854248282</v>
      </c>
      <c r="R192" s="46"/>
      <c r="S192" s="365">
        <v>-270877.15000000002</v>
      </c>
      <c r="T192" s="365">
        <v>9317.4</v>
      </c>
      <c r="U192" s="365">
        <v>8644.6</v>
      </c>
    </row>
    <row r="193" spans="1:21" x14ac:dyDescent="0.25">
      <c r="A193" t="str">
        <f>Funktional!A193</f>
        <v>Kaltenbach</v>
      </c>
      <c r="B193" t="str">
        <f>Funktional!B193</f>
        <v>KiGa</v>
      </c>
      <c r="C193" s="403">
        <f t="shared" si="75"/>
        <v>0</v>
      </c>
      <c r="D193" s="403">
        <f t="shared" si="75"/>
        <v>21</v>
      </c>
      <c r="E193">
        <v>2</v>
      </c>
      <c r="F193" s="365"/>
      <c r="G193" s="365"/>
      <c r="H193" s="43"/>
      <c r="I193" s="43">
        <f t="shared" si="82"/>
        <v>21</v>
      </c>
      <c r="J193" s="43">
        <f>Funktional!E193</f>
        <v>138404.69953636508</v>
      </c>
      <c r="K193" s="44">
        <f>Funktional!G193</f>
        <v>6590.6999779221469</v>
      </c>
      <c r="L193" s="44" t="e">
        <f t="shared" si="83"/>
        <v>#DIV/0!</v>
      </c>
      <c r="M193" s="365">
        <v>671535.65</v>
      </c>
      <c r="N193" s="365">
        <v>959336.64</v>
      </c>
      <c r="O193" s="44" t="e">
        <f t="shared" si="84"/>
        <v>#DIV/0!</v>
      </c>
      <c r="P193" s="43"/>
      <c r="Q193" s="44">
        <f>Funktional!AN193/Kennzahlen!I193</f>
        <v>62.705348996830146</v>
      </c>
      <c r="R193" s="46"/>
      <c r="S193" s="365">
        <v>37401.4</v>
      </c>
      <c r="T193" s="365">
        <v>9964.9</v>
      </c>
      <c r="U193" s="365">
        <v>12193.4</v>
      </c>
    </row>
    <row r="194" spans="1:21" x14ac:dyDescent="0.25">
      <c r="A194" t="str">
        <f>Funktional!A194</f>
        <v>Kesswil</v>
      </c>
      <c r="B194" t="str">
        <f>Funktional!B194</f>
        <v>KiGa</v>
      </c>
      <c r="C194" s="403">
        <f t="shared" ref="C194:D224" si="85">C72</f>
        <v>0</v>
      </c>
      <c r="D194" s="403">
        <f t="shared" si="85"/>
        <v>18</v>
      </c>
      <c r="E194">
        <v>1</v>
      </c>
      <c r="F194" s="365"/>
      <c r="G194" s="365"/>
      <c r="H194" s="43"/>
      <c r="I194" s="43">
        <f t="shared" ref="I194:I209" si="86">H194+D194</f>
        <v>18</v>
      </c>
      <c r="J194" s="43">
        <f>Funktional!E194</f>
        <v>165799.83327337913</v>
      </c>
      <c r="K194" s="44">
        <f>Funktional!G194</f>
        <v>9211.1018485210625</v>
      </c>
      <c r="L194" s="44" t="e">
        <f t="shared" si="83"/>
        <v>#DIV/0!</v>
      </c>
      <c r="M194" s="365">
        <v>729795.3</v>
      </c>
      <c r="N194" s="365">
        <v>1158405.24</v>
      </c>
      <c r="O194" s="44" t="e">
        <f t="shared" si="84"/>
        <v>#DIV/0!</v>
      </c>
      <c r="P194" s="43"/>
      <c r="Q194" s="44">
        <f>Funktional!AN194/Kennzahlen!I194</f>
        <v>24.021719772585417</v>
      </c>
      <c r="R194" s="46"/>
      <c r="S194" s="365">
        <v>-83824.05</v>
      </c>
      <c r="T194" s="365">
        <v>46875.25</v>
      </c>
      <c r="U194" s="365">
        <v>1431.45</v>
      </c>
    </row>
    <row r="195" spans="1:21" x14ac:dyDescent="0.25">
      <c r="A195" t="str">
        <f>Funktional!A195</f>
        <v>Kreuzlingen</v>
      </c>
      <c r="B195" t="str">
        <f>Funktional!B195</f>
        <v>KiGa</v>
      </c>
      <c r="C195" s="403">
        <f t="shared" si="85"/>
        <v>0</v>
      </c>
      <c r="D195" s="403">
        <f t="shared" si="85"/>
        <v>356</v>
      </c>
      <c r="E195">
        <v>2</v>
      </c>
      <c r="F195" s="365"/>
      <c r="G195" s="365"/>
      <c r="H195" s="43"/>
      <c r="I195" s="43">
        <f t="shared" si="86"/>
        <v>356</v>
      </c>
      <c r="J195" s="43">
        <f>Funktional!E195</f>
        <v>2107171.5936868396</v>
      </c>
      <c r="K195" s="44">
        <f>Funktional!G195</f>
        <v>5919.0213305810103</v>
      </c>
      <c r="L195" s="44" t="e">
        <f t="shared" si="83"/>
        <v>#DIV/0!</v>
      </c>
      <c r="M195" s="365">
        <v>13151433.65</v>
      </c>
      <c r="N195" s="365">
        <v>28590073.149999999</v>
      </c>
      <c r="O195" s="44" t="e">
        <f t="shared" si="84"/>
        <v>#DIV/0!</v>
      </c>
      <c r="P195" s="43"/>
      <c r="Q195" s="44">
        <f>Funktional!AN195/Kennzahlen!I195</f>
        <v>-15.253329625753471</v>
      </c>
      <c r="R195" s="46"/>
      <c r="S195" s="365">
        <v>22537.58</v>
      </c>
      <c r="T195" s="365">
        <v>819996.6</v>
      </c>
      <c r="U195" s="365">
        <v>162973.35</v>
      </c>
    </row>
    <row r="196" spans="1:21" x14ac:dyDescent="0.25">
      <c r="A196" t="str">
        <f>Funktional!A196</f>
        <v>Landschlacht</v>
      </c>
      <c r="B196" t="str">
        <f>Funktional!B196</f>
        <v>KiGa</v>
      </c>
      <c r="C196" s="403">
        <f t="shared" si="85"/>
        <v>0</v>
      </c>
      <c r="D196" s="403">
        <f t="shared" si="85"/>
        <v>27</v>
      </c>
      <c r="E196">
        <v>2</v>
      </c>
      <c r="F196" s="365"/>
      <c r="G196" s="365"/>
      <c r="H196" s="43"/>
      <c r="I196" s="43">
        <f t="shared" si="86"/>
        <v>27</v>
      </c>
      <c r="J196" s="43">
        <f>Funktional!E196</f>
        <v>242700.70888951205</v>
      </c>
      <c r="K196" s="44">
        <f>Funktional!G196</f>
        <v>8988.9151440560017</v>
      </c>
      <c r="L196" s="44" t="e">
        <f t="shared" si="83"/>
        <v>#DIV/0!</v>
      </c>
      <c r="M196" s="365">
        <v>1169738.7</v>
      </c>
      <c r="N196" s="365">
        <v>1559651.6</v>
      </c>
      <c r="O196" s="44" t="e">
        <f t="shared" si="84"/>
        <v>#DIV/0!</v>
      </c>
      <c r="P196" s="43"/>
      <c r="Q196" s="44">
        <f>Funktional!AN196/Kennzahlen!I196</f>
        <v>49.744484017157355</v>
      </c>
      <c r="R196" s="46"/>
      <c r="S196" s="365">
        <v>-43754.5</v>
      </c>
      <c r="T196" s="365">
        <v>40424.800000000003</v>
      </c>
      <c r="U196" s="365">
        <v>23279.8</v>
      </c>
    </row>
    <row r="197" spans="1:21" x14ac:dyDescent="0.25">
      <c r="A197" t="str">
        <f>Funktional!A197</f>
        <v>Lanterswil</v>
      </c>
      <c r="B197" t="str">
        <f>Funktional!B197</f>
        <v>KiGa</v>
      </c>
      <c r="C197" s="403">
        <f t="shared" si="85"/>
        <v>0</v>
      </c>
      <c r="D197" s="403">
        <f t="shared" si="85"/>
        <v>0</v>
      </c>
      <c r="E197">
        <v>2</v>
      </c>
      <c r="F197" s="365"/>
      <c r="G197" s="365"/>
      <c r="H197" s="43"/>
      <c r="I197" s="43">
        <f t="shared" si="86"/>
        <v>0</v>
      </c>
      <c r="J197" s="43">
        <f>Funktional!E197</f>
        <v>0</v>
      </c>
      <c r="K197" s="44">
        <f>Funktional!G197</f>
        <v>0</v>
      </c>
      <c r="L197" s="44" t="e">
        <f t="shared" si="83"/>
        <v>#DIV/0!</v>
      </c>
      <c r="M197" s="365">
        <v>174534</v>
      </c>
      <c r="N197" s="365">
        <v>277038.09999999998</v>
      </c>
      <c r="O197" s="44" t="e">
        <f t="shared" si="84"/>
        <v>#DIV/0!</v>
      </c>
      <c r="P197" s="43"/>
      <c r="Q197" s="44" t="e">
        <f>Funktional!AN197/Kennzahlen!I197</f>
        <v>#DIV/0!</v>
      </c>
      <c r="R197" s="46"/>
      <c r="S197" s="365">
        <v>40198.400000000001</v>
      </c>
      <c r="T197" s="365">
        <v>1689.2</v>
      </c>
      <c r="U197" s="365">
        <v>0</v>
      </c>
    </row>
    <row r="198" spans="1:21" x14ac:dyDescent="0.25">
      <c r="A198" t="str">
        <f>Funktional!A198</f>
        <v>Leimbach</v>
      </c>
      <c r="B198" t="str">
        <f>Funktional!B198</f>
        <v>KiGa</v>
      </c>
      <c r="C198" s="403">
        <f t="shared" si="85"/>
        <v>0</v>
      </c>
      <c r="D198" s="403">
        <f t="shared" si="85"/>
        <v>13</v>
      </c>
      <c r="E198">
        <v>2</v>
      </c>
      <c r="F198" s="365"/>
      <c r="G198" s="365"/>
      <c r="H198" s="43"/>
      <c r="I198" s="43">
        <f t="shared" si="86"/>
        <v>13</v>
      </c>
      <c r="J198" s="43">
        <f>Funktional!E198</f>
        <v>90842.346341029741</v>
      </c>
      <c r="K198" s="44">
        <f>Funktional!G198</f>
        <v>6987.8727954638262</v>
      </c>
      <c r="L198" s="44" t="e">
        <f t="shared" si="83"/>
        <v>#DIV/0!</v>
      </c>
      <c r="M198" s="365">
        <v>384245.95</v>
      </c>
      <c r="N198" s="365">
        <v>420087.89</v>
      </c>
      <c r="O198" s="44" t="e">
        <f t="shared" si="84"/>
        <v>#DIV/0!</v>
      </c>
      <c r="P198" s="43"/>
      <c r="Q198" s="44">
        <f>Funktional!AN198/Kennzahlen!I198</f>
        <v>31.434308067957563</v>
      </c>
      <c r="R198" s="46"/>
      <c r="S198" s="365">
        <v>50166.35</v>
      </c>
      <c r="T198" s="365">
        <v>37031.4</v>
      </c>
      <c r="U198" s="365">
        <v>1685.5</v>
      </c>
    </row>
    <row r="199" spans="1:21" x14ac:dyDescent="0.25">
      <c r="A199" t="str">
        <f>Funktional!A199</f>
        <v>Lommis</v>
      </c>
      <c r="B199" t="str">
        <f>Funktional!B199</f>
        <v>KiGa</v>
      </c>
      <c r="C199" s="403">
        <f t="shared" si="85"/>
        <v>0</v>
      </c>
      <c r="D199" s="403">
        <f t="shared" si="85"/>
        <v>35</v>
      </c>
      <c r="E199">
        <v>2</v>
      </c>
      <c r="F199" s="365"/>
      <c r="G199" s="365"/>
      <c r="H199" s="43"/>
      <c r="I199" s="43">
        <f t="shared" si="86"/>
        <v>35</v>
      </c>
      <c r="J199" s="43">
        <f>Funktional!E199</f>
        <v>268696.35338357883</v>
      </c>
      <c r="K199" s="44">
        <f>Funktional!G199</f>
        <v>7677.0386681022519</v>
      </c>
      <c r="L199" s="44" t="e">
        <f t="shared" si="83"/>
        <v>#DIV/0!</v>
      </c>
      <c r="M199" s="365">
        <v>766879.65</v>
      </c>
      <c r="N199" s="365">
        <v>1217269.29</v>
      </c>
      <c r="O199" s="44" t="e">
        <f t="shared" si="84"/>
        <v>#DIV/0!</v>
      </c>
      <c r="P199" s="43"/>
      <c r="Q199" s="44">
        <f>Funktional!AN199/Kennzahlen!I199</f>
        <v>18.034868721863162</v>
      </c>
      <c r="R199" s="46"/>
      <c r="S199" s="365">
        <v>381296.9</v>
      </c>
      <c r="T199" s="365">
        <v>13776.95</v>
      </c>
      <c r="U199" s="365">
        <v>2574.65</v>
      </c>
    </row>
    <row r="200" spans="1:21" x14ac:dyDescent="0.25">
      <c r="A200" t="str">
        <f>Funktional!A200</f>
        <v>Mammern</v>
      </c>
      <c r="B200" t="str">
        <f>Funktional!B200</f>
        <v>KiGa</v>
      </c>
      <c r="C200" s="403">
        <f t="shared" si="85"/>
        <v>0</v>
      </c>
      <c r="D200" s="403">
        <f t="shared" si="85"/>
        <v>20</v>
      </c>
      <c r="E200">
        <v>2</v>
      </c>
      <c r="F200" s="365"/>
      <c r="G200" s="365"/>
      <c r="H200" s="43"/>
      <c r="I200" s="43">
        <f t="shared" si="86"/>
        <v>20</v>
      </c>
      <c r="J200" s="43">
        <f>Funktional!E200</f>
        <v>101702.98885350318</v>
      </c>
      <c r="K200" s="44">
        <f>Funktional!G200</f>
        <v>5085.1494426751588</v>
      </c>
      <c r="L200" s="44" t="e">
        <f t="shared" si="83"/>
        <v>#DIV/0!</v>
      </c>
      <c r="M200" s="365">
        <v>630844.1</v>
      </c>
      <c r="N200" s="365">
        <v>1087662.24</v>
      </c>
      <c r="O200" s="44" t="e">
        <f t="shared" si="84"/>
        <v>#DIV/0!</v>
      </c>
      <c r="P200" s="43"/>
      <c r="Q200" s="44">
        <f>Funktional!AN200/Kennzahlen!I200</f>
        <v>13.711246622273691</v>
      </c>
      <c r="R200" s="46"/>
      <c r="S200" s="365">
        <v>95289.45</v>
      </c>
      <c r="T200" s="365">
        <v>0</v>
      </c>
      <c r="U200" s="365">
        <v>6477.45</v>
      </c>
    </row>
    <row r="201" spans="1:21" x14ac:dyDescent="0.25">
      <c r="A201" t="str">
        <f>Funktional!A201</f>
        <v>Märstetten</v>
      </c>
      <c r="B201" t="str">
        <f>Funktional!B201</f>
        <v>KiGa</v>
      </c>
      <c r="C201" s="403">
        <f t="shared" si="85"/>
        <v>0</v>
      </c>
      <c r="D201" s="403">
        <f t="shared" si="85"/>
        <v>34</v>
      </c>
      <c r="E201">
        <v>1</v>
      </c>
      <c r="F201" s="365"/>
      <c r="G201" s="365"/>
      <c r="H201" s="43"/>
      <c r="I201" s="43">
        <f t="shared" si="86"/>
        <v>34</v>
      </c>
      <c r="J201" s="43">
        <f>Funktional!E201</f>
        <v>225113.06254135378</v>
      </c>
      <c r="K201" s="44">
        <f>Funktional!G201</f>
        <v>6620.9724276868756</v>
      </c>
      <c r="L201" s="44" t="e">
        <f t="shared" si="83"/>
        <v>#DIV/0!</v>
      </c>
      <c r="M201" s="365">
        <v>1881245.45</v>
      </c>
      <c r="N201" s="365">
        <v>2351556.81</v>
      </c>
      <c r="O201" s="44" t="e">
        <f t="shared" si="84"/>
        <v>#DIV/0!</v>
      </c>
      <c r="P201" s="43"/>
      <c r="Q201" s="44">
        <f>Funktional!AN201/Kennzahlen!I201</f>
        <v>25.5420361814475</v>
      </c>
      <c r="R201" s="46"/>
      <c r="S201" s="365">
        <v>107193.25</v>
      </c>
      <c r="T201" s="365">
        <v>79904.399999999994</v>
      </c>
      <c r="U201" s="365">
        <v>46627.9</v>
      </c>
    </row>
    <row r="202" spans="1:21" x14ac:dyDescent="0.25">
      <c r="A202" t="str">
        <f>Funktional!A202</f>
        <v>Märwil</v>
      </c>
      <c r="B202" t="str">
        <f>Funktional!B202</f>
        <v>KiGa</v>
      </c>
      <c r="C202" s="403">
        <f t="shared" si="85"/>
        <v>0</v>
      </c>
      <c r="D202" s="403">
        <f t="shared" si="85"/>
        <v>53</v>
      </c>
      <c r="E202">
        <v>2</v>
      </c>
      <c r="F202" s="365"/>
      <c r="G202" s="365"/>
      <c r="H202" s="43"/>
      <c r="I202" s="43">
        <f t="shared" si="86"/>
        <v>53</v>
      </c>
      <c r="J202" s="43">
        <f>Funktional!E202</f>
        <v>360780.23984140612</v>
      </c>
      <c r="K202" s="44">
        <f>Funktional!G202</f>
        <v>6807.1743366303044</v>
      </c>
      <c r="L202" s="44" t="e">
        <f t="shared" si="83"/>
        <v>#DIV/0!</v>
      </c>
      <c r="M202" s="365">
        <v>634051.19999999995</v>
      </c>
      <c r="N202" s="365">
        <v>868563.29</v>
      </c>
      <c r="O202" s="44" t="e">
        <f t="shared" si="84"/>
        <v>#DIV/0!</v>
      </c>
      <c r="P202" s="43"/>
      <c r="Q202" s="44">
        <f>Funktional!AN202/Kennzahlen!I202</f>
        <v>22.698747493396596</v>
      </c>
      <c r="R202" s="46"/>
      <c r="S202" s="365">
        <v>-71610.67</v>
      </c>
      <c r="T202" s="365">
        <v>28331.86</v>
      </c>
      <c r="U202" s="365">
        <v>23366.9</v>
      </c>
    </row>
    <row r="203" spans="1:21" x14ac:dyDescent="0.25">
      <c r="A203" t="str">
        <f>Funktional!A203</f>
        <v>Mattwil-Birwinken-Happerswil</v>
      </c>
      <c r="B203" t="str">
        <f>Funktional!B203</f>
        <v>KiGa</v>
      </c>
      <c r="C203" s="403">
        <f t="shared" si="85"/>
        <v>0</v>
      </c>
      <c r="D203" s="403">
        <f t="shared" si="85"/>
        <v>17</v>
      </c>
      <c r="E203">
        <v>1</v>
      </c>
      <c r="F203" s="365"/>
      <c r="G203" s="365"/>
      <c r="H203" s="43"/>
      <c r="I203" s="43">
        <f t="shared" si="86"/>
        <v>17</v>
      </c>
      <c r="J203" s="43">
        <f>Funktional!E203</f>
        <v>87541.704228086164</v>
      </c>
      <c r="K203" s="44">
        <f>Funktional!G203</f>
        <v>5149.5120134168328</v>
      </c>
      <c r="L203" s="44" t="e">
        <f t="shared" ref="L203:L209" si="87">J203/C203</f>
        <v>#DIV/0!</v>
      </c>
      <c r="M203" s="365">
        <v>390202.95</v>
      </c>
      <c r="N203" s="365">
        <v>672763.71</v>
      </c>
      <c r="O203" s="44" t="e">
        <f t="shared" ref="O203:O209" si="88">N203/C203</f>
        <v>#DIV/0!</v>
      </c>
      <c r="P203" s="43"/>
      <c r="Q203" s="44">
        <f>Funktional!AN203/Kennzahlen!I203</f>
        <v>32.988959742252831</v>
      </c>
      <c r="R203" s="46"/>
      <c r="S203" s="365">
        <v>-37230.199999999997</v>
      </c>
      <c r="T203" s="365">
        <v>7107.95</v>
      </c>
      <c r="U203" s="365">
        <v>3295.9</v>
      </c>
    </row>
    <row r="204" spans="1:21" x14ac:dyDescent="0.25">
      <c r="A204" t="str">
        <f>Funktional!A204</f>
        <v>Matzingen</v>
      </c>
      <c r="B204" t="str">
        <f>Funktional!B204</f>
        <v>KiGa</v>
      </c>
      <c r="C204" s="403">
        <f t="shared" si="85"/>
        <v>0</v>
      </c>
      <c r="D204" s="403">
        <f t="shared" si="85"/>
        <v>67</v>
      </c>
      <c r="E204">
        <v>2</v>
      </c>
      <c r="F204" s="365"/>
      <c r="G204" s="365"/>
      <c r="H204" s="43"/>
      <c r="I204" s="43">
        <f t="shared" si="86"/>
        <v>67</v>
      </c>
      <c r="J204" s="43">
        <f>Funktional!E204</f>
        <v>586546.55071414646</v>
      </c>
      <c r="K204" s="44">
        <f>Funktional!G204</f>
        <v>8754.4261300618873</v>
      </c>
      <c r="L204" s="44" t="e">
        <f t="shared" si="87"/>
        <v>#DIV/0!</v>
      </c>
      <c r="M204" s="365">
        <v>1726332.65</v>
      </c>
      <c r="N204" s="365">
        <v>2925987.54</v>
      </c>
      <c r="O204" s="44" t="e">
        <f t="shared" si="88"/>
        <v>#DIV/0!</v>
      </c>
      <c r="P204" s="43"/>
      <c r="Q204" s="44">
        <f>Funktional!AN204/Kennzahlen!I204</f>
        <v>42.879019274271208</v>
      </c>
      <c r="R204" s="46"/>
      <c r="S204" s="365">
        <v>-49389</v>
      </c>
      <c r="T204" s="365">
        <v>2664.2</v>
      </c>
      <c r="U204" s="365">
        <v>40828.85</v>
      </c>
    </row>
    <row r="205" spans="1:21" x14ac:dyDescent="0.25">
      <c r="A205" t="str">
        <f>Funktional!A205</f>
        <v>Mauren</v>
      </c>
      <c r="B205" t="str">
        <f>Funktional!B205</f>
        <v>KiGa</v>
      </c>
      <c r="C205" s="403">
        <f t="shared" si="85"/>
        <v>0</v>
      </c>
      <c r="D205" s="403">
        <f t="shared" si="85"/>
        <v>21</v>
      </c>
      <c r="E205">
        <v>2</v>
      </c>
      <c r="F205" s="365"/>
      <c r="G205" s="365"/>
      <c r="H205" s="43"/>
      <c r="I205" s="43">
        <f t="shared" si="86"/>
        <v>21</v>
      </c>
      <c r="J205" s="43">
        <f>Funktional!E205</f>
        <v>120531.0266104257</v>
      </c>
      <c r="K205" s="44">
        <f>Funktional!G205</f>
        <v>5739.5726957345569</v>
      </c>
      <c r="L205" s="44" t="e">
        <f t="shared" si="87"/>
        <v>#DIV/0!</v>
      </c>
      <c r="M205" s="365">
        <v>482082.05</v>
      </c>
      <c r="N205" s="365">
        <v>535646.71999999997</v>
      </c>
      <c r="O205" s="44" t="e">
        <f t="shared" si="88"/>
        <v>#DIV/0!</v>
      </c>
      <c r="P205" s="43"/>
      <c r="Q205" s="44">
        <f>Funktional!AN205/Kennzahlen!I205</f>
        <v>20.036658021719671</v>
      </c>
      <c r="R205" s="46"/>
      <c r="S205" s="365">
        <v>-53250.6</v>
      </c>
      <c r="T205" s="365">
        <v>7543.85</v>
      </c>
      <c r="U205" s="365">
        <v>68437.100000000006</v>
      </c>
    </row>
    <row r="206" spans="1:21" x14ac:dyDescent="0.25">
      <c r="A206" t="str">
        <f>Funktional!A206</f>
        <v>Mettlen</v>
      </c>
      <c r="B206" t="str">
        <f>Funktional!B206</f>
        <v>KiGa</v>
      </c>
      <c r="C206" s="403">
        <f t="shared" si="85"/>
        <v>0</v>
      </c>
      <c r="D206" s="403">
        <f t="shared" si="85"/>
        <v>13</v>
      </c>
      <c r="E206">
        <v>2</v>
      </c>
      <c r="F206" s="365"/>
      <c r="G206" s="365"/>
      <c r="H206" s="43"/>
      <c r="I206" s="43">
        <f t="shared" si="86"/>
        <v>13</v>
      </c>
      <c r="J206" s="43">
        <f>Funktional!E206</f>
        <v>128226.22510341695</v>
      </c>
      <c r="K206" s="44">
        <f>Funktional!G206</f>
        <v>9863.5557771859185</v>
      </c>
      <c r="L206" s="44" t="e">
        <f t="shared" si="87"/>
        <v>#DIV/0!</v>
      </c>
      <c r="M206" s="365">
        <v>351687.45</v>
      </c>
      <c r="N206" s="365">
        <v>541057.62</v>
      </c>
      <c r="O206" s="44" t="e">
        <f t="shared" si="88"/>
        <v>#DIV/0!</v>
      </c>
      <c r="P206" s="43"/>
      <c r="Q206" s="44">
        <f>Funktional!AN206/Kennzahlen!I206</f>
        <v>14.542121120318557</v>
      </c>
      <c r="R206" s="46"/>
      <c r="S206" s="365">
        <v>34302.699999999997</v>
      </c>
      <c r="T206" s="365">
        <v>4952.55</v>
      </c>
      <c r="U206" s="365">
        <v>6910.9</v>
      </c>
    </row>
    <row r="207" spans="1:21" x14ac:dyDescent="0.25">
      <c r="A207" t="str">
        <f>Funktional!A207</f>
        <v>Müllheim</v>
      </c>
      <c r="B207" t="str">
        <f>Funktional!B207</f>
        <v>KiGa</v>
      </c>
      <c r="C207" s="403">
        <f t="shared" si="85"/>
        <v>0</v>
      </c>
      <c r="D207" s="403">
        <f t="shared" si="85"/>
        <v>51</v>
      </c>
      <c r="E207">
        <v>1</v>
      </c>
      <c r="F207" s="365"/>
      <c r="G207" s="365"/>
      <c r="H207" s="43"/>
      <c r="I207" s="43">
        <f t="shared" si="86"/>
        <v>51</v>
      </c>
      <c r="J207" s="43">
        <f>Funktional!E207</f>
        <v>340853.73183982348</v>
      </c>
      <c r="K207" s="44">
        <f>Funktional!G207</f>
        <v>6683.4065066632056</v>
      </c>
      <c r="L207" s="44" t="e">
        <f t="shared" si="87"/>
        <v>#DIV/0!</v>
      </c>
      <c r="M207" s="365">
        <v>1422727.15</v>
      </c>
      <c r="N207" s="365">
        <v>2586776.64</v>
      </c>
      <c r="O207" s="44" t="e">
        <f t="shared" si="88"/>
        <v>#DIV/0!</v>
      </c>
      <c r="P207" s="43"/>
      <c r="Q207" s="44">
        <f>Funktional!AN207/Kennzahlen!I207</f>
        <v>14.490490884862282</v>
      </c>
      <c r="R207" s="46"/>
      <c r="S207" s="365">
        <v>467996.05</v>
      </c>
      <c r="T207" s="365">
        <v>27982.25</v>
      </c>
      <c r="U207" s="365">
        <v>6508.35</v>
      </c>
    </row>
    <row r="208" spans="1:21" x14ac:dyDescent="0.25">
      <c r="A208" t="str">
        <f>Funktional!A208</f>
        <v>Neukirch-Egnach</v>
      </c>
      <c r="B208" t="str">
        <f>Funktional!B208</f>
        <v>KiGa</v>
      </c>
      <c r="C208" s="403">
        <f t="shared" si="85"/>
        <v>0</v>
      </c>
      <c r="D208" s="403">
        <f t="shared" si="85"/>
        <v>47</v>
      </c>
      <c r="E208">
        <v>2</v>
      </c>
      <c r="F208" s="365"/>
      <c r="G208" s="365"/>
      <c r="H208" s="43"/>
      <c r="I208" s="43">
        <f t="shared" si="86"/>
        <v>47</v>
      </c>
      <c r="J208" s="43">
        <f>Funktional!E208</f>
        <v>320040.6431452462</v>
      </c>
      <c r="K208" s="44">
        <f>Funktional!G208</f>
        <v>6809.3753860690676</v>
      </c>
      <c r="L208" s="44" t="e">
        <f t="shared" si="87"/>
        <v>#DIV/0!</v>
      </c>
      <c r="M208" s="365">
        <v>1168341.3500000001</v>
      </c>
      <c r="N208" s="365">
        <v>1884485.16</v>
      </c>
      <c r="O208" s="44" t="e">
        <f t="shared" si="88"/>
        <v>#DIV/0!</v>
      </c>
      <c r="P208" s="43"/>
      <c r="Q208" s="44">
        <f>Funktional!AN208/Kennzahlen!I208</f>
        <v>63.283294646986398</v>
      </c>
      <c r="R208" s="46"/>
      <c r="S208" s="365">
        <v>-199281.55</v>
      </c>
      <c r="T208" s="365">
        <v>12163.55</v>
      </c>
      <c r="U208" s="365">
        <v>4016.75</v>
      </c>
    </row>
    <row r="209" spans="1:21" x14ac:dyDescent="0.25">
      <c r="A209" t="str">
        <f>Funktional!A209</f>
        <v>Neuwilen</v>
      </c>
      <c r="B209" t="str">
        <f>Funktional!B209</f>
        <v>KiGa</v>
      </c>
      <c r="C209" s="403">
        <f t="shared" si="85"/>
        <v>0</v>
      </c>
      <c r="D209" s="403">
        <f t="shared" si="85"/>
        <v>31</v>
      </c>
      <c r="E209">
        <v>2</v>
      </c>
      <c r="F209" s="365"/>
      <c r="G209" s="365"/>
      <c r="H209" s="43"/>
      <c r="I209" s="43">
        <f t="shared" si="86"/>
        <v>31</v>
      </c>
      <c r="J209" s="43">
        <f>Funktional!E209</f>
        <v>299018.32908084826</v>
      </c>
      <c r="K209" s="44">
        <f>Funktional!G209</f>
        <v>9645.7525509951047</v>
      </c>
      <c r="L209" s="44" t="e">
        <f t="shared" si="87"/>
        <v>#DIV/0!</v>
      </c>
      <c r="M209" s="365">
        <v>335580.95</v>
      </c>
      <c r="N209" s="365">
        <v>516278.38</v>
      </c>
      <c r="O209" s="44" t="e">
        <f t="shared" si="88"/>
        <v>#DIV/0!</v>
      </c>
      <c r="P209" s="43"/>
      <c r="Q209" s="44">
        <f>Funktional!AN209/Kennzahlen!I209</f>
        <v>47.696372481577519</v>
      </c>
      <c r="R209" s="46"/>
      <c r="S209" s="365">
        <v>-58232.05</v>
      </c>
      <c r="T209" s="365">
        <v>32099.05</v>
      </c>
      <c r="U209" s="365">
        <v>7787.9</v>
      </c>
    </row>
    <row r="210" spans="1:21" x14ac:dyDescent="0.25">
      <c r="A210" t="str">
        <f>Funktional!A210</f>
        <v>Nussbaumen</v>
      </c>
      <c r="B210" t="str">
        <f>Funktional!B210</f>
        <v>KiGa</v>
      </c>
      <c r="C210" s="403">
        <f t="shared" si="85"/>
        <v>0</v>
      </c>
      <c r="D210" s="403">
        <f t="shared" si="85"/>
        <v>13</v>
      </c>
      <c r="E210">
        <v>2</v>
      </c>
      <c r="F210" s="365"/>
      <c r="G210" s="365"/>
      <c r="H210" s="43"/>
      <c r="I210" s="43">
        <f t="shared" ref="I210:I215" si="89">H210+D210</f>
        <v>13</v>
      </c>
      <c r="J210" s="43">
        <f>Funktional!E210</f>
        <v>138821.456130059</v>
      </c>
      <c r="K210" s="44">
        <f>Funktional!G210</f>
        <v>10678.573548466076</v>
      </c>
      <c r="L210" s="44" t="e">
        <f t="shared" ref="L210:L215" si="90">J210/C210</f>
        <v>#DIV/0!</v>
      </c>
      <c r="M210" s="365">
        <v>531102.5</v>
      </c>
      <c r="N210" s="365">
        <v>672281.65</v>
      </c>
      <c r="O210" s="44" t="e">
        <f t="shared" ref="O210:O215" si="91">N210/C210</f>
        <v>#DIV/0!</v>
      </c>
      <c r="P210" s="43"/>
      <c r="Q210" s="44">
        <f>Funktional!AN210/Kennzahlen!I210</f>
        <v>26.133800039602235</v>
      </c>
      <c r="R210" s="46"/>
      <c r="S210" s="365">
        <v>-155804.4</v>
      </c>
      <c r="T210" s="365">
        <v>24808.15</v>
      </c>
      <c r="U210" s="365">
        <v>230.4</v>
      </c>
    </row>
    <row r="211" spans="1:21" x14ac:dyDescent="0.25">
      <c r="A211" t="str">
        <f>Funktional!A211</f>
        <v>Oberhofen-Lengwil</v>
      </c>
      <c r="B211" t="str">
        <f>Funktional!B211</f>
        <v>KiGa</v>
      </c>
      <c r="C211" s="403">
        <f t="shared" si="85"/>
        <v>0</v>
      </c>
      <c r="D211" s="403">
        <f t="shared" si="85"/>
        <v>35</v>
      </c>
      <c r="E211">
        <v>2</v>
      </c>
      <c r="F211" s="365"/>
      <c r="G211" s="365"/>
      <c r="H211" s="43"/>
      <c r="I211" s="43">
        <f t="shared" si="89"/>
        <v>35</v>
      </c>
      <c r="J211" s="43">
        <f>Funktional!E211</f>
        <v>253417.16537084739</v>
      </c>
      <c r="K211" s="44">
        <f>Funktional!G211</f>
        <v>7240.490439167068</v>
      </c>
      <c r="L211" s="44" t="e">
        <f t="shared" si="90"/>
        <v>#DIV/0!</v>
      </c>
      <c r="M211" s="365">
        <v>902005.2</v>
      </c>
      <c r="N211" s="365">
        <v>1073815.71</v>
      </c>
      <c r="O211" s="44" t="e">
        <f t="shared" si="91"/>
        <v>#DIV/0!</v>
      </c>
      <c r="P211" s="43"/>
      <c r="Q211" s="44">
        <f>Funktional!AN211/Kennzahlen!I211</f>
        <v>47.48830867772174</v>
      </c>
      <c r="R211" s="46"/>
      <c r="S211" s="365">
        <v>-111841.85</v>
      </c>
      <c r="T211" s="365">
        <v>12306.45</v>
      </c>
      <c r="U211" s="365">
        <v>1463.25</v>
      </c>
    </row>
    <row r="212" spans="1:21" x14ac:dyDescent="0.25">
      <c r="A212" t="str">
        <f>Funktional!A212</f>
        <v>Ottoberg</v>
      </c>
      <c r="B212" t="str">
        <f>Funktional!B212</f>
        <v>KiGa</v>
      </c>
      <c r="C212" s="403">
        <f t="shared" si="85"/>
        <v>0</v>
      </c>
      <c r="D212" s="403">
        <f t="shared" si="85"/>
        <v>16</v>
      </c>
      <c r="E212">
        <v>1</v>
      </c>
      <c r="F212" s="365"/>
      <c r="G212" s="365"/>
      <c r="H212" s="43"/>
      <c r="I212" s="43">
        <f t="shared" si="89"/>
        <v>16</v>
      </c>
      <c r="J212" s="43">
        <f>Funktional!E212</f>
        <v>204146.06612919027</v>
      </c>
      <c r="K212" s="44">
        <f>Funktional!G212</f>
        <v>12759.129133074392</v>
      </c>
      <c r="L212" s="44" t="e">
        <f t="shared" si="90"/>
        <v>#DIV/0!</v>
      </c>
      <c r="M212" s="365">
        <v>838006.85</v>
      </c>
      <c r="N212" s="365">
        <v>863924.59</v>
      </c>
      <c r="O212" s="44" t="e">
        <f t="shared" si="91"/>
        <v>#DIV/0!</v>
      </c>
      <c r="P212" s="43"/>
      <c r="Q212" s="44">
        <f>Funktional!AN212/Kennzahlen!I212</f>
        <v>32.458045627745399</v>
      </c>
      <c r="R212" s="46"/>
      <c r="S212" s="365">
        <v>-124400.95</v>
      </c>
      <c r="T212" s="365">
        <v>20678.400000000001</v>
      </c>
      <c r="U212" s="365">
        <v>1626.9</v>
      </c>
    </row>
    <row r="213" spans="1:21" x14ac:dyDescent="0.25">
      <c r="A213" t="str">
        <f>Funktional!A213</f>
        <v>Pfyn</v>
      </c>
      <c r="B213" t="str">
        <f>Funktional!B213</f>
        <v>KiGa</v>
      </c>
      <c r="C213" s="403">
        <f t="shared" si="85"/>
        <v>0</v>
      </c>
      <c r="D213" s="403">
        <f t="shared" si="85"/>
        <v>33</v>
      </c>
      <c r="E213">
        <v>1</v>
      </c>
      <c r="F213" s="365"/>
      <c r="G213" s="365"/>
      <c r="H213" s="43"/>
      <c r="I213" s="43">
        <f t="shared" si="89"/>
        <v>33</v>
      </c>
      <c r="J213" s="43">
        <f>Funktional!E213</f>
        <v>205112.54640048335</v>
      </c>
      <c r="K213" s="44">
        <f>Funktional!G213</f>
        <v>6215.5317091055558</v>
      </c>
      <c r="L213" s="44" t="e">
        <f t="shared" si="90"/>
        <v>#DIV/0!</v>
      </c>
      <c r="M213" s="365">
        <v>929730.5</v>
      </c>
      <c r="N213" s="365">
        <v>1690419.09</v>
      </c>
      <c r="O213" s="44" t="e">
        <f t="shared" si="91"/>
        <v>#DIV/0!</v>
      </c>
      <c r="P213" s="43"/>
      <c r="Q213" s="44">
        <f>Funktional!AN213/Kennzahlen!I213</f>
        <v>7.1770570365713828</v>
      </c>
      <c r="R213" s="46"/>
      <c r="S213" s="365">
        <v>43831.75</v>
      </c>
      <c r="T213" s="365">
        <v>23965.200000000001</v>
      </c>
      <c r="U213" s="365">
        <v>2184.9</v>
      </c>
    </row>
    <row r="214" spans="1:21" x14ac:dyDescent="0.25">
      <c r="A214" t="str">
        <f>Funktional!A214</f>
        <v>Raperswilen-Illhart</v>
      </c>
      <c r="B214" t="str">
        <f>Funktional!B214</f>
        <v>KiGa</v>
      </c>
      <c r="C214" s="403">
        <f t="shared" si="85"/>
        <v>0</v>
      </c>
      <c r="D214" s="403">
        <f t="shared" si="85"/>
        <v>23</v>
      </c>
      <c r="E214">
        <v>1</v>
      </c>
      <c r="F214" s="365"/>
      <c r="G214" s="365"/>
      <c r="H214" s="43"/>
      <c r="I214" s="43">
        <f t="shared" si="89"/>
        <v>23</v>
      </c>
      <c r="J214" s="43">
        <f>Funktional!E214</f>
        <v>148843.97642278159</v>
      </c>
      <c r="K214" s="44">
        <f>Funktional!G214</f>
        <v>6471.4772357731126</v>
      </c>
      <c r="L214" s="44" t="e">
        <f t="shared" si="90"/>
        <v>#DIV/0!</v>
      </c>
      <c r="M214" s="365">
        <v>319668.09999999998</v>
      </c>
      <c r="N214" s="365">
        <v>688668.69</v>
      </c>
      <c r="O214" s="44" t="e">
        <f t="shared" si="91"/>
        <v>#DIV/0!</v>
      </c>
      <c r="P214" s="43"/>
      <c r="Q214" s="44">
        <f>Funktional!AN214/Kennzahlen!I214</f>
        <v>45.588402607479999</v>
      </c>
      <c r="R214" s="46"/>
      <c r="S214" s="365">
        <v>67445.5</v>
      </c>
      <c r="T214" s="365">
        <v>12611.9</v>
      </c>
      <c r="U214" s="365">
        <v>4082.55</v>
      </c>
    </row>
    <row r="215" spans="1:21" x14ac:dyDescent="0.25">
      <c r="A215" t="str">
        <f>Funktional!A215</f>
        <v>Rickenbach</v>
      </c>
      <c r="B215" t="str">
        <f>Funktional!B215</f>
        <v>KiGa</v>
      </c>
      <c r="C215" s="403">
        <f t="shared" si="85"/>
        <v>0</v>
      </c>
      <c r="D215" s="403">
        <f t="shared" si="85"/>
        <v>72</v>
      </c>
      <c r="E215">
        <v>1</v>
      </c>
      <c r="F215" s="365"/>
      <c r="G215" s="365"/>
      <c r="H215" s="43"/>
      <c r="I215" s="43">
        <f t="shared" si="89"/>
        <v>72</v>
      </c>
      <c r="J215" s="43">
        <f>Funktional!E215</f>
        <v>367178.57342273864</v>
      </c>
      <c r="K215" s="44">
        <f>Funktional!G215</f>
        <v>5099.7024086491474</v>
      </c>
      <c r="L215" s="44" t="e">
        <f t="shared" si="90"/>
        <v>#DIV/0!</v>
      </c>
      <c r="M215" s="365">
        <v>2117633.75</v>
      </c>
      <c r="N215" s="365">
        <v>3471530.74</v>
      </c>
      <c r="O215" s="44" t="e">
        <f t="shared" si="91"/>
        <v>#DIV/0!</v>
      </c>
      <c r="P215" s="43"/>
      <c r="Q215" s="44">
        <f>Funktional!AN215/Kennzahlen!I215</f>
        <v>24.132303813751449</v>
      </c>
      <c r="R215" s="46"/>
      <c r="S215" s="365">
        <v>-65551.8</v>
      </c>
      <c r="T215" s="365">
        <v>56230.45</v>
      </c>
      <c r="U215" s="365">
        <v>8816.15</v>
      </c>
    </row>
    <row r="216" spans="1:21" x14ac:dyDescent="0.25">
      <c r="A216" t="str">
        <f>Funktional!A216</f>
        <v>Ringenzeichen</v>
      </c>
      <c r="B216" t="str">
        <f>Funktional!B216</f>
        <v>KiGa</v>
      </c>
      <c r="C216" s="403">
        <f t="shared" si="85"/>
        <v>0</v>
      </c>
      <c r="D216" s="403">
        <f t="shared" si="85"/>
        <v>0</v>
      </c>
      <c r="E216">
        <v>2</v>
      </c>
      <c r="F216" s="365"/>
      <c r="G216" s="365"/>
      <c r="H216" s="43"/>
      <c r="I216" s="43">
        <f t="shared" ref="I216:I223" si="92">H216+D216</f>
        <v>0</v>
      </c>
      <c r="J216" s="43">
        <f>Funktional!E216</f>
        <v>0</v>
      </c>
      <c r="K216" s="44">
        <f>Funktional!G216</f>
        <v>0</v>
      </c>
      <c r="L216" s="44" t="e">
        <f>J216/C216</f>
        <v>#DIV/0!</v>
      </c>
      <c r="M216" s="365">
        <v>400729.8</v>
      </c>
      <c r="N216" s="365">
        <v>646338.39</v>
      </c>
      <c r="O216" s="44" t="e">
        <f>N216/C216</f>
        <v>#DIV/0!</v>
      </c>
      <c r="P216" s="43"/>
      <c r="Q216" s="44" t="e">
        <f>Funktional!AN216/Kennzahlen!I216</f>
        <v>#DIV/0!</v>
      </c>
      <c r="R216" s="46"/>
      <c r="S216" s="365">
        <v>73451.399999999994</v>
      </c>
      <c r="T216" s="365">
        <v>7615.8</v>
      </c>
      <c r="U216" s="365">
        <v>271.85000000000002</v>
      </c>
    </row>
    <row r="217" spans="1:21" x14ac:dyDescent="0.25">
      <c r="A217" t="str">
        <f>Funktional!A217</f>
        <v>Romanshorn</v>
      </c>
      <c r="B217" t="str">
        <f>Funktional!B217</f>
        <v>KiGa</v>
      </c>
      <c r="C217" s="403">
        <f t="shared" si="85"/>
        <v>0</v>
      </c>
      <c r="D217" s="403">
        <f t="shared" si="85"/>
        <v>119</v>
      </c>
      <c r="E217">
        <v>1</v>
      </c>
      <c r="F217" s="365"/>
      <c r="G217" s="365"/>
      <c r="H217" s="43"/>
      <c r="I217" s="43">
        <f t="shared" si="92"/>
        <v>119</v>
      </c>
      <c r="J217" s="43">
        <f>Funktional!E217</f>
        <v>906461.68788992311</v>
      </c>
      <c r="K217" s="44">
        <f>Funktional!G217</f>
        <v>7617.3251083186815</v>
      </c>
      <c r="L217" s="44" t="e">
        <f t="shared" ref="L217:L232" si="93">J217/C217</f>
        <v>#DIV/0!</v>
      </c>
      <c r="M217" s="365">
        <v>8216645.4000000004</v>
      </c>
      <c r="N217" s="365">
        <v>14415167.369999999</v>
      </c>
      <c r="O217" s="44" t="e">
        <f t="shared" ref="O217:O232" si="94">N217/C217</f>
        <v>#DIV/0!</v>
      </c>
      <c r="P217" s="43"/>
      <c r="Q217" s="44">
        <f>Funktional!AN217/Kennzahlen!I217</f>
        <v>31.910565156317858</v>
      </c>
      <c r="R217" s="46"/>
      <c r="S217" s="365">
        <v>606065.86</v>
      </c>
      <c r="T217" s="365">
        <v>71564.3</v>
      </c>
      <c r="U217" s="365">
        <v>118370.5</v>
      </c>
    </row>
    <row r="218" spans="1:21" x14ac:dyDescent="0.25">
      <c r="A218" t="str">
        <f>Funktional!A218</f>
        <v>Salenstein</v>
      </c>
      <c r="B218" t="str">
        <f>Funktional!B218</f>
        <v>KiGa</v>
      </c>
      <c r="C218" s="403">
        <f t="shared" si="85"/>
        <v>0</v>
      </c>
      <c r="D218" s="403">
        <f t="shared" si="85"/>
        <v>13</v>
      </c>
      <c r="E218">
        <v>2</v>
      </c>
      <c r="F218" s="365"/>
      <c r="G218" s="365"/>
      <c r="H218" s="43"/>
      <c r="I218" s="43">
        <f t="shared" si="92"/>
        <v>13</v>
      </c>
      <c r="J218" s="43">
        <f>Funktional!E218</f>
        <v>198182.78473408648</v>
      </c>
      <c r="K218" s="44">
        <f>Funktional!G218</f>
        <v>15244.82959492973</v>
      </c>
      <c r="L218" s="44" t="e">
        <f t="shared" si="93"/>
        <v>#DIV/0!</v>
      </c>
      <c r="M218" s="365">
        <v>1445751.25</v>
      </c>
      <c r="N218" s="365">
        <v>2409585.42</v>
      </c>
      <c r="O218" s="44" t="e">
        <f t="shared" si="94"/>
        <v>#DIV/0!</v>
      </c>
      <c r="P218" s="43"/>
      <c r="Q218" s="44">
        <f>Funktional!AN218/Kennzahlen!I218</f>
        <v>39.404154435811321</v>
      </c>
      <c r="R218" s="46"/>
      <c r="S218" s="365">
        <v>38276.1</v>
      </c>
      <c r="T218" s="365">
        <v>10054.700000000001</v>
      </c>
      <c r="U218" s="365">
        <v>0</v>
      </c>
    </row>
    <row r="219" spans="1:21" x14ac:dyDescent="0.25">
      <c r="A219" t="str">
        <f>Funktional!A219</f>
        <v>Salmsach-Hungerbühl</v>
      </c>
      <c r="B219" t="str">
        <f>Funktional!B219</f>
        <v>KiGa</v>
      </c>
      <c r="C219" s="403">
        <f t="shared" si="85"/>
        <v>0</v>
      </c>
      <c r="D219" s="403">
        <f t="shared" si="85"/>
        <v>36</v>
      </c>
      <c r="E219">
        <v>2</v>
      </c>
      <c r="F219" s="365"/>
      <c r="G219" s="365"/>
      <c r="H219" s="43"/>
      <c r="I219" s="43">
        <f t="shared" si="92"/>
        <v>36</v>
      </c>
      <c r="J219" s="43">
        <f>Funktional!E219</f>
        <v>292114.70701463567</v>
      </c>
      <c r="K219" s="44">
        <f>Funktional!G219</f>
        <v>8114.2974170732132</v>
      </c>
      <c r="L219" s="44" t="e">
        <f t="shared" si="93"/>
        <v>#DIV/0!</v>
      </c>
      <c r="M219" s="365">
        <v>951598</v>
      </c>
      <c r="N219" s="365">
        <v>1420295.52</v>
      </c>
      <c r="O219" s="44" t="e">
        <f t="shared" si="94"/>
        <v>#DIV/0!</v>
      </c>
      <c r="P219" s="43"/>
      <c r="Q219" s="44">
        <f>Funktional!AN219/Kennzahlen!I219</f>
        <v>23.09571814752853</v>
      </c>
      <c r="R219" s="46"/>
      <c r="S219" s="365">
        <v>-14084.95</v>
      </c>
      <c r="T219" s="365">
        <v>19516.45</v>
      </c>
      <c r="U219" s="365">
        <v>0</v>
      </c>
    </row>
    <row r="220" spans="1:21" x14ac:dyDescent="0.25">
      <c r="A220" t="str">
        <f>Funktional!A220</f>
        <v>Scherzingen</v>
      </c>
      <c r="B220" t="str">
        <f>Funktional!B220</f>
        <v>KiGa</v>
      </c>
      <c r="C220" s="403">
        <f t="shared" si="85"/>
        <v>0</v>
      </c>
      <c r="D220" s="403">
        <f t="shared" si="85"/>
        <v>31</v>
      </c>
      <c r="E220">
        <v>2</v>
      </c>
      <c r="F220" s="365"/>
      <c r="G220" s="365"/>
      <c r="H220" s="43"/>
      <c r="I220" s="43">
        <f t="shared" si="92"/>
        <v>31</v>
      </c>
      <c r="J220" s="43">
        <f>Funktional!E220</f>
        <v>229702.9311592445</v>
      </c>
      <c r="K220" s="44">
        <f>Funktional!G220</f>
        <v>7409.7719728788552</v>
      </c>
      <c r="L220" s="44" t="e">
        <f t="shared" si="93"/>
        <v>#DIV/0!</v>
      </c>
      <c r="M220" s="365">
        <v>1606246.3</v>
      </c>
      <c r="N220" s="365">
        <v>2141661.73</v>
      </c>
      <c r="O220" s="44" t="e">
        <f t="shared" si="94"/>
        <v>#DIV/0!</v>
      </c>
      <c r="P220" s="43"/>
      <c r="Q220" s="44">
        <f>Funktional!AN220/Kennzahlen!I220</f>
        <v>38.42223585237852</v>
      </c>
      <c r="R220" s="46"/>
      <c r="S220" s="365">
        <v>150319.15</v>
      </c>
      <c r="T220" s="365">
        <v>41757.800000000003</v>
      </c>
      <c r="U220" s="365">
        <v>7116.55</v>
      </c>
    </row>
    <row r="221" spans="1:21" x14ac:dyDescent="0.25">
      <c r="A221" t="str">
        <f>Funktional!A221</f>
        <v>Schlatt</v>
      </c>
      <c r="B221" t="str">
        <f>Funktional!B221</f>
        <v>KiGa</v>
      </c>
      <c r="C221" s="403">
        <f t="shared" si="85"/>
        <v>0</v>
      </c>
      <c r="D221" s="403">
        <f t="shared" si="85"/>
        <v>57</v>
      </c>
      <c r="E221">
        <v>2</v>
      </c>
      <c r="F221" s="365"/>
      <c r="G221" s="365"/>
      <c r="H221" s="43"/>
      <c r="I221" s="43">
        <f t="shared" si="92"/>
        <v>57</v>
      </c>
      <c r="J221" s="43">
        <f>Funktional!E221</f>
        <v>440020.80629975657</v>
      </c>
      <c r="K221" s="44">
        <f>Funktional!G221</f>
        <v>7719.6632684167816</v>
      </c>
      <c r="L221" s="44" t="e">
        <f t="shared" si="93"/>
        <v>#DIV/0!</v>
      </c>
      <c r="M221" s="365">
        <v>1678775.32</v>
      </c>
      <c r="N221" s="365">
        <v>1862640.42</v>
      </c>
      <c r="O221" s="44" t="e">
        <f t="shared" si="94"/>
        <v>#DIV/0!</v>
      </c>
      <c r="P221" s="43"/>
      <c r="Q221" s="44">
        <f>Funktional!AN221/Kennzahlen!I221</f>
        <v>12.256805466716958</v>
      </c>
      <c r="R221" s="46"/>
      <c r="S221" s="365">
        <v>47444.32</v>
      </c>
      <c r="T221" s="365">
        <v>37274.800000000003</v>
      </c>
      <c r="U221" s="365">
        <v>3317.75</v>
      </c>
    </row>
    <row r="222" spans="1:21" x14ac:dyDescent="0.25">
      <c r="A222" t="str">
        <f>Funktional!A222</f>
        <v>Schlattingen</v>
      </c>
      <c r="B222" t="str">
        <f>Funktional!B222</f>
        <v>KiGa</v>
      </c>
      <c r="C222" s="403">
        <f t="shared" si="85"/>
        <v>0</v>
      </c>
      <c r="D222" s="403">
        <f t="shared" si="85"/>
        <v>17</v>
      </c>
      <c r="E222">
        <v>2</v>
      </c>
      <c r="F222" s="365"/>
      <c r="G222" s="365"/>
      <c r="H222" s="43"/>
      <c r="I222" s="43">
        <f t="shared" si="92"/>
        <v>17</v>
      </c>
      <c r="J222" s="43">
        <f>Funktional!E222</f>
        <v>136466.6642242175</v>
      </c>
      <c r="K222" s="44">
        <f>Funktional!G222</f>
        <v>8027.4508367186763</v>
      </c>
      <c r="L222" s="44" t="e">
        <f t="shared" si="93"/>
        <v>#DIV/0!</v>
      </c>
      <c r="M222" s="365">
        <v>394853.15</v>
      </c>
      <c r="N222" s="365">
        <v>548407.15</v>
      </c>
      <c r="O222" s="44" t="e">
        <f t="shared" si="94"/>
        <v>#DIV/0!</v>
      </c>
      <c r="P222" s="43"/>
      <c r="Q222" s="44">
        <f>Funktional!AN222/Kennzahlen!I222</f>
        <v>90.641861815059286</v>
      </c>
      <c r="R222" s="46"/>
      <c r="S222" s="365">
        <v>5862.5</v>
      </c>
      <c r="T222" s="365">
        <v>30188</v>
      </c>
      <c r="U222" s="365">
        <v>3380</v>
      </c>
    </row>
    <row r="223" spans="1:21" x14ac:dyDescent="0.25">
      <c r="A223" t="str">
        <f>Funktional!A223</f>
        <v>Schmidshof</v>
      </c>
      <c r="B223" t="str">
        <f>Funktional!B223</f>
        <v>KiGa</v>
      </c>
      <c r="C223" s="403">
        <f t="shared" si="85"/>
        <v>0</v>
      </c>
      <c r="D223" s="403">
        <f t="shared" si="85"/>
        <v>0</v>
      </c>
      <c r="E223">
        <v>2</v>
      </c>
      <c r="F223" s="365"/>
      <c r="G223" s="365"/>
      <c r="H223" s="43"/>
      <c r="I223" s="43">
        <f t="shared" si="92"/>
        <v>0</v>
      </c>
      <c r="J223" s="43">
        <f>Funktional!E223</f>
        <v>0</v>
      </c>
      <c r="K223" s="44">
        <f>Funktional!G223</f>
        <v>0</v>
      </c>
      <c r="L223" s="44" t="e">
        <f t="shared" si="93"/>
        <v>#DIV/0!</v>
      </c>
      <c r="M223" s="365">
        <v>162612.45000000001</v>
      </c>
      <c r="N223" s="365">
        <v>240259.42</v>
      </c>
      <c r="O223" s="44" t="e">
        <f t="shared" si="94"/>
        <v>#DIV/0!</v>
      </c>
      <c r="P223" s="43"/>
      <c r="Q223" s="44" t="e">
        <f>Funktional!AN223/Kennzahlen!I223</f>
        <v>#DIV/0!</v>
      </c>
      <c r="R223" s="46"/>
      <c r="S223" s="365">
        <v>-10115.85</v>
      </c>
      <c r="T223" s="365">
        <v>8253.0499999999993</v>
      </c>
      <c r="U223" s="365">
        <v>2934.65</v>
      </c>
    </row>
    <row r="224" spans="1:21" x14ac:dyDescent="0.25">
      <c r="A224" t="str">
        <f>Funktional!A224</f>
        <v>Schönenberg-Kradolf</v>
      </c>
      <c r="B224" t="str">
        <f>Funktional!B224</f>
        <v>KiGa</v>
      </c>
      <c r="C224" s="403">
        <f t="shared" si="85"/>
        <v>0</v>
      </c>
      <c r="D224" s="403">
        <f t="shared" si="85"/>
        <v>70</v>
      </c>
      <c r="E224">
        <v>2</v>
      </c>
      <c r="F224" s="365"/>
      <c r="G224" s="365"/>
      <c r="H224" s="43"/>
      <c r="I224" s="43">
        <f t="shared" ref="I224:I239" si="95">H224+D224</f>
        <v>70</v>
      </c>
      <c r="J224" s="43">
        <f>Funktional!E224</f>
        <v>553767.78248364409</v>
      </c>
      <c r="K224" s="44">
        <f>Funktional!G224</f>
        <v>7910.9683211949159</v>
      </c>
      <c r="L224" s="44" t="e">
        <f t="shared" si="93"/>
        <v>#DIV/0!</v>
      </c>
      <c r="M224" s="365">
        <v>1364320.2</v>
      </c>
      <c r="N224" s="365">
        <v>2312407.12</v>
      </c>
      <c r="O224" s="44" t="e">
        <f t="shared" si="94"/>
        <v>#DIV/0!</v>
      </c>
      <c r="P224" s="43"/>
      <c r="Q224" s="44">
        <f>Funktional!AN224/Kennzahlen!I224</f>
        <v>52.827217871253815</v>
      </c>
      <c r="R224" s="46"/>
      <c r="S224" s="365">
        <v>-129911.1</v>
      </c>
      <c r="T224" s="365">
        <v>29483.85</v>
      </c>
      <c r="U224" s="365">
        <v>39912.300000000003</v>
      </c>
    </row>
    <row r="225" spans="1:21" x14ac:dyDescent="0.25">
      <c r="A225" t="str">
        <f>Funktional!A225</f>
        <v>Schönholzerswilen</v>
      </c>
      <c r="B225" t="str">
        <f>Funktional!B225</f>
        <v>KiGa</v>
      </c>
      <c r="C225" s="403">
        <f t="shared" ref="C225:D251" si="96">C103</f>
        <v>0</v>
      </c>
      <c r="D225" s="403">
        <f t="shared" si="96"/>
        <v>22</v>
      </c>
      <c r="E225">
        <v>2</v>
      </c>
      <c r="F225" s="365"/>
      <c r="G225" s="365"/>
      <c r="H225" s="43"/>
      <c r="I225" s="43">
        <f t="shared" si="95"/>
        <v>22</v>
      </c>
      <c r="J225" s="43">
        <f>Funktional!E225</f>
        <v>206465.41149378821</v>
      </c>
      <c r="K225" s="44">
        <f>Funktional!G225</f>
        <v>9384.7914315358285</v>
      </c>
      <c r="L225" s="44" t="e">
        <f t="shared" si="93"/>
        <v>#DIV/0!</v>
      </c>
      <c r="M225" s="365">
        <v>245386.45</v>
      </c>
      <c r="N225" s="365">
        <v>446157.18</v>
      </c>
      <c r="O225" s="44" t="e">
        <f t="shared" si="94"/>
        <v>#DIV/0!</v>
      </c>
      <c r="P225" s="43"/>
      <c r="Q225" s="44">
        <f>Funktional!AN225/Kennzahlen!I225</f>
        <v>36.12073254855526</v>
      </c>
      <c r="R225" s="46"/>
      <c r="S225" s="365">
        <v>-34206.25</v>
      </c>
      <c r="T225" s="365">
        <v>119379.45</v>
      </c>
      <c r="U225" s="365">
        <v>1686.6</v>
      </c>
    </row>
    <row r="226" spans="1:21" x14ac:dyDescent="0.25">
      <c r="A226" t="str">
        <f>Funktional!A226</f>
        <v>Schurten</v>
      </c>
      <c r="B226" t="str">
        <f>Funktional!B226</f>
        <v>KiGa</v>
      </c>
      <c r="C226" s="403">
        <f t="shared" si="96"/>
        <v>0</v>
      </c>
      <c r="D226" s="403">
        <f t="shared" si="96"/>
        <v>0</v>
      </c>
      <c r="E226">
        <v>1</v>
      </c>
      <c r="F226" s="365"/>
      <c r="G226" s="365"/>
      <c r="H226" s="43"/>
      <c r="I226" s="43">
        <f t="shared" si="95"/>
        <v>0</v>
      </c>
      <c r="J226" s="43">
        <f>Funktional!E226</f>
        <v>0</v>
      </c>
      <c r="K226" s="44">
        <f>Funktional!G226</f>
        <v>0</v>
      </c>
      <c r="L226" s="44" t="e">
        <f t="shared" si="93"/>
        <v>#DIV/0!</v>
      </c>
      <c r="M226" s="365">
        <v>39433.550000000003</v>
      </c>
      <c r="N226" s="365">
        <v>78867.100000000006</v>
      </c>
      <c r="O226" s="44" t="e">
        <f t="shared" si="94"/>
        <v>#DIV/0!</v>
      </c>
      <c r="P226" s="43"/>
      <c r="Q226" s="44" t="e">
        <f>Funktional!AN226/Kennzahlen!I226</f>
        <v>#DIV/0!</v>
      </c>
      <c r="R226" s="46"/>
      <c r="S226" s="365">
        <v>-11465.5</v>
      </c>
      <c r="T226" s="365">
        <v>645</v>
      </c>
      <c r="U226" s="365">
        <v>240.3</v>
      </c>
    </row>
    <row r="227" spans="1:21" x14ac:dyDescent="0.25">
      <c r="A227" t="str">
        <f>Funktional!A227</f>
        <v>Sirnach</v>
      </c>
      <c r="B227" t="str">
        <f>Funktional!B227</f>
        <v>KiGa</v>
      </c>
      <c r="C227" s="403">
        <f t="shared" si="96"/>
        <v>0</v>
      </c>
      <c r="D227" s="403">
        <f t="shared" si="96"/>
        <v>139</v>
      </c>
      <c r="E227">
        <v>2</v>
      </c>
      <c r="F227" s="365"/>
      <c r="G227" s="365"/>
      <c r="H227" s="43"/>
      <c r="I227" s="43">
        <f t="shared" si="95"/>
        <v>139</v>
      </c>
      <c r="J227" s="43">
        <f>Funktional!E227</f>
        <v>860013.8207631961</v>
      </c>
      <c r="K227" s="44">
        <f>Funktional!G227</f>
        <v>6187.1497896632809</v>
      </c>
      <c r="L227" s="44" t="e">
        <f t="shared" si="93"/>
        <v>#DIV/0!</v>
      </c>
      <c r="M227" s="365">
        <v>3659632.05</v>
      </c>
      <c r="N227" s="365">
        <v>6099386.75</v>
      </c>
      <c r="O227" s="44" t="e">
        <f t="shared" si="94"/>
        <v>#DIV/0!</v>
      </c>
      <c r="P227" s="43"/>
      <c r="Q227" s="44">
        <f>Funktional!AN227/Kennzahlen!I227</f>
        <v>23.118202994995986</v>
      </c>
      <c r="R227" s="46"/>
      <c r="S227" s="365">
        <v>490081.95</v>
      </c>
      <c r="T227" s="365">
        <v>228424.85</v>
      </c>
      <c r="U227" s="365">
        <v>46829.25</v>
      </c>
    </row>
    <row r="228" spans="1:21" x14ac:dyDescent="0.25">
      <c r="A228" t="str">
        <f>Funktional!A228</f>
        <v>Sitterdorf</v>
      </c>
      <c r="B228" t="str">
        <f>Funktional!B228</f>
        <v>KiGa</v>
      </c>
      <c r="C228" s="403">
        <f t="shared" si="96"/>
        <v>0</v>
      </c>
      <c r="D228" s="403">
        <f t="shared" si="96"/>
        <v>38</v>
      </c>
      <c r="E228">
        <v>1</v>
      </c>
      <c r="F228" s="365"/>
      <c r="G228" s="365"/>
      <c r="H228" s="43"/>
      <c r="I228" s="43">
        <f t="shared" si="95"/>
        <v>38</v>
      </c>
      <c r="J228" s="43">
        <f>Funktional!E228</f>
        <v>300056.31047414703</v>
      </c>
      <c r="K228" s="44">
        <f>Funktional!G228</f>
        <v>7896.2186966880799</v>
      </c>
      <c r="L228" s="44" t="e">
        <f t="shared" si="93"/>
        <v>#DIV/0!</v>
      </c>
      <c r="M228" s="365">
        <v>707077.2</v>
      </c>
      <c r="N228" s="365">
        <v>1087811.08</v>
      </c>
      <c r="O228" s="44" t="e">
        <f t="shared" si="94"/>
        <v>#DIV/0!</v>
      </c>
      <c r="P228" s="43"/>
      <c r="Q228" s="44">
        <f>Funktional!AN228/Kennzahlen!I228</f>
        <v>27.536440271208896</v>
      </c>
      <c r="R228" s="46"/>
      <c r="S228" s="365">
        <v>-103586.68</v>
      </c>
      <c r="T228" s="365">
        <v>14767</v>
      </c>
      <c r="U228" s="365">
        <v>13980.2</v>
      </c>
    </row>
    <row r="229" spans="1:21" x14ac:dyDescent="0.25">
      <c r="A229" t="str">
        <f>Funktional!A229</f>
        <v>Sommeri</v>
      </c>
      <c r="B229" t="str">
        <f>Funktional!B229</f>
        <v>KiGa</v>
      </c>
      <c r="C229" s="403">
        <f t="shared" si="96"/>
        <v>0</v>
      </c>
      <c r="D229" s="403">
        <f t="shared" si="96"/>
        <v>13</v>
      </c>
      <c r="E229">
        <v>2</v>
      </c>
      <c r="F229" s="365"/>
      <c r="G229" s="365"/>
      <c r="H229" s="43"/>
      <c r="I229" s="43">
        <f t="shared" si="95"/>
        <v>13</v>
      </c>
      <c r="J229" s="43">
        <f>Funktional!E229</f>
        <v>137894.05328367974</v>
      </c>
      <c r="K229" s="44">
        <f>Funktional!G229</f>
        <v>10607.234867975365</v>
      </c>
      <c r="L229" s="44" t="e">
        <f t="shared" si="93"/>
        <v>#DIV/0!</v>
      </c>
      <c r="M229" s="365">
        <v>301274.75</v>
      </c>
      <c r="N229" s="365">
        <v>493893.03</v>
      </c>
      <c r="O229" s="44" t="e">
        <f t="shared" si="94"/>
        <v>#DIV/0!</v>
      </c>
      <c r="P229" s="43"/>
      <c r="Q229" s="44">
        <f>Funktional!AN229/Kennzahlen!I229</f>
        <v>60.612075484032438</v>
      </c>
      <c r="R229" s="46"/>
      <c r="S229" s="365">
        <v>61348.65</v>
      </c>
      <c r="T229" s="365">
        <v>3657</v>
      </c>
      <c r="U229" s="365">
        <v>0</v>
      </c>
    </row>
    <row r="230" spans="1:21" x14ac:dyDescent="0.25">
      <c r="A230" t="str">
        <f>Funktional!A230</f>
        <v>Sonterswil</v>
      </c>
      <c r="B230" t="str">
        <f>Funktional!B230</f>
        <v>KiGa</v>
      </c>
      <c r="C230" s="403">
        <f t="shared" si="96"/>
        <v>0</v>
      </c>
      <c r="D230" s="403">
        <f t="shared" si="96"/>
        <v>18</v>
      </c>
      <c r="E230">
        <v>1</v>
      </c>
      <c r="F230" s="365"/>
      <c r="G230" s="365"/>
      <c r="H230" s="43"/>
      <c r="I230" s="43">
        <f t="shared" si="95"/>
        <v>18</v>
      </c>
      <c r="J230" s="43">
        <f>Funktional!E230</f>
        <v>138901.21870863496</v>
      </c>
      <c r="K230" s="44">
        <f>Funktional!G230</f>
        <v>7716.7343727019424</v>
      </c>
      <c r="L230" s="44" t="e">
        <f t="shared" si="93"/>
        <v>#DIV/0!</v>
      </c>
      <c r="M230" s="365">
        <v>272272</v>
      </c>
      <c r="N230" s="365">
        <v>642281.19999999995</v>
      </c>
      <c r="O230" s="44" t="e">
        <f t="shared" si="94"/>
        <v>#DIV/0!</v>
      </c>
      <c r="P230" s="43"/>
      <c r="Q230" s="44">
        <f>Funktional!AN230/Kennzahlen!I230</f>
        <v>74.289913976984806</v>
      </c>
      <c r="R230" s="46"/>
      <c r="S230" s="365">
        <v>-213204.7</v>
      </c>
      <c r="T230" s="365">
        <v>22718.1</v>
      </c>
      <c r="U230" s="365">
        <v>1254.75</v>
      </c>
    </row>
    <row r="231" spans="1:21" x14ac:dyDescent="0.25">
      <c r="A231" t="str">
        <f>Funktional!A231</f>
        <v>Steckborn</v>
      </c>
      <c r="B231" t="str">
        <f>Funktional!B231</f>
        <v>KiGa</v>
      </c>
      <c r="C231" s="403">
        <f t="shared" si="96"/>
        <v>0</v>
      </c>
      <c r="D231" s="403">
        <f t="shared" si="96"/>
        <v>64</v>
      </c>
      <c r="E231">
        <v>2</v>
      </c>
      <c r="F231" s="365"/>
      <c r="G231" s="365"/>
      <c r="H231" s="43"/>
      <c r="I231" s="43">
        <f t="shared" si="95"/>
        <v>64</v>
      </c>
      <c r="J231" s="43">
        <f>Funktional!E231</f>
        <v>626800.07624716917</v>
      </c>
      <c r="K231" s="44">
        <f>Funktional!G231</f>
        <v>9793.7511913620183</v>
      </c>
      <c r="L231" s="44" t="e">
        <f t="shared" si="93"/>
        <v>#DIV/0!</v>
      </c>
      <c r="M231" s="365">
        <v>2858079.2</v>
      </c>
      <c r="N231" s="365">
        <v>4265789.8499999996</v>
      </c>
      <c r="O231" s="44" t="e">
        <f t="shared" si="94"/>
        <v>#DIV/0!</v>
      </c>
      <c r="P231" s="43"/>
      <c r="Q231" s="44">
        <f>Funktional!AN231/Kennzahlen!I231</f>
        <v>61.129457107573828</v>
      </c>
      <c r="R231" s="46"/>
      <c r="S231" s="365">
        <v>-312703.95</v>
      </c>
      <c r="T231" s="365">
        <v>58545.35</v>
      </c>
      <c r="U231" s="365">
        <v>14833.55</v>
      </c>
    </row>
    <row r="232" spans="1:21" x14ac:dyDescent="0.25">
      <c r="A232" t="str">
        <f>Funktional!A232</f>
        <v>Steinebrunn</v>
      </c>
      <c r="B232" t="str">
        <f>Funktional!B232</f>
        <v>KiGa</v>
      </c>
      <c r="C232" s="403">
        <f t="shared" si="96"/>
        <v>0</v>
      </c>
      <c r="D232" s="403">
        <f t="shared" si="96"/>
        <v>19</v>
      </c>
      <c r="E232">
        <v>2</v>
      </c>
      <c r="F232" s="365"/>
      <c r="G232" s="365"/>
      <c r="H232" s="43"/>
      <c r="I232" s="43">
        <f t="shared" si="95"/>
        <v>19</v>
      </c>
      <c r="J232" s="43">
        <f>Funktional!E232</f>
        <v>126512.59529888473</v>
      </c>
      <c r="K232" s="44">
        <f>Funktional!G232</f>
        <v>6658.5576473097226</v>
      </c>
      <c r="L232" s="44" t="e">
        <f t="shared" si="93"/>
        <v>#DIV/0!</v>
      </c>
      <c r="M232" s="365">
        <v>320147.90000000002</v>
      </c>
      <c r="N232" s="365">
        <v>516367.58</v>
      </c>
      <c r="O232" s="44" t="e">
        <f t="shared" si="94"/>
        <v>#DIV/0!</v>
      </c>
      <c r="P232" s="43"/>
      <c r="Q232" s="44">
        <f>Funktional!AN232/Kennzahlen!I232</f>
        <v>49.383883996245324</v>
      </c>
      <c r="R232" s="46"/>
      <c r="S232" s="365">
        <v>-135456.25</v>
      </c>
      <c r="T232" s="365">
        <v>10721.65</v>
      </c>
      <c r="U232" s="365">
        <v>1375.05</v>
      </c>
    </row>
    <row r="233" spans="1:21" x14ac:dyDescent="0.25">
      <c r="A233" t="str">
        <f>Funktional!A233</f>
        <v>Stettfurt</v>
      </c>
      <c r="B233" t="str">
        <f>Funktional!B233</f>
        <v>KiGa</v>
      </c>
      <c r="C233" s="403">
        <f t="shared" si="96"/>
        <v>0</v>
      </c>
      <c r="D233" s="403">
        <f t="shared" si="96"/>
        <v>30</v>
      </c>
      <c r="E233">
        <v>2</v>
      </c>
      <c r="F233" s="365"/>
      <c r="G233" s="365"/>
      <c r="H233" s="43"/>
      <c r="I233" s="43">
        <f t="shared" si="95"/>
        <v>30</v>
      </c>
      <c r="J233" s="43">
        <f>Funktional!E233</f>
        <v>266306.26294859475</v>
      </c>
      <c r="K233" s="44">
        <f>Funktional!G233</f>
        <v>8876.8754316198247</v>
      </c>
      <c r="L233" s="44" t="e">
        <f t="shared" ref="L233:L248" si="97">J233/C233</f>
        <v>#DIV/0!</v>
      </c>
      <c r="M233" s="365">
        <v>964166.25</v>
      </c>
      <c r="N233" s="365">
        <v>1634180.08</v>
      </c>
      <c r="O233" s="44" t="e">
        <f t="shared" ref="O233:O248" si="98">N233/C233</f>
        <v>#DIV/0!</v>
      </c>
      <c r="P233" s="43"/>
      <c r="Q233" s="44">
        <f>Funktional!AN233/Kennzahlen!I233</f>
        <v>45.368417802846594</v>
      </c>
      <c r="R233" s="46"/>
      <c r="S233" s="365">
        <v>12959.2</v>
      </c>
      <c r="T233" s="365">
        <v>22343.05</v>
      </c>
      <c r="U233" s="365">
        <v>75.3</v>
      </c>
    </row>
    <row r="234" spans="1:21" x14ac:dyDescent="0.25">
      <c r="A234" t="str">
        <f>Funktional!A234</f>
        <v>Strohwilen-Wolfikon</v>
      </c>
      <c r="B234" t="str">
        <f>Funktional!B234</f>
        <v>KiGa</v>
      </c>
      <c r="C234" s="403">
        <f t="shared" si="96"/>
        <v>0</v>
      </c>
      <c r="D234" s="403">
        <f t="shared" si="96"/>
        <v>16</v>
      </c>
      <c r="E234">
        <v>2</v>
      </c>
      <c r="F234" s="365"/>
      <c r="G234" s="365"/>
      <c r="H234" s="43"/>
      <c r="I234" s="43">
        <f t="shared" si="95"/>
        <v>16</v>
      </c>
      <c r="J234" s="43">
        <f>Funktional!E234</f>
        <v>90927.615574058611</v>
      </c>
      <c r="K234" s="44">
        <f>Funktional!G234</f>
        <v>5682.9759733786632</v>
      </c>
      <c r="L234" s="44" t="e">
        <f t="shared" si="97"/>
        <v>#DIV/0!</v>
      </c>
      <c r="M234" s="365">
        <v>141613.85</v>
      </c>
      <c r="N234" s="365">
        <v>224783.89</v>
      </c>
      <c r="O234" s="44" t="e">
        <f t="shared" si="98"/>
        <v>#DIV/0!</v>
      </c>
      <c r="P234" s="43"/>
      <c r="Q234" s="44">
        <f>Funktional!AN234/Kennzahlen!I234</f>
        <v>33.797348921306856</v>
      </c>
      <c r="R234" s="46"/>
      <c r="S234" s="365">
        <v>60791.35</v>
      </c>
      <c r="T234" s="365">
        <v>6732.05</v>
      </c>
      <c r="U234" s="365">
        <v>3361.45</v>
      </c>
    </row>
    <row r="235" spans="1:21" x14ac:dyDescent="0.25">
      <c r="A235" t="str">
        <f>Funktional!A235</f>
        <v>Sulgen</v>
      </c>
      <c r="B235" t="str">
        <f>Funktional!B235</f>
        <v>KiGa</v>
      </c>
      <c r="C235" s="403">
        <f t="shared" si="96"/>
        <v>0</v>
      </c>
      <c r="D235" s="403">
        <f t="shared" si="96"/>
        <v>98</v>
      </c>
      <c r="E235">
        <v>1</v>
      </c>
      <c r="F235" s="365"/>
      <c r="G235" s="365"/>
      <c r="H235" s="43"/>
      <c r="I235" s="43">
        <f t="shared" si="95"/>
        <v>98</v>
      </c>
      <c r="J235" s="43">
        <f>Funktional!E235</f>
        <v>530223.11718140473</v>
      </c>
      <c r="K235" s="44">
        <f>Funktional!G235</f>
        <v>5410.439971238824</v>
      </c>
      <c r="L235" s="44" t="e">
        <f t="shared" si="97"/>
        <v>#DIV/0!</v>
      </c>
      <c r="M235" s="365">
        <v>2454417.9500000002</v>
      </c>
      <c r="N235" s="365">
        <v>3557127.46</v>
      </c>
      <c r="O235" s="44" t="e">
        <f t="shared" si="98"/>
        <v>#DIV/0!</v>
      </c>
      <c r="P235" s="43"/>
      <c r="Q235" s="44">
        <f>Funktional!AN235/Kennzahlen!I235</f>
        <v>29.99796617889935</v>
      </c>
      <c r="R235" s="46"/>
      <c r="S235" s="365">
        <v>94682.9</v>
      </c>
      <c r="T235" s="365">
        <v>40586.550000000003</v>
      </c>
      <c r="U235" s="365">
        <v>0</v>
      </c>
    </row>
    <row r="236" spans="1:21" x14ac:dyDescent="0.25">
      <c r="A236" t="str">
        <f>Funktional!A236</f>
        <v>Tägerwilen</v>
      </c>
      <c r="B236" t="str">
        <f>Funktional!B236</f>
        <v>KiGa</v>
      </c>
      <c r="C236" s="403">
        <f t="shared" si="96"/>
        <v>0</v>
      </c>
      <c r="D236" s="403">
        <f t="shared" si="96"/>
        <v>93</v>
      </c>
      <c r="E236">
        <v>2</v>
      </c>
      <c r="F236" s="365"/>
      <c r="G236" s="365"/>
      <c r="H236" s="43"/>
      <c r="I236" s="43">
        <f t="shared" si="95"/>
        <v>93</v>
      </c>
      <c r="J236" s="43">
        <f>Funktional!E236</f>
        <v>732018.46748413588</v>
      </c>
      <c r="K236" s="44">
        <f>Funktional!G236</f>
        <v>7871.1663170337188</v>
      </c>
      <c r="L236" s="44" t="e">
        <f t="shared" si="97"/>
        <v>#DIV/0!</v>
      </c>
      <c r="M236" s="365">
        <v>2785419.5</v>
      </c>
      <c r="N236" s="365">
        <v>4492612.0999999996</v>
      </c>
      <c r="O236" s="44" t="e">
        <f t="shared" si="98"/>
        <v>#DIV/0!</v>
      </c>
      <c r="P236" s="43"/>
      <c r="Q236" s="44">
        <f>Funktional!AN236/Kennzahlen!I236</f>
        <v>87.947702724554162</v>
      </c>
      <c r="R236" s="46"/>
      <c r="S236" s="365">
        <v>-687461.85</v>
      </c>
      <c r="T236" s="365">
        <v>102828.9</v>
      </c>
      <c r="U236" s="365">
        <v>44622.95</v>
      </c>
    </row>
    <row r="237" spans="1:21" x14ac:dyDescent="0.25">
      <c r="A237" t="str">
        <f>Funktional!A237</f>
        <v>Thundorf</v>
      </c>
      <c r="B237" t="str">
        <f>Funktional!B237</f>
        <v>KiGa</v>
      </c>
      <c r="C237" s="403">
        <f t="shared" si="96"/>
        <v>0</v>
      </c>
      <c r="D237" s="403">
        <f t="shared" si="96"/>
        <v>38</v>
      </c>
      <c r="E237">
        <v>2</v>
      </c>
      <c r="F237" s="365"/>
      <c r="G237" s="365"/>
      <c r="H237" s="43"/>
      <c r="I237" s="43">
        <f t="shared" si="95"/>
        <v>38</v>
      </c>
      <c r="J237" s="43">
        <f>Funktional!E237</f>
        <v>261854.53204198348</v>
      </c>
      <c r="K237" s="44">
        <f>Funktional!G237</f>
        <v>6890.9087379469338</v>
      </c>
      <c r="L237" s="44" t="e">
        <f t="shared" si="97"/>
        <v>#DIV/0!</v>
      </c>
      <c r="M237" s="365">
        <v>848195.75</v>
      </c>
      <c r="N237" s="365">
        <v>1437619.92</v>
      </c>
      <c r="O237" s="44" t="e">
        <f t="shared" si="98"/>
        <v>#DIV/0!</v>
      </c>
      <c r="P237" s="43"/>
      <c r="Q237" s="44">
        <f>Funktional!AN237/Kennzahlen!I237</f>
        <v>24.036871357296331</v>
      </c>
      <c r="R237" s="46"/>
      <c r="S237" s="365">
        <v>4773.74</v>
      </c>
      <c r="T237" s="365">
        <v>5144</v>
      </c>
      <c r="U237" s="365">
        <v>11912.15</v>
      </c>
    </row>
    <row r="238" spans="1:21" x14ac:dyDescent="0.25">
      <c r="A238" t="str">
        <f>Funktional!A238</f>
        <v>Tobel</v>
      </c>
      <c r="B238" t="str">
        <f>Funktional!B238</f>
        <v>KiGa</v>
      </c>
      <c r="C238" s="403">
        <f t="shared" si="96"/>
        <v>0</v>
      </c>
      <c r="D238" s="403">
        <f t="shared" si="96"/>
        <v>20</v>
      </c>
      <c r="E238">
        <v>1</v>
      </c>
      <c r="F238" s="365"/>
      <c r="G238" s="365"/>
      <c r="H238" s="43"/>
      <c r="I238" s="43">
        <f t="shared" si="95"/>
        <v>20</v>
      </c>
      <c r="J238" s="43">
        <f>Funktional!E238</f>
        <v>127933.85616365267</v>
      </c>
      <c r="K238" s="44">
        <f>Funktional!G238</f>
        <v>6396.6928081826336</v>
      </c>
      <c r="L238" s="44" t="e">
        <f t="shared" si="97"/>
        <v>#DIV/0!</v>
      </c>
      <c r="M238" s="365">
        <v>1170307.3500000001</v>
      </c>
      <c r="N238" s="365">
        <v>1500977.57</v>
      </c>
      <c r="O238" s="44" t="e">
        <f t="shared" si="98"/>
        <v>#DIV/0!</v>
      </c>
      <c r="P238" s="43"/>
      <c r="Q238" s="44">
        <f>Funktional!AN238/Kennzahlen!I238</f>
        <v>6.3587254341455512</v>
      </c>
      <c r="R238" s="46"/>
      <c r="S238" s="365">
        <v>228845.04</v>
      </c>
      <c r="T238" s="365">
        <v>50104</v>
      </c>
      <c r="U238" s="365">
        <v>11227.85</v>
      </c>
    </row>
    <row r="239" spans="1:21" x14ac:dyDescent="0.25">
      <c r="A239" t="str">
        <f>Funktional!A239</f>
        <v>Uesslingen</v>
      </c>
      <c r="B239" t="str">
        <f>Funktional!B239</f>
        <v>KiGa</v>
      </c>
      <c r="C239" s="403">
        <f t="shared" si="96"/>
        <v>0</v>
      </c>
      <c r="D239" s="403">
        <f t="shared" si="96"/>
        <v>39</v>
      </c>
      <c r="E239">
        <v>2</v>
      </c>
      <c r="F239" s="365"/>
      <c r="G239" s="365"/>
      <c r="H239" s="43"/>
      <c r="I239" s="43">
        <f t="shared" si="95"/>
        <v>39</v>
      </c>
      <c r="J239" s="43">
        <f>Funktional!E239</f>
        <v>240925.6774671606</v>
      </c>
      <c r="K239" s="44">
        <f>Funktional!G239</f>
        <v>6177.5814735169388</v>
      </c>
      <c r="L239" s="44" t="e">
        <f t="shared" si="97"/>
        <v>#DIV/0!</v>
      </c>
      <c r="M239" s="365">
        <v>545061.5</v>
      </c>
      <c r="N239" s="365">
        <v>838556.15</v>
      </c>
      <c r="O239" s="44" t="e">
        <f t="shared" si="98"/>
        <v>#DIV/0!</v>
      </c>
      <c r="P239" s="43"/>
      <c r="Q239" s="44">
        <f>Funktional!AN239/Kennzahlen!I239</f>
        <v>21.72045991398274</v>
      </c>
      <c r="R239" s="46"/>
      <c r="S239" s="365">
        <v>-14410.15</v>
      </c>
      <c r="T239" s="365">
        <v>40189.550000000003</v>
      </c>
      <c r="U239" s="365">
        <v>7370.8</v>
      </c>
    </row>
    <row r="240" spans="1:21" x14ac:dyDescent="0.25">
      <c r="A240" t="str">
        <f>Funktional!A240</f>
        <v>Uttwil</v>
      </c>
      <c r="B240" t="str">
        <f>Funktional!B240</f>
        <v>KiGa</v>
      </c>
      <c r="C240" s="403">
        <f t="shared" si="96"/>
        <v>0</v>
      </c>
      <c r="D240" s="403">
        <f t="shared" si="96"/>
        <v>44</v>
      </c>
      <c r="E240">
        <v>2</v>
      </c>
      <c r="F240" s="365"/>
      <c r="G240" s="365"/>
      <c r="H240" s="43"/>
      <c r="I240" s="43">
        <f t="shared" ref="I240:I251" si="99">H240+D240</f>
        <v>44</v>
      </c>
      <c r="J240" s="43">
        <f>Funktional!E240</f>
        <v>202734.38415058341</v>
      </c>
      <c r="K240" s="44">
        <f>Funktional!G240</f>
        <v>4607.5996397859863</v>
      </c>
      <c r="L240" s="44" t="e">
        <f t="shared" si="97"/>
        <v>#DIV/0!</v>
      </c>
      <c r="M240" s="365">
        <v>1270104.8500000001</v>
      </c>
      <c r="N240" s="365">
        <v>2082139.1</v>
      </c>
      <c r="O240" s="44" t="e">
        <f t="shared" si="98"/>
        <v>#DIV/0!</v>
      </c>
      <c r="P240" s="43"/>
      <c r="Q240" s="44">
        <f>Funktional!AN240/Kennzahlen!I240</f>
        <v>23.186634585556195</v>
      </c>
      <c r="R240" s="46"/>
      <c r="S240" s="365">
        <v>-67076.45</v>
      </c>
      <c r="T240" s="365">
        <v>32539.75</v>
      </c>
      <c r="U240" s="365">
        <v>14150.05</v>
      </c>
    </row>
    <row r="241" spans="1:21" x14ac:dyDescent="0.25">
      <c r="A241" t="str">
        <f>Funktional!A241</f>
        <v>Wagenhausen-Rheinklingen</v>
      </c>
      <c r="B241" t="str">
        <f>Funktional!B241</f>
        <v>KiGa</v>
      </c>
      <c r="C241" s="403">
        <f t="shared" si="96"/>
        <v>0</v>
      </c>
      <c r="D241" s="403">
        <f t="shared" si="96"/>
        <v>18</v>
      </c>
      <c r="E241">
        <v>2</v>
      </c>
      <c r="F241" s="365"/>
      <c r="G241" s="365"/>
      <c r="H241" s="43"/>
      <c r="I241" s="43">
        <f t="shared" si="99"/>
        <v>18</v>
      </c>
      <c r="J241" s="43">
        <f>Funktional!E241</f>
        <v>124431.19224678664</v>
      </c>
      <c r="K241" s="44">
        <f>Funktional!G241</f>
        <v>6912.8440137103689</v>
      </c>
      <c r="L241" s="44" t="e">
        <f t="shared" si="97"/>
        <v>#DIV/0!</v>
      </c>
      <c r="M241" s="365">
        <v>577173.5</v>
      </c>
      <c r="N241" s="365">
        <v>824533.57</v>
      </c>
      <c r="O241" s="44" t="e">
        <f t="shared" si="98"/>
        <v>#DIV/0!</v>
      </c>
      <c r="P241" s="43"/>
      <c r="Q241" s="44">
        <f>Funktional!AN241/Kennzahlen!I241</f>
        <v>23.567437256995916</v>
      </c>
      <c r="R241" s="46"/>
      <c r="S241" s="365">
        <v>-42022.55</v>
      </c>
      <c r="T241" s="365">
        <v>9410.35</v>
      </c>
      <c r="U241" s="365">
        <v>4668.2</v>
      </c>
    </row>
    <row r="242" spans="1:21" x14ac:dyDescent="0.25">
      <c r="A242" t="str">
        <f>Funktional!A242</f>
        <v>Wäldi</v>
      </c>
      <c r="B242" t="str">
        <f>Funktional!B242</f>
        <v>KiGa</v>
      </c>
      <c r="C242" s="403">
        <f t="shared" si="96"/>
        <v>0</v>
      </c>
      <c r="D242" s="403">
        <f t="shared" si="96"/>
        <v>0</v>
      </c>
      <c r="E242">
        <v>1</v>
      </c>
      <c r="F242" s="365"/>
      <c r="G242" s="365"/>
      <c r="H242" s="43"/>
      <c r="I242" s="43">
        <f t="shared" si="99"/>
        <v>0</v>
      </c>
      <c r="J242" s="43">
        <f>Funktional!E242</f>
        <v>0</v>
      </c>
      <c r="K242" s="44">
        <f>Funktional!G242</f>
        <v>0</v>
      </c>
      <c r="L242" s="44" t="e">
        <f t="shared" si="97"/>
        <v>#DIV/0!</v>
      </c>
      <c r="M242" s="365">
        <v>216181.45</v>
      </c>
      <c r="N242" s="365">
        <v>308830.64</v>
      </c>
      <c r="O242" s="44" t="e">
        <f t="shared" si="98"/>
        <v>#DIV/0!</v>
      </c>
      <c r="P242" s="43"/>
      <c r="Q242" s="44" t="e">
        <f>Funktional!AN242/Kennzahlen!I242</f>
        <v>#DIV/0!</v>
      </c>
      <c r="R242" s="46"/>
      <c r="S242" s="365">
        <v>54936.75</v>
      </c>
      <c r="T242" s="365">
        <v>6671.4</v>
      </c>
      <c r="U242" s="365">
        <v>2082.35</v>
      </c>
    </row>
    <row r="243" spans="1:21" x14ac:dyDescent="0.25">
      <c r="A243" t="str">
        <f>Funktional!A243</f>
        <v>Warth-Weiningen</v>
      </c>
      <c r="B243" t="str">
        <f>Funktional!B243</f>
        <v>KiGa</v>
      </c>
      <c r="C243" s="403">
        <f t="shared" si="96"/>
        <v>0</v>
      </c>
      <c r="D243" s="403">
        <f t="shared" si="96"/>
        <v>29</v>
      </c>
      <c r="E243">
        <v>2</v>
      </c>
      <c r="F243" s="365"/>
      <c r="G243" s="365"/>
      <c r="H243" s="43"/>
      <c r="I243" s="43">
        <f t="shared" si="99"/>
        <v>29</v>
      </c>
      <c r="J243" s="43">
        <f>Funktional!E243</f>
        <v>141117.40024184555</v>
      </c>
      <c r="K243" s="44">
        <f>Funktional!G243</f>
        <v>4866.1172497188118</v>
      </c>
      <c r="L243" s="44" t="e">
        <f t="shared" si="97"/>
        <v>#DIV/0!</v>
      </c>
      <c r="M243" s="365">
        <v>1184000.6000000001</v>
      </c>
      <c r="N243" s="365">
        <v>1850000.94</v>
      </c>
      <c r="O243" s="44" t="e">
        <f t="shared" si="98"/>
        <v>#DIV/0!</v>
      </c>
      <c r="P243" s="43"/>
      <c r="Q243" s="44">
        <f>Funktional!AN243/Kennzahlen!I243</f>
        <v>19.593600728742977</v>
      </c>
      <c r="R243" s="46"/>
      <c r="S243" s="365">
        <v>123644.25</v>
      </c>
      <c r="T243" s="365">
        <v>39166.449999999997</v>
      </c>
      <c r="U243" s="365">
        <v>2179.35</v>
      </c>
    </row>
    <row r="244" spans="1:21" x14ac:dyDescent="0.25">
      <c r="A244" t="str">
        <f>Funktional!A244</f>
        <v>Weinfelden</v>
      </c>
      <c r="B244" t="str">
        <f>Funktional!B244</f>
        <v>KiGa</v>
      </c>
      <c r="C244" s="403">
        <f t="shared" si="96"/>
        <v>0</v>
      </c>
      <c r="D244" s="403">
        <f t="shared" si="96"/>
        <v>222</v>
      </c>
      <c r="E244">
        <v>2</v>
      </c>
      <c r="F244" s="365"/>
      <c r="G244" s="365"/>
      <c r="H244" s="43"/>
      <c r="I244" s="43">
        <f t="shared" si="99"/>
        <v>222</v>
      </c>
      <c r="J244" s="43">
        <f>Funktional!E244</f>
        <v>1297734.8158606247</v>
      </c>
      <c r="K244" s="44">
        <f>Funktional!G244</f>
        <v>5845.6523236965077</v>
      </c>
      <c r="L244" s="44" t="e">
        <f t="shared" si="97"/>
        <v>#DIV/0!</v>
      </c>
      <c r="M244" s="365">
        <v>7853685.5</v>
      </c>
      <c r="N244" s="365">
        <v>17452634.440000001</v>
      </c>
      <c r="O244" s="44" t="e">
        <f t="shared" si="98"/>
        <v>#DIV/0!</v>
      </c>
      <c r="P244" s="43"/>
      <c r="Q244" s="44">
        <f>Funktional!AN244/Kennzahlen!I244</f>
        <v>26.924054737553551</v>
      </c>
      <c r="R244" s="46"/>
      <c r="S244" s="365">
        <v>-93479.55</v>
      </c>
      <c r="T244" s="365">
        <v>200755.7</v>
      </c>
      <c r="U244" s="365">
        <v>62164.15</v>
      </c>
    </row>
    <row r="245" spans="1:21" x14ac:dyDescent="0.25">
      <c r="A245" t="str">
        <f>Funktional!A245</f>
        <v>Wigoltingen</v>
      </c>
      <c r="B245" t="str">
        <f>Funktional!B245</f>
        <v>KiGa</v>
      </c>
      <c r="C245" s="403">
        <f t="shared" si="96"/>
        <v>0</v>
      </c>
      <c r="D245" s="403">
        <f t="shared" si="96"/>
        <v>51</v>
      </c>
      <c r="E245">
        <v>2</v>
      </c>
      <c r="F245" s="365"/>
      <c r="G245" s="365"/>
      <c r="H245" s="43"/>
      <c r="I245" s="43">
        <f t="shared" si="99"/>
        <v>51</v>
      </c>
      <c r="J245" s="43">
        <f>Funktional!E245</f>
        <v>276289.33058692998</v>
      </c>
      <c r="K245" s="44">
        <f>Funktional!G245</f>
        <v>5417.4378546456855</v>
      </c>
      <c r="L245" s="44" t="e">
        <f t="shared" si="97"/>
        <v>#DIV/0!</v>
      </c>
      <c r="M245" s="365">
        <v>906649.7</v>
      </c>
      <c r="N245" s="365">
        <v>1743557.12</v>
      </c>
      <c r="O245" s="44" t="e">
        <f t="shared" si="98"/>
        <v>#DIV/0!</v>
      </c>
      <c r="P245" s="43"/>
      <c r="Q245" s="44">
        <f>Funktional!AN245/Kennzahlen!I245</f>
        <v>13.529089691687018</v>
      </c>
      <c r="R245" s="46"/>
      <c r="S245" s="365">
        <v>-364709.5</v>
      </c>
      <c r="T245" s="365">
        <v>93926.5</v>
      </c>
      <c r="U245" s="365">
        <v>11845.55</v>
      </c>
    </row>
    <row r="246" spans="1:21" x14ac:dyDescent="0.25">
      <c r="A246" t="str">
        <f>Funktional!A246</f>
        <v>Wilen bei Wil</v>
      </c>
      <c r="B246" t="str">
        <f>Funktional!B246</f>
        <v>KiGa</v>
      </c>
      <c r="C246" s="403">
        <f t="shared" si="96"/>
        <v>0</v>
      </c>
      <c r="D246" s="403">
        <f t="shared" si="96"/>
        <v>53</v>
      </c>
      <c r="E246">
        <v>2</v>
      </c>
      <c r="F246" s="365"/>
      <c r="G246" s="365"/>
      <c r="H246" s="43"/>
      <c r="I246" s="43">
        <f t="shared" si="99"/>
        <v>53</v>
      </c>
      <c r="J246" s="43">
        <f>Funktional!E246</f>
        <v>270378.79398995842</v>
      </c>
      <c r="K246" s="44">
        <f>Funktional!G246</f>
        <v>5101.486679055819</v>
      </c>
      <c r="L246" s="44" t="e">
        <f t="shared" si="97"/>
        <v>#DIV/0!</v>
      </c>
      <c r="M246" s="365">
        <v>1550596.2</v>
      </c>
      <c r="N246" s="365">
        <v>2095400.27</v>
      </c>
      <c r="O246" s="44" t="e">
        <f t="shared" si="98"/>
        <v>#DIV/0!</v>
      </c>
      <c r="P246" s="43"/>
      <c r="Q246" s="44">
        <f>Funktional!AN246/Kennzahlen!I246</f>
        <v>30.428346435635451</v>
      </c>
      <c r="R246" s="46"/>
      <c r="S246" s="365">
        <v>176643.85</v>
      </c>
      <c r="T246" s="365">
        <v>54266.7</v>
      </c>
      <c r="U246" s="365">
        <v>3372.8</v>
      </c>
    </row>
    <row r="247" spans="1:21" x14ac:dyDescent="0.25">
      <c r="A247" t="str">
        <f>Funktional!A247</f>
        <v>Wittenwil</v>
      </c>
      <c r="B247" t="str">
        <f>Funktional!B247</f>
        <v>KiGa</v>
      </c>
      <c r="C247" s="403">
        <f t="shared" si="96"/>
        <v>0</v>
      </c>
      <c r="D247" s="403">
        <f t="shared" si="96"/>
        <v>17</v>
      </c>
      <c r="E247">
        <v>2</v>
      </c>
      <c r="F247" s="365"/>
      <c r="G247" s="365"/>
      <c r="H247" s="43"/>
      <c r="I247" s="43">
        <f t="shared" si="99"/>
        <v>17</v>
      </c>
      <c r="J247" s="43">
        <f>Funktional!E247</f>
        <v>85874.957569755526</v>
      </c>
      <c r="K247" s="44">
        <f>Funktional!G247</f>
        <v>5051.4680923385604</v>
      </c>
      <c r="L247" s="44" t="e">
        <f t="shared" si="97"/>
        <v>#DIV/0!</v>
      </c>
      <c r="M247" s="365">
        <v>254627.6</v>
      </c>
      <c r="N247" s="365">
        <v>489668.46</v>
      </c>
      <c r="O247" s="44" t="e">
        <f t="shared" si="98"/>
        <v>#DIV/0!</v>
      </c>
      <c r="P247" s="43"/>
      <c r="Q247" s="44">
        <f>Funktional!AN247/Kennzahlen!I247</f>
        <v>14.1513082734949</v>
      </c>
      <c r="R247" s="46"/>
      <c r="S247" s="365">
        <v>-71351</v>
      </c>
      <c r="T247" s="365">
        <v>7991.35</v>
      </c>
      <c r="U247" s="365">
        <v>3041.3</v>
      </c>
    </row>
    <row r="248" spans="1:21" x14ac:dyDescent="0.25">
      <c r="A248" t="str">
        <f>Funktional!A248</f>
        <v>Wuppenau</v>
      </c>
      <c r="B248" t="str">
        <f>Funktional!B248</f>
        <v>KiGa</v>
      </c>
      <c r="C248" s="403">
        <f t="shared" si="96"/>
        <v>0</v>
      </c>
      <c r="D248" s="403">
        <f t="shared" si="96"/>
        <v>21</v>
      </c>
      <c r="E248">
        <v>1</v>
      </c>
      <c r="F248" s="365"/>
      <c r="G248" s="365"/>
      <c r="H248" s="43"/>
      <c r="I248" s="43">
        <f t="shared" si="99"/>
        <v>21</v>
      </c>
      <c r="J248" s="43">
        <f>Funktional!E248</f>
        <v>101197.06406818517</v>
      </c>
      <c r="K248" s="44">
        <f>Funktional!G248</f>
        <v>4818.9078127707226</v>
      </c>
      <c r="L248" s="44" t="e">
        <f t="shared" si="97"/>
        <v>#DIV/0!</v>
      </c>
      <c r="M248" s="365">
        <v>633746.4</v>
      </c>
      <c r="N248" s="365">
        <v>1152266.18</v>
      </c>
      <c r="O248" s="44" t="e">
        <f t="shared" si="98"/>
        <v>#DIV/0!</v>
      </c>
      <c r="P248" s="43"/>
      <c r="Q248" s="44">
        <f>Funktional!AN248/Kennzahlen!I248</f>
        <v>16.713704642631882</v>
      </c>
      <c r="R248" s="46"/>
      <c r="S248" s="365">
        <v>-755.1</v>
      </c>
      <c r="T248" s="365">
        <v>85017.65</v>
      </c>
      <c r="U248" s="365">
        <v>0</v>
      </c>
    </row>
    <row r="249" spans="1:21" x14ac:dyDescent="0.25">
      <c r="A249" t="str">
        <f>Funktional!A249</f>
        <v>Zezikon</v>
      </c>
      <c r="B249" t="str">
        <f>Funktional!B249</f>
        <v>KiGa</v>
      </c>
      <c r="C249" s="403">
        <f t="shared" si="96"/>
        <v>0</v>
      </c>
      <c r="D249" s="403">
        <f t="shared" si="96"/>
        <v>0</v>
      </c>
      <c r="E249">
        <v>2</v>
      </c>
      <c r="F249" s="365"/>
      <c r="G249" s="365"/>
      <c r="H249" s="43"/>
      <c r="I249" s="43">
        <f t="shared" si="99"/>
        <v>0</v>
      </c>
      <c r="J249" s="43">
        <f>Funktional!E249</f>
        <v>0</v>
      </c>
      <c r="K249" s="44">
        <f>Funktional!G249</f>
        <v>0</v>
      </c>
      <c r="L249" s="44" t="e">
        <f t="shared" ref="L249:L251" si="100">J249/C249</f>
        <v>#DIV/0!</v>
      </c>
      <c r="M249" s="365">
        <v>205289.3</v>
      </c>
      <c r="N249" s="365">
        <v>284189.19</v>
      </c>
      <c r="O249" s="44" t="e">
        <f t="shared" ref="O249:O251" si="101">N249/C249</f>
        <v>#DIV/0!</v>
      </c>
      <c r="P249" s="43"/>
      <c r="Q249" s="44" t="e">
        <f>Funktional!AN249/Kennzahlen!I249</f>
        <v>#DIV/0!</v>
      </c>
      <c r="R249" s="46"/>
      <c r="S249" s="365">
        <v>70871.149999999994</v>
      </c>
      <c r="T249" s="365">
        <v>10457.65</v>
      </c>
      <c r="U249" s="365">
        <v>-311.39999999999998</v>
      </c>
    </row>
    <row r="250" spans="1:21" x14ac:dyDescent="0.25">
      <c r="A250" t="str">
        <f>Funktional!A250</f>
        <v>Zihlschlacht</v>
      </c>
      <c r="B250" t="str">
        <f>Funktional!B250</f>
        <v>KiGa</v>
      </c>
      <c r="C250" s="403">
        <f t="shared" si="96"/>
        <v>0</v>
      </c>
      <c r="D250" s="403">
        <f t="shared" si="96"/>
        <v>17</v>
      </c>
      <c r="E250">
        <v>1</v>
      </c>
      <c r="F250" s="365"/>
      <c r="G250" s="365"/>
      <c r="H250" s="43"/>
      <c r="I250" s="43">
        <f t="shared" si="99"/>
        <v>17</v>
      </c>
      <c r="J250" s="43">
        <f>Funktional!E250</f>
        <v>168794.71434598521</v>
      </c>
      <c r="K250" s="44">
        <f>Funktional!G250</f>
        <v>9929.1008438814824</v>
      </c>
      <c r="L250" s="44" t="e">
        <f t="shared" si="100"/>
        <v>#DIV/0!</v>
      </c>
      <c r="M250" s="365">
        <v>737009.35</v>
      </c>
      <c r="N250" s="365">
        <v>1133860.54</v>
      </c>
      <c r="O250" s="44" t="e">
        <f t="shared" si="101"/>
        <v>#DIV/0!</v>
      </c>
      <c r="P250" s="43"/>
      <c r="Q250" s="44">
        <f>Funktional!AN250/Kennzahlen!I250</f>
        <v>40.220463567582115</v>
      </c>
      <c r="R250" s="46"/>
      <c r="S250" s="365">
        <v>-18003.55</v>
      </c>
      <c r="T250" s="365">
        <v>22326.5</v>
      </c>
      <c r="U250" s="365">
        <v>15001.85</v>
      </c>
    </row>
    <row r="251" spans="1:21" x14ac:dyDescent="0.25">
      <c r="A251" t="str">
        <f>Funktional!A251</f>
        <v>Zuben-Schönenbaumgarten</v>
      </c>
      <c r="B251" t="str">
        <f>Funktional!B251</f>
        <v>KiGa</v>
      </c>
      <c r="C251" s="403">
        <f t="shared" si="96"/>
        <v>0</v>
      </c>
      <c r="D251" s="403">
        <f t="shared" si="96"/>
        <v>0</v>
      </c>
      <c r="E251">
        <v>1</v>
      </c>
      <c r="F251" s="365"/>
      <c r="G251" s="365"/>
      <c r="H251" s="43"/>
      <c r="I251" s="43">
        <f t="shared" si="99"/>
        <v>0</v>
      </c>
      <c r="J251" s="43">
        <f>Funktional!E251</f>
        <v>0</v>
      </c>
      <c r="K251" s="44">
        <f>Funktional!G251</f>
        <v>0</v>
      </c>
      <c r="L251" s="44" t="e">
        <f t="shared" si="100"/>
        <v>#DIV/0!</v>
      </c>
      <c r="M251" s="365">
        <v>173574.25</v>
      </c>
      <c r="N251" s="365">
        <v>289290.42</v>
      </c>
      <c r="O251" s="44" t="e">
        <f t="shared" si="101"/>
        <v>#DIV/0!</v>
      </c>
      <c r="P251" s="43"/>
      <c r="Q251" s="44" t="e">
        <f>Funktional!AN251/Kennzahlen!I251</f>
        <v>#DIV/0!</v>
      </c>
      <c r="R251" s="46"/>
      <c r="S251" s="365">
        <v>-72021.75</v>
      </c>
      <c r="T251" s="365">
        <v>6013.15</v>
      </c>
      <c r="U251" s="365">
        <v>0.35</v>
      </c>
    </row>
    <row r="252" spans="1:21" ht="27" customHeight="1" x14ac:dyDescent="0.25">
      <c r="A252" t="str">
        <f>Funktional!A252</f>
        <v>Arbon</v>
      </c>
      <c r="B252" t="str">
        <f>Funktional!B252</f>
        <v>VSG</v>
      </c>
      <c r="C252" s="366"/>
      <c r="D252" s="366">
        <v>272</v>
      </c>
      <c r="E252">
        <v>1</v>
      </c>
      <c r="F252" s="404">
        <f>900-84+328+245</f>
        <v>1389</v>
      </c>
      <c r="G252" s="404">
        <f>84+30</f>
        <v>114</v>
      </c>
      <c r="H252" s="43">
        <f t="shared" ref="H252:H255" si="102">G252+F252</f>
        <v>1503</v>
      </c>
      <c r="I252" s="43">
        <f t="shared" ref="I252:I255" si="103">H252+D252</f>
        <v>1775</v>
      </c>
      <c r="J252" s="43">
        <f>Funktional!E252</f>
        <v>19564052.550000001</v>
      </c>
      <c r="K252" s="44">
        <f>Funktional!G252</f>
        <v>11022.001436619719</v>
      </c>
      <c r="L252" s="44" t="e">
        <f t="shared" ref="L252:L257" si="104">J252/C252</f>
        <v>#DIV/0!</v>
      </c>
      <c r="M252" s="365">
        <v>13980413.75</v>
      </c>
      <c r="N252" s="365">
        <v>14412797.68</v>
      </c>
      <c r="O252" s="44" t="e">
        <f t="shared" ref="O252:O257" si="105">N252/C252</f>
        <v>#DIV/0!</v>
      </c>
      <c r="P252" s="43"/>
      <c r="Q252" s="44">
        <f>Funktional!AN252/Kennzahlen!H252</f>
        <v>109.21240851630073</v>
      </c>
      <c r="R252" s="46">
        <f t="shared" ref="R252:R257" si="106">G252/(G252+F252)</f>
        <v>7.5848303393213579E-2</v>
      </c>
      <c r="S252" s="365">
        <v>23281.15</v>
      </c>
      <c r="T252" s="365">
        <v>3199909.2</v>
      </c>
      <c r="U252" s="365">
        <v>220105.3</v>
      </c>
    </row>
    <row r="253" spans="1:21" x14ac:dyDescent="0.25">
      <c r="A253" t="str">
        <f>Funktional!A253</f>
        <v>Erlen-Riedt-Ennetaach</v>
      </c>
      <c r="B253" t="str">
        <f>Funktional!B253</f>
        <v>VSG</v>
      </c>
      <c r="C253" s="366"/>
      <c r="D253" s="366">
        <v>66</v>
      </c>
      <c r="E253">
        <v>1</v>
      </c>
      <c r="F253" s="404">
        <f>259+98+72</f>
        <v>429</v>
      </c>
      <c r="G253" s="404">
        <v>11</v>
      </c>
      <c r="H253" s="43">
        <f t="shared" si="102"/>
        <v>440</v>
      </c>
      <c r="I253" s="43">
        <f t="shared" si="103"/>
        <v>506</v>
      </c>
      <c r="J253" s="43">
        <f>Funktional!E253</f>
        <v>5223390.4999999991</v>
      </c>
      <c r="K253" s="44">
        <f>Funktional!G253</f>
        <v>10322.906126482212</v>
      </c>
      <c r="L253" s="44" t="e">
        <f t="shared" si="104"/>
        <v>#DIV/0!</v>
      </c>
      <c r="M253" s="365">
        <v>3480770.85</v>
      </c>
      <c r="N253" s="365">
        <v>3164337.14</v>
      </c>
      <c r="O253" s="44" t="e">
        <f t="shared" si="105"/>
        <v>#DIV/0!</v>
      </c>
      <c r="P253" s="43"/>
      <c r="Q253" s="44">
        <f>Funktional!AN253/Kennzahlen!H253</f>
        <v>51.633795454545449</v>
      </c>
      <c r="R253" s="46">
        <f t="shared" si="106"/>
        <v>2.5000000000000001E-2</v>
      </c>
      <c r="S253" s="365">
        <v>-92135.32</v>
      </c>
      <c r="T253" s="365">
        <v>11333.88</v>
      </c>
      <c r="U253" s="365">
        <v>36942.75</v>
      </c>
    </row>
    <row r="254" spans="1:21" x14ac:dyDescent="0.25">
      <c r="A254" t="str">
        <f>Funktional!A254</f>
        <v>Eschlikon</v>
      </c>
      <c r="B254" t="str">
        <f>Funktional!B254</f>
        <v>VSG</v>
      </c>
      <c r="C254" s="366"/>
      <c r="D254" s="366">
        <v>43</v>
      </c>
      <c r="E254">
        <v>1</v>
      </c>
      <c r="F254" s="404">
        <f>286-25+69+46</f>
        <v>376</v>
      </c>
      <c r="G254" s="404">
        <v>25</v>
      </c>
      <c r="H254" s="43">
        <f t="shared" si="102"/>
        <v>401</v>
      </c>
      <c r="I254" s="43">
        <f t="shared" si="103"/>
        <v>444</v>
      </c>
      <c r="J254" s="43">
        <f>Funktional!E254</f>
        <v>5449465.2000000002</v>
      </c>
      <c r="K254" s="44">
        <f>Funktional!G254</f>
        <v>12273.570270270271</v>
      </c>
      <c r="L254" s="44" t="e">
        <f t="shared" si="104"/>
        <v>#DIV/0!</v>
      </c>
      <c r="M254" s="365">
        <v>4419965.8499999996</v>
      </c>
      <c r="N254" s="365">
        <v>4209491.29</v>
      </c>
      <c r="O254" s="44" t="e">
        <f t="shared" si="105"/>
        <v>#DIV/0!</v>
      </c>
      <c r="P254" s="43"/>
      <c r="Q254" s="44">
        <f>Funktional!AN254/Kennzahlen!H254</f>
        <v>12.065336658354115</v>
      </c>
      <c r="R254" s="46">
        <f t="shared" si="106"/>
        <v>6.2344139650872821E-2</v>
      </c>
      <c r="S254" s="365">
        <v>-664487.55000000005</v>
      </c>
      <c r="T254" s="365">
        <v>17675.849999999999</v>
      </c>
      <c r="U254" s="365">
        <v>15387.4</v>
      </c>
    </row>
    <row r="255" spans="1:21" x14ac:dyDescent="0.25">
      <c r="A255" t="str">
        <f>Funktional!A255</f>
        <v>Horn</v>
      </c>
      <c r="B255" t="str">
        <f>Funktional!B255</f>
        <v>VSG</v>
      </c>
      <c r="C255" s="366"/>
      <c r="D255" s="366">
        <v>51</v>
      </c>
      <c r="E255">
        <v>1</v>
      </c>
      <c r="F255" s="404">
        <f>177+51+21</f>
        <v>249</v>
      </c>
      <c r="G255" s="404"/>
      <c r="H255" s="43">
        <f t="shared" si="102"/>
        <v>249</v>
      </c>
      <c r="I255" s="43">
        <f t="shared" si="103"/>
        <v>300</v>
      </c>
      <c r="J255" s="43">
        <f>Funktional!E255</f>
        <v>3524074.73</v>
      </c>
      <c r="K255" s="44">
        <f>Funktional!G255</f>
        <v>11746.915766666667</v>
      </c>
      <c r="L255" s="44" t="e">
        <f t="shared" si="104"/>
        <v>#DIV/0!</v>
      </c>
      <c r="M255" s="365">
        <v>3328874.85</v>
      </c>
      <c r="N255" s="365">
        <v>4109722.04</v>
      </c>
      <c r="O255" s="44" t="e">
        <f t="shared" si="105"/>
        <v>#DIV/0!</v>
      </c>
      <c r="P255" s="43"/>
      <c r="Q255" s="44">
        <f>Funktional!AN255/Kennzahlen!H255</f>
        <v>126.47385542168675</v>
      </c>
      <c r="R255" s="46">
        <f t="shared" si="106"/>
        <v>0</v>
      </c>
      <c r="S255" s="365">
        <v>-278497.98</v>
      </c>
      <c r="T255" s="365">
        <v>48938.2</v>
      </c>
      <c r="U255" s="365">
        <v>32628.45</v>
      </c>
    </row>
    <row r="256" spans="1:21" x14ac:dyDescent="0.25">
      <c r="A256" t="str">
        <f>Funktional!A256</f>
        <v>Münchwilen</v>
      </c>
      <c r="B256" t="str">
        <f>Funktional!B256</f>
        <v>VSG</v>
      </c>
      <c r="C256" s="366"/>
      <c r="D256" s="366">
        <v>57</v>
      </c>
      <c r="E256">
        <v>1</v>
      </c>
      <c r="F256" s="404">
        <f>439-44+86+75</f>
        <v>556</v>
      </c>
      <c r="G256" s="404">
        <f>44+9</f>
        <v>53</v>
      </c>
      <c r="H256" s="43">
        <f t="shared" ref="H256:H264" si="107">G256+F256</f>
        <v>609</v>
      </c>
      <c r="I256" s="43">
        <f t="shared" ref="I256:I271" si="108">H256+D256</f>
        <v>666</v>
      </c>
      <c r="J256" s="43">
        <f>Funktional!E256</f>
        <v>7215301.1500000004</v>
      </c>
      <c r="K256" s="44">
        <f>Funktional!G256</f>
        <v>10833.785510510512</v>
      </c>
      <c r="L256" s="44" t="e">
        <f t="shared" si="104"/>
        <v>#DIV/0!</v>
      </c>
      <c r="M256" s="365">
        <v>6499049.5999999996</v>
      </c>
      <c r="N256" s="365">
        <v>7141812.75</v>
      </c>
      <c r="O256" s="44" t="e">
        <f t="shared" si="105"/>
        <v>#DIV/0!</v>
      </c>
      <c r="P256" s="43"/>
      <c r="Q256" s="44">
        <f>Funktional!AN256/Kennzahlen!H256</f>
        <v>52.694006568144502</v>
      </c>
      <c r="R256" s="46">
        <f t="shared" si="106"/>
        <v>8.7027914614121515E-2</v>
      </c>
      <c r="S256" s="365">
        <v>-447184.95</v>
      </c>
      <c r="T256" s="365">
        <v>105006.35</v>
      </c>
      <c r="U256" s="365">
        <v>54558.3</v>
      </c>
    </row>
    <row r="257" spans="1:21" x14ac:dyDescent="0.25">
      <c r="A257" t="str">
        <f>Funktional!A257</f>
        <v>Wängi</v>
      </c>
      <c r="B257" t="str">
        <f>Funktional!B257</f>
        <v>VSG</v>
      </c>
      <c r="C257" s="366"/>
      <c r="D257" s="366">
        <v>119</v>
      </c>
      <c r="E257">
        <v>1</v>
      </c>
      <c r="F257" s="404">
        <f>387-8+96+80</f>
        <v>555</v>
      </c>
      <c r="G257" s="404">
        <f>8+10</f>
        <v>18</v>
      </c>
      <c r="H257" s="43">
        <f t="shared" si="107"/>
        <v>573</v>
      </c>
      <c r="I257" s="43">
        <f t="shared" si="108"/>
        <v>692</v>
      </c>
      <c r="J257" s="43">
        <f>Funktional!E257</f>
        <v>6738842.0599999996</v>
      </c>
      <c r="K257" s="44">
        <f>Funktional!G257</f>
        <v>9738.2110693641607</v>
      </c>
      <c r="L257" s="44" t="e">
        <f t="shared" si="104"/>
        <v>#DIV/0!</v>
      </c>
      <c r="M257" s="365">
        <v>5155478.5</v>
      </c>
      <c r="N257" s="365">
        <v>5155478.5</v>
      </c>
      <c r="O257" s="44" t="e">
        <f t="shared" si="105"/>
        <v>#DIV/0!</v>
      </c>
      <c r="P257" s="43"/>
      <c r="Q257" s="44">
        <f>Funktional!AN257/Kennzahlen!H257</f>
        <v>23.00349040139616</v>
      </c>
      <c r="R257" s="46">
        <f t="shared" si="106"/>
        <v>3.1413612565445025E-2</v>
      </c>
      <c r="S257" s="365">
        <v>-40976.04</v>
      </c>
      <c r="T257" s="365">
        <v>70953.67</v>
      </c>
      <c r="U257" s="365">
        <v>21055.599999999999</v>
      </c>
    </row>
    <row r="258" spans="1:21" x14ac:dyDescent="0.25">
      <c r="A258" t="str">
        <f>Funktional!A258</f>
        <v>Andwil</v>
      </c>
      <c r="B258" t="str">
        <f>Funktional!B258</f>
        <v>VSG*</v>
      </c>
      <c r="C258" s="366"/>
      <c r="D258" s="366">
        <v>15</v>
      </c>
      <c r="E258">
        <v>1</v>
      </c>
      <c r="F258" s="404">
        <v>39</v>
      </c>
      <c r="G258" s="404"/>
      <c r="H258" s="43">
        <f t="shared" si="107"/>
        <v>39</v>
      </c>
      <c r="I258" s="43">
        <f t="shared" si="108"/>
        <v>54</v>
      </c>
      <c r="J258" s="43">
        <f>Funktional!E258</f>
        <v>528389.54896001425</v>
      </c>
      <c r="K258" s="44">
        <f>Funktional!G258</f>
        <v>13548.449973333698</v>
      </c>
      <c r="L258" s="44" t="e">
        <f t="shared" ref="L258:L271" si="109">J258/C258</f>
        <v>#DIV/0!</v>
      </c>
      <c r="M258" s="365">
        <v>457106.45</v>
      </c>
      <c r="N258" s="365">
        <v>435339.48</v>
      </c>
      <c r="O258" s="44" t="e">
        <f t="shared" ref="O258:O271" si="110">N258/C258</f>
        <v>#DIV/0!</v>
      </c>
      <c r="P258" s="43"/>
      <c r="Q258" s="44">
        <f>Funktional!AN258/Kennzahlen!H258</f>
        <v>68.673288785401084</v>
      </c>
      <c r="R258" s="46">
        <f t="shared" ref="R258:R264" si="111">G258/(G258+F258)</f>
        <v>0</v>
      </c>
      <c r="S258" s="365">
        <v>-290653.90000000002</v>
      </c>
      <c r="T258" s="365">
        <v>1425.85</v>
      </c>
      <c r="U258" s="365">
        <v>5642.65</v>
      </c>
    </row>
    <row r="259" spans="1:21" x14ac:dyDescent="0.25">
      <c r="A259" t="str">
        <f>Funktional!A259</f>
        <v>Frasnacht</v>
      </c>
      <c r="B259" t="str">
        <f>Funktional!B259</f>
        <v>VSG*</v>
      </c>
      <c r="C259" s="366"/>
      <c r="D259" s="366">
        <v>42</v>
      </c>
      <c r="E259">
        <v>1</v>
      </c>
      <c r="F259" s="404">
        <v>96</v>
      </c>
      <c r="G259" s="404"/>
      <c r="H259" s="43">
        <f t="shared" si="107"/>
        <v>96</v>
      </c>
      <c r="I259" s="43">
        <f t="shared" si="108"/>
        <v>138</v>
      </c>
      <c r="J259" s="43">
        <f>Funktional!E259</f>
        <v>1054928.8174574736</v>
      </c>
      <c r="K259" s="44">
        <f>Funktional!G259</f>
        <v>10988.841848515351</v>
      </c>
      <c r="L259" s="44" t="e">
        <f t="shared" si="109"/>
        <v>#DIV/0!</v>
      </c>
      <c r="M259" s="365">
        <v>2236777.9500000002</v>
      </c>
      <c r="N259" s="365">
        <v>3195397.07</v>
      </c>
      <c r="O259" s="44" t="e">
        <f t="shared" si="110"/>
        <v>#DIV/0!</v>
      </c>
      <c r="P259" s="43"/>
      <c r="Q259" s="44">
        <f>Funktional!AN259/Kennzahlen!H259</f>
        <v>107.91324835588591</v>
      </c>
      <c r="R259" s="46">
        <f t="shared" si="111"/>
        <v>0</v>
      </c>
      <c r="S259" s="365">
        <v>350710.65</v>
      </c>
      <c r="T259" s="365">
        <v>68040.45</v>
      </c>
      <c r="U259" s="365">
        <v>16261.9</v>
      </c>
    </row>
    <row r="260" spans="1:21" x14ac:dyDescent="0.25">
      <c r="A260" t="str">
        <f>Funktional!A260</f>
        <v>Freidorf-Watt</v>
      </c>
      <c r="B260" t="str">
        <f>Funktional!B260</f>
        <v>VSG*</v>
      </c>
      <c r="C260" s="366"/>
      <c r="D260" s="366">
        <v>26</v>
      </c>
      <c r="E260">
        <v>1</v>
      </c>
      <c r="F260" s="404">
        <v>106</v>
      </c>
      <c r="G260" s="404"/>
      <c r="H260" s="43">
        <f t="shared" si="107"/>
        <v>106</v>
      </c>
      <c r="I260" s="43">
        <f t="shared" si="108"/>
        <v>132</v>
      </c>
      <c r="J260" s="43">
        <f>Funktional!E260</f>
        <v>1014144.4521578443</v>
      </c>
      <c r="K260" s="44">
        <f>Funktional!G260</f>
        <v>9567.4004920551342</v>
      </c>
      <c r="L260" s="44" t="e">
        <f t="shared" si="109"/>
        <v>#DIV/0!</v>
      </c>
      <c r="M260" s="365">
        <v>1262518.05</v>
      </c>
      <c r="N260" s="365">
        <v>1202398.1399999999</v>
      </c>
      <c r="O260" s="44" t="e">
        <f t="shared" si="110"/>
        <v>#DIV/0!</v>
      </c>
      <c r="P260" s="43"/>
      <c r="Q260" s="44">
        <f>Funktional!AN260/Kennzahlen!H260</f>
        <v>69.466506086459944</v>
      </c>
      <c r="R260" s="46">
        <f t="shared" si="111"/>
        <v>0</v>
      </c>
      <c r="S260" s="365">
        <v>-208350.8</v>
      </c>
      <c r="T260" s="365">
        <v>28681.1</v>
      </c>
      <c r="U260" s="365">
        <v>8875.5499999999993</v>
      </c>
    </row>
    <row r="261" spans="1:21" x14ac:dyDescent="0.25">
      <c r="A261" t="str">
        <f>Funktional!A261</f>
        <v>Kümmertshausen</v>
      </c>
      <c r="B261" t="str">
        <f>Funktional!B261</f>
        <v>VSG*</v>
      </c>
      <c r="C261" s="366"/>
      <c r="D261" s="366">
        <v>12</v>
      </c>
      <c r="E261">
        <v>1</v>
      </c>
      <c r="F261" s="404">
        <v>58</v>
      </c>
      <c r="G261" s="404"/>
      <c r="H261" s="43">
        <f t="shared" si="107"/>
        <v>58</v>
      </c>
      <c r="I261" s="43">
        <f t="shared" si="108"/>
        <v>70</v>
      </c>
      <c r="J261" s="43">
        <f>Funktional!E261</f>
        <v>579138.93270693161</v>
      </c>
      <c r="K261" s="44">
        <f>Funktional!G261</f>
        <v>9985.1540121884755</v>
      </c>
      <c r="L261" s="44" t="e">
        <f t="shared" si="109"/>
        <v>#DIV/0!</v>
      </c>
      <c r="M261" s="365">
        <v>523052.75</v>
      </c>
      <c r="N261" s="365">
        <v>475502.5</v>
      </c>
      <c r="O261" s="44" t="e">
        <f t="shared" si="110"/>
        <v>#DIV/0!</v>
      </c>
      <c r="P261" s="43"/>
      <c r="Q261" s="44">
        <f>Funktional!AN261/Kennzahlen!H261</f>
        <v>70.196035344969076</v>
      </c>
      <c r="R261" s="46">
        <f t="shared" si="111"/>
        <v>0</v>
      </c>
      <c r="S261" s="365">
        <v>63196.6</v>
      </c>
      <c r="T261" s="365">
        <v>1730.85</v>
      </c>
      <c r="U261" s="365">
        <v>2704.35</v>
      </c>
    </row>
    <row r="262" spans="1:21" x14ac:dyDescent="0.25">
      <c r="A262" t="str">
        <f>Funktional!A262</f>
        <v>Neunforn</v>
      </c>
      <c r="B262" t="str">
        <f>Funktional!B262</f>
        <v>VSG*</v>
      </c>
      <c r="C262" s="366"/>
      <c r="D262" s="366">
        <v>32</v>
      </c>
      <c r="E262">
        <v>1</v>
      </c>
      <c r="F262" s="404">
        <v>120</v>
      </c>
      <c r="G262" s="404"/>
      <c r="H262" s="43">
        <f t="shared" si="107"/>
        <v>120</v>
      </c>
      <c r="I262" s="43">
        <f t="shared" si="108"/>
        <v>152</v>
      </c>
      <c r="J262" s="43">
        <f>Funktional!E262</f>
        <v>1172770.0499027064</v>
      </c>
      <c r="K262" s="44">
        <f>Funktional!G262</f>
        <v>9773.0837491892198</v>
      </c>
      <c r="L262" s="44" t="e">
        <f t="shared" si="109"/>
        <v>#DIV/0!</v>
      </c>
      <c r="M262" s="365">
        <v>1201185.8999999999</v>
      </c>
      <c r="N262" s="365">
        <v>1334651</v>
      </c>
      <c r="O262" s="44" t="e">
        <f t="shared" si="110"/>
        <v>#DIV/0!</v>
      </c>
      <c r="P262" s="43"/>
      <c r="Q262" s="44">
        <f>Funktional!AN262/Kennzahlen!H262</f>
        <v>34.471341972458639</v>
      </c>
      <c r="R262" s="46">
        <f t="shared" si="111"/>
        <v>0</v>
      </c>
      <c r="S262" s="365">
        <v>-11273.15</v>
      </c>
      <c r="T262" s="365">
        <v>12272.5</v>
      </c>
      <c r="U262" s="365">
        <v>1786</v>
      </c>
    </row>
    <row r="263" spans="1:21" x14ac:dyDescent="0.25">
      <c r="A263" t="str">
        <f>Funktional!A263</f>
        <v>Roggwil</v>
      </c>
      <c r="B263" t="str">
        <f>Funktional!B263</f>
        <v>VSG*</v>
      </c>
      <c r="C263" s="366"/>
      <c r="D263" s="366">
        <v>32</v>
      </c>
      <c r="E263">
        <v>1</v>
      </c>
      <c r="F263" s="404">
        <v>120</v>
      </c>
      <c r="G263" s="404"/>
      <c r="H263" s="43">
        <f t="shared" si="107"/>
        <v>120</v>
      </c>
      <c r="I263" s="43">
        <f t="shared" si="108"/>
        <v>152</v>
      </c>
      <c r="J263" s="43">
        <f>Funktional!E263</f>
        <v>1201808.815700192</v>
      </c>
      <c r="K263" s="44">
        <f>Funktional!G263</f>
        <v>10015.073464168267</v>
      </c>
      <c r="L263" s="44" t="e">
        <f>J263/C263</f>
        <v>#DIV/0!</v>
      </c>
      <c r="M263" s="365">
        <v>1821331</v>
      </c>
      <c r="N263" s="365">
        <v>1821331</v>
      </c>
      <c r="O263" s="44" t="e">
        <f>N263/C263</f>
        <v>#DIV/0!</v>
      </c>
      <c r="P263" s="43"/>
      <c r="Q263" s="44">
        <f>Funktional!AN263/Kennzahlen!H263</f>
        <v>90.696200164578428</v>
      </c>
      <c r="R263" s="46">
        <f>G263/(G263+F263)</f>
        <v>0</v>
      </c>
      <c r="S263" s="365">
        <v>59267.8</v>
      </c>
      <c r="T263" s="365">
        <v>29482.3</v>
      </c>
      <c r="U263" s="365">
        <v>9891.0499999999993</v>
      </c>
    </row>
    <row r="264" spans="1:21" x14ac:dyDescent="0.25">
      <c r="A264" t="str">
        <f>Funktional!A264</f>
        <v>Speiserslehn</v>
      </c>
      <c r="B264" t="str">
        <f>Funktional!B264</f>
        <v>VSG*</v>
      </c>
      <c r="C264" s="366"/>
      <c r="D264" s="366">
        <v>20</v>
      </c>
      <c r="E264">
        <v>1</v>
      </c>
      <c r="F264" s="404">
        <v>27</v>
      </c>
      <c r="G264" s="404"/>
      <c r="H264" s="43">
        <f t="shared" si="107"/>
        <v>27</v>
      </c>
      <c r="I264" s="43">
        <f t="shared" si="108"/>
        <v>47</v>
      </c>
      <c r="J264" s="43">
        <f>Funktional!E264</f>
        <v>708457.99893302424</v>
      </c>
      <c r="K264" s="44">
        <f>Funktional!G264</f>
        <v>26239.185145667565</v>
      </c>
      <c r="L264" s="44" t="e">
        <f t="shared" si="109"/>
        <v>#DIV/0!</v>
      </c>
      <c r="M264" s="365">
        <v>835097.05</v>
      </c>
      <c r="N264" s="365">
        <v>1097840.6000000001</v>
      </c>
      <c r="O264" s="44" t="e">
        <f t="shared" si="110"/>
        <v>#DIV/0!</v>
      </c>
      <c r="P264" s="43"/>
      <c r="Q264" s="44">
        <f>Funktional!AN264/Kennzahlen!H264</f>
        <v>318.36631308873984</v>
      </c>
      <c r="R264" s="46">
        <f t="shared" si="111"/>
        <v>0</v>
      </c>
      <c r="S264" s="365">
        <v>0</v>
      </c>
      <c r="T264" s="365">
        <v>0</v>
      </c>
      <c r="U264" s="365">
        <v>6863.7</v>
      </c>
    </row>
    <row r="265" spans="1:21" ht="25.9" customHeight="1" x14ac:dyDescent="0.25">
      <c r="A265" t="str">
        <f>Funktional!A265</f>
        <v>Andwil</v>
      </c>
      <c r="B265" t="str">
        <f>Funktional!B265</f>
        <v>KiGa*</v>
      </c>
      <c r="C265" s="403">
        <f t="shared" ref="C265:D271" si="112">C258</f>
        <v>0</v>
      </c>
      <c r="D265" s="403">
        <f>D258</f>
        <v>15</v>
      </c>
      <c r="E265">
        <v>1</v>
      </c>
      <c r="F265" s="365"/>
      <c r="G265" s="365"/>
      <c r="H265" s="43"/>
      <c r="I265" s="43">
        <f t="shared" si="108"/>
        <v>15</v>
      </c>
      <c r="J265" s="43">
        <f>Funktional!E265</f>
        <v>101947.20103998584</v>
      </c>
      <c r="K265" s="44">
        <f>Funktional!G265</f>
        <v>6796.4800693323896</v>
      </c>
      <c r="L265" s="44" t="e">
        <f t="shared" si="109"/>
        <v>#DIV/0!</v>
      </c>
      <c r="M265" s="365">
        <v>457106.45</v>
      </c>
      <c r="N265" s="365">
        <v>435339.48</v>
      </c>
      <c r="O265" s="44" t="e">
        <f t="shared" si="110"/>
        <v>#DIV/0!</v>
      </c>
      <c r="P265" s="43"/>
      <c r="Q265" s="44">
        <f>Funktional!AN265/Kennzahlen!I265</f>
        <v>34.449449157957211</v>
      </c>
      <c r="R265" s="46"/>
      <c r="S265" s="365">
        <v>-290653.90000000002</v>
      </c>
      <c r="T265" s="365">
        <v>1425.85</v>
      </c>
      <c r="U265" s="365">
        <v>5642.65</v>
      </c>
    </row>
    <row r="266" spans="1:21" x14ac:dyDescent="0.25">
      <c r="A266" t="str">
        <f>Funktional!A266</f>
        <v>Frasnacht</v>
      </c>
      <c r="B266" t="str">
        <f>Funktional!B266</f>
        <v>KiGa*</v>
      </c>
      <c r="C266" s="403">
        <f t="shared" si="112"/>
        <v>0</v>
      </c>
      <c r="D266" s="403">
        <f t="shared" si="112"/>
        <v>42</v>
      </c>
      <c r="E266">
        <v>1</v>
      </c>
      <c r="F266" s="365"/>
      <c r="G266" s="365"/>
      <c r="H266" s="43"/>
      <c r="I266" s="43">
        <f t="shared" si="108"/>
        <v>42</v>
      </c>
      <c r="J266" s="43">
        <f>Funktional!E266</f>
        <v>256447.28254252655</v>
      </c>
      <c r="K266" s="44">
        <f>Funktional!G266</f>
        <v>6105.8876795839651</v>
      </c>
      <c r="L266" s="44" t="e">
        <f t="shared" si="109"/>
        <v>#DIV/0!</v>
      </c>
      <c r="M266" s="365">
        <v>2236777.9500000002</v>
      </c>
      <c r="N266" s="365">
        <v>3195397.07</v>
      </c>
      <c r="O266" s="44" t="e">
        <f t="shared" si="110"/>
        <v>#DIV/0!</v>
      </c>
      <c r="P266" s="43"/>
      <c r="Q266" s="44">
        <f>Funktional!AN266/Kennzahlen!I266</f>
        <v>59.961384710355993</v>
      </c>
      <c r="R266" s="46"/>
      <c r="S266" s="365">
        <v>350710.65</v>
      </c>
      <c r="T266" s="365">
        <v>68040.45</v>
      </c>
      <c r="U266" s="365">
        <v>16261.9</v>
      </c>
    </row>
    <row r="267" spans="1:21" x14ac:dyDescent="0.25">
      <c r="A267" t="str">
        <f>Funktional!A267</f>
        <v>Freidorf-Watt</v>
      </c>
      <c r="B267" t="str">
        <f>Funktional!B267</f>
        <v>KiGa*</v>
      </c>
      <c r="C267" s="403">
        <f t="shared" si="112"/>
        <v>0</v>
      </c>
      <c r="D267" s="403">
        <f t="shared" si="112"/>
        <v>26</v>
      </c>
      <c r="E267">
        <v>1</v>
      </c>
      <c r="F267" s="365"/>
      <c r="G267" s="365"/>
      <c r="H267" s="43"/>
      <c r="I267" s="43">
        <f t="shared" si="108"/>
        <v>26</v>
      </c>
      <c r="J267" s="43">
        <f>Funktional!E267</f>
        <v>200475.19784215558</v>
      </c>
      <c r="K267" s="44">
        <f>Funktional!G267</f>
        <v>7710.5845323905996</v>
      </c>
      <c r="L267" s="44" t="e">
        <f t="shared" si="109"/>
        <v>#DIV/0!</v>
      </c>
      <c r="M267" s="365">
        <v>1262518.05</v>
      </c>
      <c r="N267" s="365">
        <v>1202398.1399999999</v>
      </c>
      <c r="O267" s="44" t="e">
        <f t="shared" si="110"/>
        <v>#DIV/0!</v>
      </c>
      <c r="P267" s="43"/>
      <c r="Q267" s="44">
        <f>Funktional!AN267/Kennzahlen!I267</f>
        <v>55.984629032124843</v>
      </c>
      <c r="R267" s="46"/>
      <c r="S267" s="365">
        <v>-208350.8</v>
      </c>
      <c r="T267" s="365">
        <v>28681.1</v>
      </c>
      <c r="U267" s="365">
        <v>8875.5499999999993</v>
      </c>
    </row>
    <row r="268" spans="1:21" x14ac:dyDescent="0.25">
      <c r="A268" t="str">
        <f>Funktional!A268</f>
        <v>Kümmertshausen</v>
      </c>
      <c r="B268" t="str">
        <f>Funktional!B268</f>
        <v>KiGa*</v>
      </c>
      <c r="C268" s="403">
        <f t="shared" si="112"/>
        <v>0</v>
      </c>
      <c r="D268" s="403">
        <f t="shared" si="112"/>
        <v>12</v>
      </c>
      <c r="E268">
        <v>1</v>
      </c>
      <c r="F268" s="365"/>
      <c r="G268" s="365"/>
      <c r="H268" s="43"/>
      <c r="I268" s="43">
        <f t="shared" si="108"/>
        <v>12</v>
      </c>
      <c r="J268" s="43">
        <f>Funktional!E268</f>
        <v>77706.517293068347</v>
      </c>
      <c r="K268" s="44">
        <f>Funktional!G268</f>
        <v>6475.5431077556959</v>
      </c>
      <c r="L268" s="44" t="e">
        <f t="shared" si="109"/>
        <v>#DIV/0!</v>
      </c>
      <c r="M268" s="365">
        <v>523052.75</v>
      </c>
      <c r="N268" s="365">
        <v>475502.5</v>
      </c>
      <c r="O268" s="44" t="e">
        <f t="shared" si="110"/>
        <v>#DIV/0!</v>
      </c>
      <c r="P268" s="43"/>
      <c r="Q268" s="44">
        <f>Funktional!AN268/Kennzahlen!I268</f>
        <v>45.523329165982794</v>
      </c>
      <c r="R268" s="46"/>
      <c r="S268" s="365">
        <v>63196.6</v>
      </c>
      <c r="T268" s="365">
        <v>1730.85</v>
      </c>
      <c r="U268" s="365">
        <v>2704.35</v>
      </c>
    </row>
    <row r="269" spans="1:21" x14ac:dyDescent="0.25">
      <c r="A269" t="str">
        <f>Funktional!A269</f>
        <v>Neunforn</v>
      </c>
      <c r="B269" t="str">
        <f>Funktional!B269</f>
        <v>KiGa*</v>
      </c>
      <c r="C269" s="403">
        <f t="shared" si="112"/>
        <v>0</v>
      </c>
      <c r="D269" s="403">
        <f t="shared" si="112"/>
        <v>32</v>
      </c>
      <c r="E269">
        <v>1</v>
      </c>
      <c r="F269" s="365"/>
      <c r="G269" s="365"/>
      <c r="H269" s="43"/>
      <c r="I269" s="43">
        <f t="shared" si="108"/>
        <v>32</v>
      </c>
      <c r="J269" s="43">
        <f>Funktional!E269</f>
        <v>228792.10009729356</v>
      </c>
      <c r="K269" s="44">
        <f>Funktional!G269</f>
        <v>7149.7531280404237</v>
      </c>
      <c r="L269" s="44" t="e">
        <f t="shared" si="109"/>
        <v>#DIV/0!</v>
      </c>
      <c r="M269" s="365">
        <v>1201185.8999999999</v>
      </c>
      <c r="N269" s="365">
        <v>1334651</v>
      </c>
      <c r="O269" s="44" t="e">
        <f t="shared" si="110"/>
        <v>#DIV/0!</v>
      </c>
      <c r="P269" s="43"/>
      <c r="Q269" s="44">
        <f>Funktional!AN269/Kennzahlen!I269</f>
        <v>25.218405103280109</v>
      </c>
      <c r="R269" s="46"/>
      <c r="S269" s="365">
        <v>-11273.15</v>
      </c>
      <c r="T269" s="365">
        <v>12272.5</v>
      </c>
      <c r="U269" s="365">
        <v>1786</v>
      </c>
    </row>
    <row r="270" spans="1:21" x14ac:dyDescent="0.25">
      <c r="A270" t="str">
        <f>Funktional!A270</f>
        <v>Roggwil</v>
      </c>
      <c r="B270" t="str">
        <f>Funktional!B270</f>
        <v>KiGa*</v>
      </c>
      <c r="C270" s="403">
        <f t="shared" si="112"/>
        <v>0</v>
      </c>
      <c r="D270" s="403">
        <f t="shared" si="112"/>
        <v>32</v>
      </c>
      <c r="E270">
        <v>1</v>
      </c>
      <c r="F270" s="365"/>
      <c r="G270" s="365"/>
      <c r="H270" s="43"/>
      <c r="I270" s="43">
        <f t="shared" si="108"/>
        <v>32</v>
      </c>
      <c r="J270" s="43">
        <f>Funktional!E270</f>
        <v>237976.28429980815</v>
      </c>
      <c r="K270" s="44">
        <f>Funktional!G270</f>
        <v>7436.7588843690046</v>
      </c>
      <c r="L270" s="44" t="e">
        <f>J270/C270</f>
        <v>#DIV/0!</v>
      </c>
      <c r="M270" s="365">
        <v>1821331</v>
      </c>
      <c r="N270" s="365">
        <v>1821331</v>
      </c>
      <c r="O270" s="44" t="e">
        <f>N270/C270</f>
        <v>#DIV/0!</v>
      </c>
      <c r="P270" s="43"/>
      <c r="Q270" s="44">
        <f>Funktional!AN270/Kennzahlen!I270</f>
        <v>67.347061882830928</v>
      </c>
      <c r="R270" s="46"/>
      <c r="S270" s="365">
        <v>59267.8</v>
      </c>
      <c r="T270" s="365">
        <v>29482.3</v>
      </c>
      <c r="U270" s="365">
        <v>9891.0499999999993</v>
      </c>
    </row>
    <row r="271" spans="1:21" x14ac:dyDescent="0.25">
      <c r="A271" t="str">
        <f>Funktional!A271</f>
        <v>Speiserslehn</v>
      </c>
      <c r="B271" t="str">
        <f>Funktional!B271</f>
        <v>KiGa*</v>
      </c>
      <c r="C271" s="403">
        <f t="shared" si="112"/>
        <v>0</v>
      </c>
      <c r="D271" s="403">
        <f t="shared" si="112"/>
        <v>20</v>
      </c>
      <c r="E271">
        <v>1</v>
      </c>
      <c r="F271" s="365"/>
      <c r="G271" s="365"/>
      <c r="H271" s="43"/>
      <c r="I271" s="43">
        <f t="shared" si="108"/>
        <v>20</v>
      </c>
      <c r="J271" s="43">
        <f>Funktional!E271</f>
        <v>194520.15106697567</v>
      </c>
      <c r="K271" s="44">
        <f>Funktional!G271</f>
        <v>9726.0075533487834</v>
      </c>
      <c r="L271" s="44" t="e">
        <f t="shared" si="109"/>
        <v>#DIV/0!</v>
      </c>
      <c r="M271" s="365">
        <v>835097.05</v>
      </c>
      <c r="N271" s="365">
        <v>1097840.6000000001</v>
      </c>
      <c r="O271" s="44" t="e">
        <f t="shared" si="110"/>
        <v>#DIV/0!</v>
      </c>
      <c r="P271" s="43"/>
      <c r="Q271" s="44">
        <f>Funktional!AN271/Kennzahlen!I271</f>
        <v>118.0079773302011</v>
      </c>
      <c r="R271" s="46"/>
      <c r="S271" s="365">
        <v>0</v>
      </c>
      <c r="T271" s="365">
        <v>0</v>
      </c>
      <c r="U271" s="365">
        <v>6863.7</v>
      </c>
    </row>
    <row r="272" spans="1:21" x14ac:dyDescent="0.25">
      <c r="A272" t="str">
        <f>Funktional!A272</f>
        <v>Aadorf</v>
      </c>
      <c r="B272" t="str">
        <f>Funktional!B272</f>
        <v>OSG</v>
      </c>
      <c r="C272" s="366"/>
      <c r="D272" s="403"/>
      <c r="E272">
        <v>0</v>
      </c>
      <c r="F272" s="404">
        <f>321-17</f>
        <v>304</v>
      </c>
      <c r="G272" s="404">
        <v>17</v>
      </c>
      <c r="H272" s="43">
        <f t="shared" ref="H272:H278" si="113">G272+F272</f>
        <v>321</v>
      </c>
      <c r="I272" s="43">
        <f t="shared" ref="I272:I278" si="114">H272+D272</f>
        <v>321</v>
      </c>
      <c r="J272" s="43">
        <f>Funktional!E272</f>
        <v>6839031.9000000004</v>
      </c>
      <c r="K272" s="44">
        <f>Funktional!G272</f>
        <v>21305.395327102804</v>
      </c>
      <c r="L272" s="44" t="e">
        <f t="shared" ref="L272:L278" si="115">J272/C272</f>
        <v>#DIV/0!</v>
      </c>
      <c r="M272" s="365">
        <v>5127122.8</v>
      </c>
      <c r="N272" s="365">
        <v>9673816.5999999996</v>
      </c>
      <c r="O272" s="44" t="e">
        <f t="shared" ref="O272:O278" si="116">N272/C272</f>
        <v>#DIV/0!</v>
      </c>
      <c r="P272" s="43"/>
      <c r="Q272" s="44">
        <f>Funktional!AN272/Kennzahlen!H272</f>
        <v>44.438161993769469</v>
      </c>
      <c r="R272" s="46">
        <f t="shared" ref="R272:R277" si="117">G272/(G272+F272)</f>
        <v>5.2959501557632398E-2</v>
      </c>
      <c r="S272" s="365">
        <v>-189648.05</v>
      </c>
      <c r="T272" s="365">
        <v>463508.35</v>
      </c>
      <c r="U272" s="365">
        <v>93102.5</v>
      </c>
    </row>
    <row r="273" spans="1:21" x14ac:dyDescent="0.25">
      <c r="A273" t="str">
        <f>Funktional!A273</f>
        <v>Affeltrangen</v>
      </c>
      <c r="B273" t="str">
        <f>Funktional!B273</f>
        <v>OSG</v>
      </c>
      <c r="C273" s="366"/>
      <c r="D273" s="403"/>
      <c r="E273">
        <v>0</v>
      </c>
      <c r="F273" s="404">
        <f>309-14</f>
        <v>295</v>
      </c>
      <c r="G273" s="404">
        <v>14</v>
      </c>
      <c r="H273" s="43">
        <f t="shared" si="113"/>
        <v>309</v>
      </c>
      <c r="I273" s="43">
        <f t="shared" si="114"/>
        <v>309</v>
      </c>
      <c r="J273" s="43">
        <f>Funktional!E273</f>
        <v>5041926</v>
      </c>
      <c r="K273" s="44">
        <f>Funktional!G273</f>
        <v>16316.912621359223</v>
      </c>
      <c r="L273" s="44" t="e">
        <f t="shared" si="115"/>
        <v>#DIV/0!</v>
      </c>
      <c r="M273" s="365">
        <v>3252439.65</v>
      </c>
      <c r="N273" s="365">
        <v>7743903.9299999997</v>
      </c>
      <c r="O273" s="44" t="e">
        <f t="shared" si="116"/>
        <v>#DIV/0!</v>
      </c>
      <c r="P273" s="43"/>
      <c r="Q273" s="44">
        <f>Funktional!AN273/Kennzahlen!H273</f>
        <v>7.5783171521035593</v>
      </c>
      <c r="R273" s="46">
        <f t="shared" si="117"/>
        <v>4.5307443365695796E-2</v>
      </c>
      <c r="S273" s="365">
        <v>119781.45</v>
      </c>
      <c r="T273" s="365">
        <v>106971.95</v>
      </c>
      <c r="U273" s="365">
        <v>36612.699999999997</v>
      </c>
    </row>
    <row r="274" spans="1:21" x14ac:dyDescent="0.25">
      <c r="A274" t="str">
        <f>Funktional!A274</f>
        <v>Alterswilen</v>
      </c>
      <c r="B274" t="str">
        <f>Funktional!B274</f>
        <v>OSG</v>
      </c>
      <c r="C274" s="366"/>
      <c r="D274" s="403"/>
      <c r="E274">
        <v>0</v>
      </c>
      <c r="F274" s="404">
        <v>106</v>
      </c>
      <c r="G274" s="404"/>
      <c r="H274" s="43">
        <f t="shared" si="113"/>
        <v>106</v>
      </c>
      <c r="I274" s="43">
        <f t="shared" si="114"/>
        <v>106</v>
      </c>
      <c r="J274" s="43">
        <f>Funktional!E274</f>
        <v>1666886</v>
      </c>
      <c r="K274" s="44">
        <f>Funktional!G274</f>
        <v>15725.33962264151</v>
      </c>
      <c r="L274" s="44" t="e">
        <f t="shared" si="115"/>
        <v>#DIV/0!</v>
      </c>
      <c r="M274" s="365">
        <v>1079196.2</v>
      </c>
      <c r="N274" s="365">
        <v>2697990.5</v>
      </c>
      <c r="O274" s="44" t="e">
        <f t="shared" si="116"/>
        <v>#DIV/0!</v>
      </c>
      <c r="P274" s="43"/>
      <c r="Q274" s="44">
        <f>Funktional!AN274/Kennzahlen!H274</f>
        <v>10.974528301886792</v>
      </c>
      <c r="R274" s="46">
        <f t="shared" si="117"/>
        <v>0</v>
      </c>
      <c r="S274" s="365">
        <v>-25494.35</v>
      </c>
      <c r="T274" s="365">
        <v>21907.55</v>
      </c>
      <c r="U274" s="365">
        <v>17912.349999999999</v>
      </c>
    </row>
    <row r="275" spans="1:21" x14ac:dyDescent="0.25">
      <c r="A275" t="str">
        <f>Funktional!A275</f>
        <v>Altnau</v>
      </c>
      <c r="B275" t="str">
        <f>Funktional!B275</f>
        <v>OSG</v>
      </c>
      <c r="C275" s="366"/>
      <c r="D275" s="403"/>
      <c r="E275">
        <v>0</v>
      </c>
      <c r="F275" s="404">
        <v>286</v>
      </c>
      <c r="G275" s="404"/>
      <c r="H275" s="43">
        <f t="shared" si="113"/>
        <v>286</v>
      </c>
      <c r="I275" s="43">
        <f t="shared" si="114"/>
        <v>286</v>
      </c>
      <c r="J275" s="43">
        <f>Funktional!E275</f>
        <v>4970682.8999999994</v>
      </c>
      <c r="K275" s="44">
        <f>Funktional!G275</f>
        <v>17380.010139860136</v>
      </c>
      <c r="L275" s="44" t="e">
        <f t="shared" si="115"/>
        <v>#DIV/0!</v>
      </c>
      <c r="M275" s="365">
        <v>3775515.5</v>
      </c>
      <c r="N275" s="365">
        <v>8390034.4399999995</v>
      </c>
      <c r="O275" s="44" t="e">
        <f t="shared" si="116"/>
        <v>#DIV/0!</v>
      </c>
      <c r="P275" s="43"/>
      <c r="Q275" s="44">
        <f>Funktional!AN275/Kennzahlen!H275</f>
        <v>54.897902097902097</v>
      </c>
      <c r="R275" s="46">
        <f t="shared" si="117"/>
        <v>0</v>
      </c>
      <c r="S275" s="365">
        <v>-466788.9</v>
      </c>
      <c r="T275" s="365">
        <v>383815.9</v>
      </c>
      <c r="U275" s="365">
        <v>40003.25</v>
      </c>
    </row>
    <row r="276" spans="1:21" x14ac:dyDescent="0.25">
      <c r="A276" t="str">
        <f>Funktional!A276</f>
        <v>Amriswil</v>
      </c>
      <c r="B276" t="str">
        <f>Funktional!B276</f>
        <v>OSG</v>
      </c>
      <c r="C276" s="366"/>
      <c r="D276" s="403"/>
      <c r="E276">
        <v>0</v>
      </c>
      <c r="F276" s="404">
        <f>547-22</f>
        <v>525</v>
      </c>
      <c r="G276" s="404">
        <v>22</v>
      </c>
      <c r="H276" s="43">
        <f t="shared" si="113"/>
        <v>547</v>
      </c>
      <c r="I276" s="43">
        <f t="shared" si="114"/>
        <v>547</v>
      </c>
      <c r="J276" s="43">
        <f>Funktional!E276</f>
        <v>7240300.5999999996</v>
      </c>
      <c r="K276" s="44">
        <f>Funktional!G276</f>
        <v>13236.381352833638</v>
      </c>
      <c r="L276" s="44" t="e">
        <f t="shared" si="115"/>
        <v>#DIV/0!</v>
      </c>
      <c r="M276" s="365">
        <v>6957299.1500000004</v>
      </c>
      <c r="N276" s="365">
        <v>15124563.369999999</v>
      </c>
      <c r="O276" s="44" t="e">
        <f t="shared" si="116"/>
        <v>#DIV/0!</v>
      </c>
      <c r="P276" s="43"/>
      <c r="Q276" s="44">
        <f>Funktional!AN276/Kennzahlen!H276</f>
        <v>61.589396709323587</v>
      </c>
      <c r="R276" s="46">
        <f t="shared" si="117"/>
        <v>4.0219378427787937E-2</v>
      </c>
      <c r="S276" s="365">
        <v>448083.65</v>
      </c>
      <c r="T276" s="365">
        <v>11913.55</v>
      </c>
      <c r="U276" s="365">
        <v>164318.39999999999</v>
      </c>
    </row>
    <row r="277" spans="1:21" x14ac:dyDescent="0.25">
      <c r="A277" t="str">
        <f>Funktional!A277</f>
        <v>Balterswil-Bichelsee</v>
      </c>
      <c r="B277" t="str">
        <f>Funktional!B277</f>
        <v>OSG</v>
      </c>
      <c r="C277" s="366"/>
      <c r="D277" s="403"/>
      <c r="E277">
        <v>0</v>
      </c>
      <c r="F277" s="404">
        <v>113</v>
      </c>
      <c r="G277" s="404"/>
      <c r="H277" s="43">
        <f t="shared" si="113"/>
        <v>113</v>
      </c>
      <c r="I277" s="43">
        <f t="shared" si="114"/>
        <v>113</v>
      </c>
      <c r="J277" s="43">
        <f>Funktional!E277</f>
        <v>1554576.35</v>
      </c>
      <c r="K277" s="44">
        <f>Funktional!G277</f>
        <v>13757.312831858408</v>
      </c>
      <c r="L277" s="44" t="e">
        <f t="shared" si="115"/>
        <v>#DIV/0!</v>
      </c>
      <c r="M277" s="365">
        <v>1122429.8999999999</v>
      </c>
      <c r="N277" s="365">
        <v>2806074.75</v>
      </c>
      <c r="O277" s="44" t="e">
        <f t="shared" si="116"/>
        <v>#DIV/0!</v>
      </c>
      <c r="P277" s="43"/>
      <c r="Q277" s="44">
        <f>Funktional!AN277/Kennzahlen!H277</f>
        <v>30.363274336283187</v>
      </c>
      <c r="R277" s="46">
        <f t="shared" si="117"/>
        <v>0</v>
      </c>
      <c r="S277" s="365">
        <v>-37075.1</v>
      </c>
      <c r="T277" s="365">
        <v>58201.5</v>
      </c>
      <c r="U277" s="365">
        <v>9597.5499999999993</v>
      </c>
    </row>
    <row r="278" spans="1:21" x14ac:dyDescent="0.25">
      <c r="A278" t="str">
        <f>Funktional!A278</f>
        <v>Berg</v>
      </c>
      <c r="B278" t="str">
        <f>Funktional!B278</f>
        <v>OSG</v>
      </c>
      <c r="C278" s="366"/>
      <c r="D278" s="403"/>
      <c r="E278">
        <v>0</v>
      </c>
      <c r="F278" s="404">
        <v>163</v>
      </c>
      <c r="G278" s="404"/>
      <c r="H278" s="43">
        <f t="shared" si="113"/>
        <v>163</v>
      </c>
      <c r="I278" s="43">
        <f t="shared" si="114"/>
        <v>163</v>
      </c>
      <c r="J278" s="43">
        <f>Funktional!E278</f>
        <v>2756821.5</v>
      </c>
      <c r="K278" s="44">
        <f>Funktional!G278</f>
        <v>16913.015337423312</v>
      </c>
      <c r="L278" s="44" t="e">
        <f t="shared" si="115"/>
        <v>#DIV/0!</v>
      </c>
      <c r="M278" s="365">
        <v>2392100.25</v>
      </c>
      <c r="N278" s="365">
        <v>4600192.79</v>
      </c>
      <c r="O278" s="44" t="e">
        <f t="shared" si="116"/>
        <v>#DIV/0!</v>
      </c>
      <c r="P278" s="43"/>
      <c r="Q278" s="44">
        <f>Funktional!AN278/Kennzahlen!H278</f>
        <v>17.928220858895706</v>
      </c>
      <c r="R278" s="46">
        <f t="shared" ref="R278:R289" si="118">G278/(G278+F278)</f>
        <v>0</v>
      </c>
      <c r="S278" s="365">
        <v>-167805.1</v>
      </c>
      <c r="T278" s="365">
        <v>49063.3</v>
      </c>
      <c r="U278" s="365">
        <v>50919.35</v>
      </c>
    </row>
    <row r="279" spans="1:21" x14ac:dyDescent="0.25">
      <c r="A279" t="str">
        <f>Funktional!A279</f>
        <v>Bischofszell</v>
      </c>
      <c r="B279" t="str">
        <f>Funktional!B279</f>
        <v>OSG</v>
      </c>
      <c r="C279" s="366"/>
      <c r="D279" s="403"/>
      <c r="E279">
        <v>0</v>
      </c>
      <c r="F279" s="404">
        <f>441-9</f>
        <v>432</v>
      </c>
      <c r="G279" s="404">
        <v>9</v>
      </c>
      <c r="H279" s="43">
        <f t="shared" ref="H279:H294" si="119">G279+F279</f>
        <v>441</v>
      </c>
      <c r="I279" s="43">
        <f t="shared" ref="I279:I294" si="120">H279+D279</f>
        <v>441</v>
      </c>
      <c r="J279" s="43">
        <f>Funktional!E279</f>
        <v>6295438.3999999994</v>
      </c>
      <c r="K279" s="44">
        <f>Funktional!G279</f>
        <v>14275.370521541949</v>
      </c>
      <c r="L279" s="44" t="e">
        <f t="shared" ref="L279:L289" si="121">J279/C279</f>
        <v>#DIV/0!</v>
      </c>
      <c r="M279" s="365">
        <v>5772666.7000000002</v>
      </c>
      <c r="N279" s="365">
        <v>12026388.960000001</v>
      </c>
      <c r="O279" s="44" t="e">
        <f t="shared" ref="O279:O289" si="122">N279/C279</f>
        <v>#DIV/0!</v>
      </c>
      <c r="P279" s="43"/>
      <c r="Q279" s="44">
        <f>Funktional!AN279/Kennzahlen!H279</f>
        <v>27.27823129251701</v>
      </c>
      <c r="R279" s="46">
        <f t="shared" si="118"/>
        <v>2.0408163265306121E-2</v>
      </c>
      <c r="S279" s="365">
        <v>567544.85</v>
      </c>
      <c r="T279" s="365">
        <v>47622.3</v>
      </c>
      <c r="U279" s="365">
        <v>51154.85</v>
      </c>
    </row>
    <row r="280" spans="1:21" x14ac:dyDescent="0.25">
      <c r="A280" t="str">
        <f>Funktional!A280</f>
        <v>Bürglen</v>
      </c>
      <c r="B280" t="str">
        <f>Funktional!B280</f>
        <v>OSG</v>
      </c>
      <c r="C280" s="366"/>
      <c r="D280" s="403"/>
      <c r="E280">
        <v>0</v>
      </c>
      <c r="F280" s="404">
        <f>174-10</f>
        <v>164</v>
      </c>
      <c r="G280" s="404">
        <v>10</v>
      </c>
      <c r="H280" s="43">
        <f t="shared" si="119"/>
        <v>174</v>
      </c>
      <c r="I280" s="43">
        <f t="shared" si="120"/>
        <v>174</v>
      </c>
      <c r="J280" s="43">
        <f>Funktional!E280</f>
        <v>2984110.8000000003</v>
      </c>
      <c r="K280" s="44">
        <f>Funktional!G280</f>
        <v>17150.062068965519</v>
      </c>
      <c r="L280" s="44" t="e">
        <f t="shared" si="121"/>
        <v>#DIV/0!</v>
      </c>
      <c r="M280" s="365">
        <v>2682984.75</v>
      </c>
      <c r="N280" s="365">
        <v>4127668.85</v>
      </c>
      <c r="O280" s="44" t="e">
        <f t="shared" si="122"/>
        <v>#DIV/0!</v>
      </c>
      <c r="P280" s="43"/>
      <c r="Q280" s="44">
        <f>Funktional!AN280/Kennzahlen!H280</f>
        <v>50.168390804597699</v>
      </c>
      <c r="R280" s="46">
        <f t="shared" si="118"/>
        <v>5.7471264367816091E-2</v>
      </c>
      <c r="S280" s="365">
        <v>124021.3</v>
      </c>
      <c r="T280" s="365">
        <v>18309.150000000001</v>
      </c>
      <c r="U280" s="365">
        <v>31731.3</v>
      </c>
    </row>
    <row r="281" spans="1:21" x14ac:dyDescent="0.25">
      <c r="A281" t="str">
        <f>Funktional!A281</f>
        <v>Diessenhofen</v>
      </c>
      <c r="B281" t="str">
        <f>Funktional!B281</f>
        <v>OSG</v>
      </c>
      <c r="C281" s="366"/>
      <c r="D281" s="403"/>
      <c r="E281">
        <v>0</v>
      </c>
      <c r="F281" s="404">
        <f>263-18</f>
        <v>245</v>
      </c>
      <c r="G281" s="404">
        <v>18</v>
      </c>
      <c r="H281" s="43">
        <f t="shared" si="119"/>
        <v>263</v>
      </c>
      <c r="I281" s="43">
        <f t="shared" si="120"/>
        <v>263</v>
      </c>
      <c r="J281" s="43">
        <f>Funktional!E281</f>
        <v>4589886.0299999993</v>
      </c>
      <c r="K281" s="44">
        <f>Funktional!G281</f>
        <v>17452.038136882125</v>
      </c>
      <c r="L281" s="44" t="e">
        <f t="shared" si="121"/>
        <v>#DIV/0!</v>
      </c>
      <c r="M281" s="365">
        <v>3362742.8</v>
      </c>
      <c r="N281" s="365">
        <v>8406857</v>
      </c>
      <c r="O281" s="44" t="e">
        <f t="shared" si="122"/>
        <v>#DIV/0!</v>
      </c>
      <c r="P281" s="43"/>
      <c r="Q281" s="44">
        <f>Funktional!AN281/Kennzahlen!H281</f>
        <v>79.704182509505699</v>
      </c>
      <c r="R281" s="46">
        <f t="shared" si="118"/>
        <v>6.8441064638783272E-2</v>
      </c>
      <c r="S281" s="365">
        <v>-772911.38</v>
      </c>
      <c r="T281" s="365">
        <v>27285.65</v>
      </c>
      <c r="U281" s="365">
        <v>40858.6</v>
      </c>
    </row>
    <row r="282" spans="1:21" x14ac:dyDescent="0.25">
      <c r="A282" t="str">
        <f>Funktional!A282</f>
        <v>Dozwil-Kesswil-Uttwil</v>
      </c>
      <c r="B282" t="str">
        <f>Funktional!B282</f>
        <v>OSG</v>
      </c>
      <c r="C282" s="366"/>
      <c r="D282" s="403"/>
      <c r="E282">
        <v>0</v>
      </c>
      <c r="F282" s="404">
        <v>107</v>
      </c>
      <c r="G282" s="404"/>
      <c r="H282" s="43">
        <f t="shared" si="119"/>
        <v>107</v>
      </c>
      <c r="I282" s="43">
        <f t="shared" si="120"/>
        <v>107</v>
      </c>
      <c r="J282" s="43">
        <f>Funktional!E282</f>
        <v>1736645.35</v>
      </c>
      <c r="K282" s="44">
        <f>Funktional!G282</f>
        <v>16230.330373831777</v>
      </c>
      <c r="L282" s="44" t="e">
        <f t="shared" si="121"/>
        <v>#DIV/0!</v>
      </c>
      <c r="M282" s="365">
        <v>1556773.3</v>
      </c>
      <c r="N282" s="365">
        <v>3706603.1</v>
      </c>
      <c r="O282" s="44" t="e">
        <f t="shared" si="122"/>
        <v>#DIV/0!</v>
      </c>
      <c r="P282" s="43"/>
      <c r="Q282" s="44">
        <f>Funktional!AN282/Kennzahlen!H282</f>
        <v>35.915887850467293</v>
      </c>
      <c r="R282" s="46">
        <f t="shared" si="118"/>
        <v>0</v>
      </c>
      <c r="S282" s="365">
        <v>-88917.95</v>
      </c>
      <c r="T282" s="365">
        <v>14694.6</v>
      </c>
      <c r="U282" s="365">
        <v>16101.7</v>
      </c>
    </row>
    <row r="283" spans="1:21" x14ac:dyDescent="0.25">
      <c r="A283" t="str">
        <f>Funktional!A283</f>
        <v>Ermatingen</v>
      </c>
      <c r="B283" t="str">
        <f>Funktional!B283</f>
        <v>OSG</v>
      </c>
      <c r="C283" s="366"/>
      <c r="D283" s="403"/>
      <c r="E283">
        <v>0</v>
      </c>
      <c r="F283" s="404">
        <v>122</v>
      </c>
      <c r="G283" s="404"/>
      <c r="H283" s="43">
        <f t="shared" si="119"/>
        <v>122</v>
      </c>
      <c r="I283" s="43">
        <f t="shared" si="120"/>
        <v>122</v>
      </c>
      <c r="J283" s="43">
        <f>Funktional!E283</f>
        <v>2317279.94</v>
      </c>
      <c r="K283" s="44">
        <f>Funktional!G283</f>
        <v>18994.097868852459</v>
      </c>
      <c r="L283" s="44" t="e">
        <f t="shared" si="121"/>
        <v>#DIV/0!</v>
      </c>
      <c r="M283" s="365">
        <v>2268188.85</v>
      </c>
      <c r="N283" s="365">
        <v>0</v>
      </c>
      <c r="O283" s="44" t="e">
        <f t="shared" si="122"/>
        <v>#DIV/0!</v>
      </c>
      <c r="P283" s="43"/>
      <c r="Q283" s="44">
        <f>Funktional!AN283/Kennzahlen!H283</f>
        <v>42.52172131147541</v>
      </c>
      <c r="R283" s="46">
        <f t="shared" si="118"/>
        <v>0</v>
      </c>
      <c r="S283" s="365">
        <v>2823.96</v>
      </c>
      <c r="T283" s="365">
        <v>51103.9</v>
      </c>
      <c r="U283" s="365">
        <v>22643.1</v>
      </c>
    </row>
    <row r="284" spans="1:21" x14ac:dyDescent="0.25">
      <c r="A284" t="str">
        <f>Funktional!A284</f>
        <v>Eschenz</v>
      </c>
      <c r="B284" t="str">
        <f>Funktional!B284</f>
        <v>OSG</v>
      </c>
      <c r="C284" s="366"/>
      <c r="D284" s="403"/>
      <c r="E284">
        <v>0</v>
      </c>
      <c r="F284" s="404">
        <v>139</v>
      </c>
      <c r="G284" s="404"/>
      <c r="H284" s="43">
        <f t="shared" si="119"/>
        <v>139</v>
      </c>
      <c r="I284" s="43">
        <f t="shared" si="120"/>
        <v>139</v>
      </c>
      <c r="J284" s="43">
        <f>Funktional!E284</f>
        <v>2039010.55</v>
      </c>
      <c r="K284" s="44">
        <f>Funktional!G284</f>
        <v>14669.140647482014</v>
      </c>
      <c r="L284" s="44" t="e">
        <f t="shared" si="121"/>
        <v>#DIV/0!</v>
      </c>
      <c r="M284" s="365">
        <v>1414915.65</v>
      </c>
      <c r="N284" s="365">
        <v>3368846.79</v>
      </c>
      <c r="O284" s="44" t="e">
        <f t="shared" si="122"/>
        <v>#DIV/0!</v>
      </c>
      <c r="P284" s="43"/>
      <c r="Q284" s="44">
        <f>Funktional!AN284/Kennzahlen!H284</f>
        <v>28.715107913669065</v>
      </c>
      <c r="R284" s="46">
        <f t="shared" si="118"/>
        <v>0</v>
      </c>
      <c r="S284" s="365">
        <v>-247128.95</v>
      </c>
      <c r="T284" s="365">
        <v>29225.5</v>
      </c>
      <c r="U284" s="365">
        <v>26164.05</v>
      </c>
    </row>
    <row r="285" spans="1:21" x14ac:dyDescent="0.25">
      <c r="A285" t="str">
        <f>Funktional!A285</f>
        <v>Fischingen</v>
      </c>
      <c r="B285" t="str">
        <f>Funktional!B285</f>
        <v>OSG</v>
      </c>
      <c r="C285" s="366"/>
      <c r="D285" s="403"/>
      <c r="E285">
        <v>0</v>
      </c>
      <c r="F285" s="404">
        <v>138</v>
      </c>
      <c r="G285" s="404"/>
      <c r="H285" s="43">
        <f t="shared" si="119"/>
        <v>138</v>
      </c>
      <c r="I285" s="43">
        <f t="shared" si="120"/>
        <v>138</v>
      </c>
      <c r="J285" s="43">
        <f>Funktional!E285</f>
        <v>2368083.4</v>
      </c>
      <c r="K285" s="44">
        <f>Funktional!G285</f>
        <v>17160.024637681159</v>
      </c>
      <c r="L285" s="44" t="e">
        <f t="shared" si="121"/>
        <v>#DIV/0!</v>
      </c>
      <c r="M285" s="365">
        <v>1490561.6</v>
      </c>
      <c r="N285" s="365">
        <v>2710112</v>
      </c>
      <c r="O285" s="44" t="e">
        <f t="shared" si="122"/>
        <v>#DIV/0!</v>
      </c>
      <c r="P285" s="43"/>
      <c r="Q285" s="44">
        <f>Funktional!AN285/Kennzahlen!H285</f>
        <v>25.350362318840578</v>
      </c>
      <c r="R285" s="46">
        <f t="shared" si="118"/>
        <v>0</v>
      </c>
      <c r="S285" s="365">
        <v>-40322.400000000001</v>
      </c>
      <c r="T285" s="365">
        <v>3757.6</v>
      </c>
      <c r="U285" s="365">
        <v>20639.05</v>
      </c>
    </row>
    <row r="286" spans="1:21" x14ac:dyDescent="0.25">
      <c r="A286" t="str">
        <f>Funktional!A286</f>
        <v>Frauenfeld</v>
      </c>
      <c r="B286" t="str">
        <f>Funktional!B286</f>
        <v>OSG</v>
      </c>
      <c r="C286" s="366"/>
      <c r="D286" s="403"/>
      <c r="E286">
        <v>0</v>
      </c>
      <c r="F286" s="405">
        <f>1075-77+105</f>
        <v>1103</v>
      </c>
      <c r="G286" s="404">
        <v>77</v>
      </c>
      <c r="H286" s="43">
        <f t="shared" si="119"/>
        <v>1180</v>
      </c>
      <c r="I286" s="43">
        <f t="shared" si="120"/>
        <v>1180</v>
      </c>
      <c r="J286" s="43">
        <f>Funktional!E286</f>
        <v>17034687.550000001</v>
      </c>
      <c r="K286" s="44">
        <f>Funktional!G286</f>
        <v>14436.175889830509</v>
      </c>
      <c r="L286" s="44" t="e">
        <f t="shared" si="121"/>
        <v>#DIV/0!</v>
      </c>
      <c r="M286" s="365">
        <v>15950367.75</v>
      </c>
      <c r="N286" s="365">
        <v>48334447.729999997</v>
      </c>
      <c r="O286" s="44" t="e">
        <f t="shared" si="122"/>
        <v>#DIV/0!</v>
      </c>
      <c r="P286" s="43"/>
      <c r="Q286" s="44">
        <f>Funktional!AN286/Kennzahlen!H286</f>
        <v>47.674491525423733</v>
      </c>
      <c r="R286" s="46">
        <f t="shared" si="118"/>
        <v>6.5254237288135591E-2</v>
      </c>
      <c r="S286" s="365">
        <v>812452.35</v>
      </c>
      <c r="T286" s="365">
        <v>124156.05</v>
      </c>
      <c r="U286" s="365">
        <v>178208.3</v>
      </c>
    </row>
    <row r="287" spans="1:21" x14ac:dyDescent="0.25">
      <c r="A287" t="str">
        <f>Funktional!A287</f>
        <v>Halingen</v>
      </c>
      <c r="B287" t="str">
        <f>Funktional!B287</f>
        <v>OSG</v>
      </c>
      <c r="C287" s="366"/>
      <c r="D287" s="403"/>
      <c r="E287">
        <v>0</v>
      </c>
      <c r="F287" s="404">
        <v>188</v>
      </c>
      <c r="G287" s="404"/>
      <c r="H287" s="43">
        <f t="shared" si="119"/>
        <v>188</v>
      </c>
      <c r="I287" s="43">
        <f t="shared" si="120"/>
        <v>188</v>
      </c>
      <c r="J287" s="43">
        <f>Funktional!E287</f>
        <v>3021316.8</v>
      </c>
      <c r="K287" s="44">
        <f>Funktional!G287</f>
        <v>16070.83404255319</v>
      </c>
      <c r="L287" s="44" t="e">
        <f t="shared" si="121"/>
        <v>#DIV/0!</v>
      </c>
      <c r="M287" s="365">
        <v>2716384.1</v>
      </c>
      <c r="N287" s="365">
        <v>5905182.8300000001</v>
      </c>
      <c r="O287" s="44" t="e">
        <f t="shared" si="122"/>
        <v>#DIV/0!</v>
      </c>
      <c r="P287" s="43"/>
      <c r="Q287" s="44">
        <f>Funktional!AN287/Kennzahlen!H287</f>
        <v>14.936170212765957</v>
      </c>
      <c r="R287" s="46">
        <f t="shared" si="118"/>
        <v>0</v>
      </c>
      <c r="S287" s="365">
        <v>17530.25</v>
      </c>
      <c r="T287" s="365">
        <v>0</v>
      </c>
      <c r="U287" s="365">
        <v>34496.949999999997</v>
      </c>
    </row>
    <row r="288" spans="1:21" x14ac:dyDescent="0.25">
      <c r="A288" t="str">
        <f>Funktional!A288</f>
        <v>Hüttwilen</v>
      </c>
      <c r="B288" t="str">
        <f>Funktional!B288</f>
        <v>OSG</v>
      </c>
      <c r="C288" s="366"/>
      <c r="D288" s="403"/>
      <c r="E288">
        <v>0</v>
      </c>
      <c r="F288" s="404">
        <v>183</v>
      </c>
      <c r="G288" s="404"/>
      <c r="H288" s="43">
        <f t="shared" si="119"/>
        <v>183</v>
      </c>
      <c r="I288" s="43">
        <f t="shared" si="120"/>
        <v>183</v>
      </c>
      <c r="J288" s="43">
        <f>Funktional!E288</f>
        <v>2319023.0499999998</v>
      </c>
      <c r="K288" s="44">
        <f>Funktional!G288</f>
        <v>12672.257103825135</v>
      </c>
      <c r="L288" s="44" t="e">
        <f t="shared" si="121"/>
        <v>#DIV/0!</v>
      </c>
      <c r="M288" s="365">
        <v>1732317.8</v>
      </c>
      <c r="N288" s="365">
        <v>5588121.9400000004</v>
      </c>
      <c r="O288" s="44" t="e">
        <f t="shared" si="122"/>
        <v>#DIV/0!</v>
      </c>
      <c r="P288" s="43"/>
      <c r="Q288" s="44">
        <f>Funktional!AN288/Kennzahlen!H288</f>
        <v>12.235245901639345</v>
      </c>
      <c r="R288" s="46">
        <f t="shared" si="118"/>
        <v>0</v>
      </c>
      <c r="S288" s="365">
        <v>-344258.25</v>
      </c>
      <c r="T288" s="365">
        <v>5616.45</v>
      </c>
      <c r="U288" s="365">
        <v>2063.4</v>
      </c>
    </row>
    <row r="289" spans="1:64" x14ac:dyDescent="0.25">
      <c r="A289" t="str">
        <f>Funktional!A289</f>
        <v>Kreuzlingen</v>
      </c>
      <c r="B289" t="str">
        <f>Funktional!B289</f>
        <v>OSG</v>
      </c>
      <c r="C289" s="366"/>
      <c r="D289" s="403"/>
      <c r="E289">
        <v>0</v>
      </c>
      <c r="F289" s="405">
        <f>613-50+84</f>
        <v>647</v>
      </c>
      <c r="G289" s="404">
        <v>50</v>
      </c>
      <c r="H289" s="43">
        <f t="shared" si="119"/>
        <v>697</v>
      </c>
      <c r="I289" s="43">
        <f t="shared" si="120"/>
        <v>697</v>
      </c>
      <c r="J289" s="43">
        <f>Funktional!E289</f>
        <v>19247401.59</v>
      </c>
      <c r="K289" s="44">
        <f>Funktional!G289</f>
        <v>27614.636427546629</v>
      </c>
      <c r="L289" s="44" t="e">
        <f t="shared" si="121"/>
        <v>#DIV/0!</v>
      </c>
      <c r="M289" s="365">
        <v>17125721.899999999</v>
      </c>
      <c r="N289" s="365">
        <v>55244264.189999998</v>
      </c>
      <c r="O289" s="44" t="e">
        <f t="shared" si="122"/>
        <v>#DIV/0!</v>
      </c>
      <c r="P289" s="43"/>
      <c r="Q289" s="44">
        <f>Funktional!AN289/Kennzahlen!H289</f>
        <v>81.197632711621239</v>
      </c>
      <c r="R289" s="46">
        <f t="shared" si="118"/>
        <v>7.1736011477761832E-2</v>
      </c>
      <c r="S289" s="365">
        <v>231578.81</v>
      </c>
      <c r="T289" s="365">
        <v>377544.1</v>
      </c>
      <c r="U289" s="365">
        <v>124509.75</v>
      </c>
    </row>
    <row r="290" spans="1:64" x14ac:dyDescent="0.25">
      <c r="A290" t="str">
        <f>Funktional!A290</f>
        <v>Müllheim</v>
      </c>
      <c r="B290" t="str">
        <f>Funktional!B290</f>
        <v>OSG</v>
      </c>
      <c r="C290" s="366"/>
      <c r="D290" s="403"/>
      <c r="E290">
        <v>0</v>
      </c>
      <c r="F290" s="404">
        <f>243-9</f>
        <v>234</v>
      </c>
      <c r="G290" s="404">
        <v>9</v>
      </c>
      <c r="H290" s="43">
        <f t="shared" si="119"/>
        <v>243</v>
      </c>
      <c r="I290" s="43">
        <f t="shared" si="120"/>
        <v>243</v>
      </c>
      <c r="J290" s="43">
        <f>Funktional!E290</f>
        <v>3737011.25</v>
      </c>
      <c r="K290" s="44">
        <f>Funktional!G290</f>
        <v>15378.647119341564</v>
      </c>
      <c r="L290" s="44" t="e">
        <f t="shared" ref="L290:L295" si="123">J290/C290</f>
        <v>#DIV/0!</v>
      </c>
      <c r="M290" s="365">
        <v>2678350.1</v>
      </c>
      <c r="N290" s="365">
        <v>5356700.2</v>
      </c>
      <c r="O290" s="44" t="e">
        <f t="shared" ref="O290:O295" si="124">N290/C290</f>
        <v>#DIV/0!</v>
      </c>
      <c r="P290" s="43"/>
      <c r="Q290" s="44">
        <f>Funktional!AN290/Kennzahlen!H290</f>
        <v>10.48559670781893</v>
      </c>
      <c r="R290" s="46">
        <f t="shared" ref="R290:R292" si="125">G290/(G290+F290)</f>
        <v>3.7037037037037035E-2</v>
      </c>
      <c r="S290" s="365">
        <v>-192296.05</v>
      </c>
      <c r="T290" s="365">
        <v>20019.2</v>
      </c>
      <c r="U290" s="365">
        <v>10540.1</v>
      </c>
    </row>
    <row r="291" spans="1:64" x14ac:dyDescent="0.25">
      <c r="A291" t="str">
        <f>Funktional!A291</f>
        <v>Neukirch-Egnach</v>
      </c>
      <c r="B291" t="str">
        <f>Funktional!B291</f>
        <v>OSG</v>
      </c>
      <c r="C291" s="366"/>
      <c r="D291" s="403"/>
      <c r="E291">
        <v>0</v>
      </c>
      <c r="F291" s="404">
        <v>198</v>
      </c>
      <c r="G291" s="404"/>
      <c r="H291" s="43">
        <f t="shared" si="119"/>
        <v>198</v>
      </c>
      <c r="I291" s="43">
        <f t="shared" si="120"/>
        <v>198</v>
      </c>
      <c r="J291" s="43">
        <f>Funktional!E291</f>
        <v>4052213.05</v>
      </c>
      <c r="K291" s="44">
        <f>Funktional!G291</f>
        <v>20465.722474747472</v>
      </c>
      <c r="L291" s="44" t="e">
        <f t="shared" si="123"/>
        <v>#DIV/0!</v>
      </c>
      <c r="M291" s="365">
        <v>3043582.4</v>
      </c>
      <c r="N291" s="365">
        <v>5533786.1799999997</v>
      </c>
      <c r="O291" s="44" t="e">
        <f t="shared" si="124"/>
        <v>#DIV/0!</v>
      </c>
      <c r="P291" s="43"/>
      <c r="Q291" s="44">
        <f>Funktional!AN291/Kennzahlen!H291</f>
        <v>76.173484848484847</v>
      </c>
      <c r="R291" s="46">
        <f t="shared" si="125"/>
        <v>0</v>
      </c>
      <c r="S291" s="365">
        <v>243571.75</v>
      </c>
      <c r="T291" s="365">
        <v>382115.4</v>
      </c>
      <c r="U291" s="365">
        <v>29841.75</v>
      </c>
    </row>
    <row r="292" spans="1:64" x14ac:dyDescent="0.25">
      <c r="A292" t="str">
        <f>Funktional!A292</f>
        <v>Rickenbach</v>
      </c>
      <c r="B292" t="str">
        <f>Funktional!B292</f>
        <v>OSG</v>
      </c>
      <c r="C292" s="366"/>
      <c r="D292" s="403"/>
      <c r="E292">
        <v>0</v>
      </c>
      <c r="F292" s="404">
        <v>183</v>
      </c>
      <c r="G292" s="404"/>
      <c r="H292" s="43">
        <f t="shared" si="119"/>
        <v>183</v>
      </c>
      <c r="I292" s="43">
        <f t="shared" si="120"/>
        <v>183</v>
      </c>
      <c r="J292" s="43">
        <f>Funktional!E292</f>
        <v>3037036.5</v>
      </c>
      <c r="K292" s="44">
        <f>Funktional!G292</f>
        <v>16595.827868852459</v>
      </c>
      <c r="L292" s="44" t="e">
        <f t="shared" si="123"/>
        <v>#DIV/0!</v>
      </c>
      <c r="M292" s="365">
        <v>2861546.6</v>
      </c>
      <c r="N292" s="365">
        <v>6358992.4400000004</v>
      </c>
      <c r="O292" s="44" t="e">
        <f t="shared" si="124"/>
        <v>#DIV/0!</v>
      </c>
      <c r="P292" s="43"/>
      <c r="Q292" s="44">
        <f>Funktional!AN292/Kennzahlen!H292</f>
        <v>36.81775956284153</v>
      </c>
      <c r="R292" s="46">
        <f t="shared" si="125"/>
        <v>0</v>
      </c>
      <c r="S292" s="365">
        <v>134463.95000000001</v>
      </c>
      <c r="T292" s="365">
        <v>72656</v>
      </c>
      <c r="U292" s="365">
        <v>16329.2</v>
      </c>
    </row>
    <row r="293" spans="1:64" x14ac:dyDescent="0.25">
      <c r="A293" t="str">
        <f>Funktional!A293</f>
        <v>Romanshorn-Salmsach</v>
      </c>
      <c r="B293" t="str">
        <f>Funktional!B293</f>
        <v>OSG</v>
      </c>
      <c r="C293" s="366"/>
      <c r="D293" s="403"/>
      <c r="E293">
        <v>0</v>
      </c>
      <c r="F293" s="404">
        <f>366-26</f>
        <v>340</v>
      </c>
      <c r="G293" s="404">
        <v>26</v>
      </c>
      <c r="H293" s="43">
        <f t="shared" si="119"/>
        <v>366</v>
      </c>
      <c r="I293" s="43">
        <f t="shared" si="120"/>
        <v>366</v>
      </c>
      <c r="J293" s="43">
        <f>Funktional!E293</f>
        <v>5694643.9900000002</v>
      </c>
      <c r="K293" s="44">
        <f>Funktional!G293</f>
        <v>15559.136584699454</v>
      </c>
      <c r="L293" s="44" t="e">
        <f t="shared" si="123"/>
        <v>#DIV/0!</v>
      </c>
      <c r="M293" s="365">
        <v>6020534.4000000004</v>
      </c>
      <c r="N293" s="365">
        <v>15843511.58</v>
      </c>
      <c r="O293" s="44" t="e">
        <f t="shared" si="124"/>
        <v>#DIV/0!</v>
      </c>
      <c r="P293" s="43"/>
      <c r="Q293" s="44">
        <f>Funktional!AN293/Kennzahlen!H293</f>
        <v>35.450273224043713</v>
      </c>
      <c r="R293" s="46">
        <f t="shared" ref="R293:R300" si="126">G293/(G293+F293)</f>
        <v>7.1038251366120214E-2</v>
      </c>
      <c r="S293" s="365">
        <v>820721.71</v>
      </c>
      <c r="T293" s="365">
        <v>37204.15</v>
      </c>
      <c r="U293" s="365">
        <v>81056</v>
      </c>
    </row>
    <row r="294" spans="1:64" x14ac:dyDescent="0.25">
      <c r="A294" t="str">
        <f>Funktional!A294</f>
        <v>Schönholzerswilen</v>
      </c>
      <c r="B294" t="str">
        <f>Funktional!B294</f>
        <v>OSG</v>
      </c>
      <c r="C294" s="366"/>
      <c r="D294" s="403"/>
      <c r="E294">
        <v>0</v>
      </c>
      <c r="F294" s="404">
        <v>138</v>
      </c>
      <c r="G294" s="404"/>
      <c r="H294" s="43">
        <f t="shared" si="119"/>
        <v>138</v>
      </c>
      <c r="I294" s="43">
        <f t="shared" si="120"/>
        <v>138</v>
      </c>
      <c r="J294" s="43">
        <f>Funktional!E294</f>
        <v>2036189.1</v>
      </c>
      <c r="K294" s="44">
        <f>Funktional!G294</f>
        <v>14754.993478260871</v>
      </c>
      <c r="L294" s="44" t="e">
        <f t="shared" si="123"/>
        <v>#DIV/0!</v>
      </c>
      <c r="M294" s="365">
        <v>1361793.15</v>
      </c>
      <c r="N294" s="365">
        <v>2723586.3</v>
      </c>
      <c r="O294" s="44" t="e">
        <f t="shared" si="124"/>
        <v>#DIV/0!</v>
      </c>
      <c r="P294" s="43"/>
      <c r="Q294" s="44">
        <f>Funktional!AN294/Kennzahlen!H294</f>
        <v>37.280072463768114</v>
      </c>
      <c r="R294" s="46">
        <f t="shared" si="126"/>
        <v>0</v>
      </c>
      <c r="S294" s="365">
        <v>53435.5</v>
      </c>
      <c r="T294" s="365">
        <v>9494</v>
      </c>
      <c r="U294" s="365">
        <v>7968.05</v>
      </c>
    </row>
    <row r="295" spans="1:64" x14ac:dyDescent="0.25">
      <c r="A295" t="str">
        <f>Funktional!A295</f>
        <v>Sirnach</v>
      </c>
      <c r="B295" t="str">
        <f>Funktional!B295</f>
        <v>OSG</v>
      </c>
      <c r="C295" s="366"/>
      <c r="D295" s="403"/>
      <c r="E295">
        <v>0</v>
      </c>
      <c r="F295" s="404">
        <f>252-24</f>
        <v>228</v>
      </c>
      <c r="G295" s="404">
        <v>24</v>
      </c>
      <c r="H295" s="43">
        <f t="shared" ref="H295:H303" si="127">G295+F295</f>
        <v>252</v>
      </c>
      <c r="I295" s="43">
        <f t="shared" ref="I295:I303" si="128">H295+D295</f>
        <v>252</v>
      </c>
      <c r="J295" s="43">
        <f>Funktional!E295</f>
        <v>3694152.55</v>
      </c>
      <c r="K295" s="44">
        <f>Funktional!G295</f>
        <v>14659.335515873016</v>
      </c>
      <c r="L295" s="44" t="e">
        <f t="shared" si="123"/>
        <v>#DIV/0!</v>
      </c>
      <c r="M295" s="365">
        <v>3422009.05</v>
      </c>
      <c r="N295" s="365">
        <v>6844018.0999999996</v>
      </c>
      <c r="O295" s="44" t="e">
        <f t="shared" si="124"/>
        <v>#DIV/0!</v>
      </c>
      <c r="P295" s="43"/>
      <c r="Q295" s="44">
        <f>Funktional!AN295/Kennzahlen!H295</f>
        <v>25.69761904761905</v>
      </c>
      <c r="R295" s="46">
        <f t="shared" si="126"/>
        <v>9.5238095238095233E-2</v>
      </c>
      <c r="S295" s="365">
        <v>304356.7</v>
      </c>
      <c r="T295" s="365">
        <v>63716.35</v>
      </c>
      <c r="U295" s="365">
        <v>53123.85</v>
      </c>
    </row>
    <row r="296" spans="1:64" x14ac:dyDescent="0.25">
      <c r="A296" t="str">
        <f>Funktional!A296</f>
        <v>Steckborn</v>
      </c>
      <c r="B296" t="str">
        <f>Funktional!B296</f>
        <v>OSG</v>
      </c>
      <c r="C296" s="366"/>
      <c r="D296" s="403"/>
      <c r="E296">
        <v>0</v>
      </c>
      <c r="F296" s="404">
        <f>204-8</f>
        <v>196</v>
      </c>
      <c r="G296" s="404">
        <v>8</v>
      </c>
      <c r="H296" s="43">
        <f t="shared" si="127"/>
        <v>204</v>
      </c>
      <c r="I296" s="43">
        <f t="shared" si="128"/>
        <v>204</v>
      </c>
      <c r="J296" s="43">
        <f>Funktional!E296</f>
        <v>3441971.5</v>
      </c>
      <c r="K296" s="44">
        <f>Funktional!G296</f>
        <v>16872.409313725489</v>
      </c>
      <c r="L296" s="44" t="e">
        <f t="shared" ref="L296:L300" si="129">J296/C296</f>
        <v>#DIV/0!</v>
      </c>
      <c r="M296" s="365">
        <v>2743654.3</v>
      </c>
      <c r="N296" s="365">
        <v>7220142.8899999997</v>
      </c>
      <c r="O296" s="44" t="e">
        <f t="shared" ref="O296:O300" si="130">N296/C296</f>
        <v>#DIV/0!</v>
      </c>
      <c r="P296" s="43"/>
      <c r="Q296" s="44">
        <f>Funktional!AN296/Kennzahlen!H296</f>
        <v>10.676470588235293</v>
      </c>
      <c r="R296" s="46">
        <f t="shared" si="126"/>
        <v>3.9215686274509803E-2</v>
      </c>
      <c r="S296" s="365">
        <v>-280728.09999999998</v>
      </c>
      <c r="T296" s="365">
        <v>1640.2</v>
      </c>
      <c r="U296" s="365">
        <v>14954.15</v>
      </c>
    </row>
    <row r="297" spans="1:64" x14ac:dyDescent="0.25">
      <c r="A297" t="str">
        <f>Funktional!A297</f>
        <v>Sulgen-Schönenberg-Kradolf</v>
      </c>
      <c r="B297" t="str">
        <f>Funktional!B297</f>
        <v>OSG</v>
      </c>
      <c r="C297" s="366"/>
      <c r="D297" s="403"/>
      <c r="E297">
        <v>0</v>
      </c>
      <c r="F297" s="404">
        <f>264-10</f>
        <v>254</v>
      </c>
      <c r="G297" s="404">
        <v>10</v>
      </c>
      <c r="H297" s="43">
        <f t="shared" si="127"/>
        <v>264</v>
      </c>
      <c r="I297" s="43">
        <f t="shared" si="128"/>
        <v>264</v>
      </c>
      <c r="J297" s="43">
        <f>Funktional!E297</f>
        <v>4222792.1500000004</v>
      </c>
      <c r="K297" s="44">
        <f>Funktional!G297</f>
        <v>15995.424810606062</v>
      </c>
      <c r="L297" s="44" t="e">
        <f t="shared" si="129"/>
        <v>#DIV/0!</v>
      </c>
      <c r="M297" s="365">
        <v>3063457.15</v>
      </c>
      <c r="N297" s="365">
        <v>6659689.46</v>
      </c>
      <c r="O297" s="44" t="e">
        <f t="shared" si="130"/>
        <v>#DIV/0!</v>
      </c>
      <c r="P297" s="43"/>
      <c r="Q297" s="44">
        <f>Funktional!AN297/Kennzahlen!H297</f>
        <v>45.90890151515152</v>
      </c>
      <c r="R297" s="46">
        <f t="shared" si="126"/>
        <v>3.787878787878788E-2</v>
      </c>
      <c r="S297" s="365">
        <v>85316.9</v>
      </c>
      <c r="T297" s="365">
        <v>84539.1</v>
      </c>
      <c r="U297" s="365">
        <v>37128.400000000001</v>
      </c>
    </row>
    <row r="298" spans="1:64" x14ac:dyDescent="0.25">
      <c r="A298" t="str">
        <f>Funktional!A298</f>
        <v>Tägerwilen</v>
      </c>
      <c r="B298" t="str">
        <f>Funktional!B298</f>
        <v>OSG</v>
      </c>
      <c r="C298" s="366"/>
      <c r="D298" s="403"/>
      <c r="E298">
        <v>0</v>
      </c>
      <c r="F298" s="404">
        <v>123</v>
      </c>
      <c r="G298" s="404"/>
      <c r="H298" s="43">
        <f t="shared" si="127"/>
        <v>123</v>
      </c>
      <c r="I298" s="43">
        <f t="shared" si="128"/>
        <v>123</v>
      </c>
      <c r="J298" s="43">
        <f>Funktional!E298</f>
        <v>1944771.7</v>
      </c>
      <c r="K298" s="44">
        <f>Funktional!G298</f>
        <v>15811.152032520326</v>
      </c>
      <c r="L298" s="44" t="e">
        <f t="shared" si="129"/>
        <v>#DIV/0!</v>
      </c>
      <c r="M298" s="365">
        <v>1643781.2</v>
      </c>
      <c r="N298" s="365">
        <v>5479270.6699999999</v>
      </c>
      <c r="O298" s="44" t="e">
        <f t="shared" si="130"/>
        <v>#DIV/0!</v>
      </c>
      <c r="P298" s="43"/>
      <c r="Q298" s="44">
        <f>Funktional!AN298/Kennzahlen!H298</f>
        <v>89.309756097560978</v>
      </c>
      <c r="R298" s="46">
        <f t="shared" si="126"/>
        <v>0</v>
      </c>
      <c r="S298" s="365">
        <v>-172591.1</v>
      </c>
      <c r="T298" s="365">
        <v>30875.200000000001</v>
      </c>
      <c r="U298" s="365">
        <v>24036.3</v>
      </c>
    </row>
    <row r="299" spans="1:64" x14ac:dyDescent="0.25">
      <c r="A299" t="str">
        <f>Funktional!A299</f>
        <v>Weinfelden</v>
      </c>
      <c r="B299" t="str">
        <f>Funktional!B299</f>
        <v>OSG</v>
      </c>
      <c r="C299" s="366"/>
      <c r="D299" s="403"/>
      <c r="E299">
        <v>0</v>
      </c>
      <c r="F299" s="404">
        <f>486-18</f>
        <v>468</v>
      </c>
      <c r="G299" s="404">
        <v>18</v>
      </c>
      <c r="H299" s="43">
        <f t="shared" si="127"/>
        <v>486</v>
      </c>
      <c r="I299" s="43">
        <f t="shared" si="128"/>
        <v>486</v>
      </c>
      <c r="J299" s="43">
        <f>Funktional!E299</f>
        <v>7687465.7000000002</v>
      </c>
      <c r="K299" s="44">
        <f>Funktional!G299</f>
        <v>15817.830658436214</v>
      </c>
      <c r="L299" s="44" t="e">
        <f t="shared" si="129"/>
        <v>#DIV/0!</v>
      </c>
      <c r="M299" s="365">
        <v>7857105.3499999996</v>
      </c>
      <c r="N299" s="365">
        <v>23109133.379999999</v>
      </c>
      <c r="O299" s="44" t="e">
        <f t="shared" si="130"/>
        <v>#DIV/0!</v>
      </c>
      <c r="P299" s="43"/>
      <c r="Q299" s="44">
        <f>Funktional!AN299/Kennzahlen!H299</f>
        <v>35.292283950617282</v>
      </c>
      <c r="R299" s="46">
        <f t="shared" si="126"/>
        <v>3.7037037037037035E-2</v>
      </c>
      <c r="S299" s="365">
        <v>600004.9</v>
      </c>
      <c r="T299" s="365">
        <v>53810.8</v>
      </c>
      <c r="U299" s="365">
        <v>67443.05</v>
      </c>
    </row>
    <row r="300" spans="1:64" x14ac:dyDescent="0.25">
      <c r="A300" t="str">
        <f>Funktional!A300</f>
        <v>Wigoltingen</v>
      </c>
      <c r="B300" t="str">
        <f>Funktional!B300</f>
        <v>OSG</v>
      </c>
      <c r="C300" s="366"/>
      <c r="D300" s="403"/>
      <c r="E300">
        <v>0</v>
      </c>
      <c r="F300" s="404">
        <v>153</v>
      </c>
      <c r="G300" s="404"/>
      <c r="H300" s="43">
        <f t="shared" si="127"/>
        <v>153</v>
      </c>
      <c r="I300" s="43">
        <f t="shared" si="128"/>
        <v>153</v>
      </c>
      <c r="J300" s="43">
        <f>Funktional!E300</f>
        <v>3089518.35</v>
      </c>
      <c r="K300" s="44">
        <f>Funktional!G300</f>
        <v>20192.930392156864</v>
      </c>
      <c r="L300" s="44" t="e">
        <f t="shared" si="129"/>
        <v>#DIV/0!</v>
      </c>
      <c r="M300" s="365">
        <v>2108324.65</v>
      </c>
      <c r="N300" s="365">
        <v>3346547.06</v>
      </c>
      <c r="O300" s="44" t="e">
        <f t="shared" si="130"/>
        <v>#DIV/0!</v>
      </c>
      <c r="P300" s="43"/>
      <c r="Q300" s="44">
        <f>Funktional!AN300/Kennzahlen!H300</f>
        <v>13.648692810457517</v>
      </c>
      <c r="R300" s="46">
        <f t="shared" si="126"/>
        <v>0</v>
      </c>
      <c r="S300" s="365">
        <v>-309951.45</v>
      </c>
      <c r="T300" s="365">
        <v>53038.8</v>
      </c>
      <c r="U300" s="365">
        <v>21916.6</v>
      </c>
      <c r="V300" s="10"/>
      <c r="W300" s="10"/>
      <c r="X300" s="8"/>
      <c r="Z300" s="10"/>
      <c r="AA300" s="10"/>
      <c r="AB300" s="8"/>
      <c r="AD300" s="10"/>
      <c r="AE300" s="10"/>
      <c r="AF300" s="8"/>
      <c r="AH300" s="10"/>
      <c r="AI300" s="10"/>
      <c r="AJ300" s="8"/>
      <c r="AL300" s="10"/>
      <c r="AM300" s="10"/>
      <c r="AN300" s="8"/>
      <c r="AP300" s="10"/>
      <c r="AQ300" s="10"/>
      <c r="AR300" s="8"/>
      <c r="AT300" s="10"/>
      <c r="AU300" s="10"/>
      <c r="AV300" s="8"/>
      <c r="AX300" s="10"/>
      <c r="AY300" s="10"/>
      <c r="AZ300" s="8"/>
      <c r="BB300" s="10"/>
      <c r="BC300" s="10"/>
      <c r="BD300" s="8"/>
      <c r="BF300" s="10"/>
      <c r="BG300" s="10"/>
      <c r="BH300" s="8"/>
      <c r="BJ300" s="10"/>
      <c r="BK300" s="10"/>
      <c r="BL300" s="8"/>
    </row>
    <row r="301" spans="1:64" x14ac:dyDescent="0.25">
      <c r="A301" s="2"/>
      <c r="B301" s="2"/>
      <c r="H301" s="4"/>
      <c r="I301" s="43">
        <f t="shared" si="128"/>
        <v>0</v>
      </c>
      <c r="Q301" s="10"/>
      <c r="R301" s="8"/>
    </row>
    <row r="302" spans="1:64" x14ac:dyDescent="0.25">
      <c r="A302" s="5" t="s">
        <v>28</v>
      </c>
      <c r="F302" s="10"/>
      <c r="H302" s="4"/>
      <c r="I302" s="43">
        <f t="shared" si="128"/>
        <v>0</v>
      </c>
      <c r="Q302" s="10"/>
      <c r="R302" s="8"/>
    </row>
    <row r="303" spans="1:64" x14ac:dyDescent="0.25">
      <c r="A303" s="45" t="s">
        <v>29</v>
      </c>
      <c r="B303" s="45"/>
      <c r="C303" s="45">
        <f>SUM(C8:C129)</f>
        <v>0</v>
      </c>
      <c r="D303" s="45"/>
      <c r="E303" s="45" t="s">
        <v>285</v>
      </c>
      <c r="F303" s="401">
        <f>SUM(F8:F129)+SUM(F258:F264)+816+259+261+177+395+379-1</f>
        <v>19123</v>
      </c>
      <c r="G303" s="401">
        <f>SUM(G8:G129)+SUM(G258:G264)+84+25+44+8</f>
        <v>738</v>
      </c>
      <c r="H303" s="44">
        <f t="shared" si="127"/>
        <v>19861</v>
      </c>
      <c r="I303" s="43">
        <f t="shared" si="128"/>
        <v>19861</v>
      </c>
      <c r="J303" s="43">
        <f>Funktional!E303</f>
        <v>224758254.71467009</v>
      </c>
      <c r="K303" s="44">
        <f>Funktional!G303</f>
        <v>11316.562847523795</v>
      </c>
      <c r="L303" s="44">
        <f>K303/($F303+$J303)</f>
        <v>5.0345648492656208E-5</v>
      </c>
      <c r="M303" s="43"/>
      <c r="N303" s="43">
        <f>SUM(N8:N129)</f>
        <v>304013324.50999999</v>
      </c>
      <c r="O303" s="45" t="e">
        <f>N303/C303</f>
        <v>#DIV/0!</v>
      </c>
      <c r="P303" s="43"/>
      <c r="Q303" s="44">
        <f>Funktional!AM303/Kennzahlen!H303</f>
        <v>47.499638655321142</v>
      </c>
      <c r="R303" s="46">
        <f>G303/(G303+F303)</f>
        <v>3.7158249836362719E-2</v>
      </c>
      <c r="S303" s="43">
        <f>SUM(S8:S129)+2/3*SUM(S252:S264)</f>
        <v>-3139369.9500000011</v>
      </c>
      <c r="T303" s="43">
        <f t="shared" ref="T303:U303" si="131">SUM(T8:T129)+SUM(T258:T264)+2/3*SUM(T252:T257)</f>
        <v>8167912.7266666647</v>
      </c>
      <c r="U303" s="43">
        <f t="shared" si="131"/>
        <v>2249948.2500000005</v>
      </c>
    </row>
    <row r="304" spans="1:64" x14ac:dyDescent="0.25">
      <c r="A304" s="45" t="s">
        <v>30</v>
      </c>
      <c r="B304" s="45"/>
      <c r="C304" s="45">
        <f>C303</f>
        <v>0</v>
      </c>
      <c r="D304" s="125">
        <f>SUM(D130:D251)+SUM(D265:D271)+SUM(D252:D257)</f>
        <v>5455</v>
      </c>
      <c r="E304" s="45"/>
      <c r="F304" s="402"/>
      <c r="G304" s="44"/>
      <c r="H304" s="44"/>
      <c r="I304" s="43">
        <f>D304</f>
        <v>5455</v>
      </c>
      <c r="J304" s="43"/>
      <c r="K304" s="44">
        <f>Funktional!G304</f>
        <v>7568.626819797717</v>
      </c>
      <c r="L304" s="44"/>
      <c r="M304" s="43"/>
      <c r="N304" s="43"/>
      <c r="O304" s="45"/>
      <c r="P304" s="43"/>
      <c r="Q304" s="44"/>
      <c r="R304" s="46"/>
      <c r="S304" s="43"/>
      <c r="T304" s="43"/>
      <c r="U304" s="43"/>
    </row>
    <row r="305" spans="1:47" x14ac:dyDescent="0.25">
      <c r="A305" s="45" t="s">
        <v>31</v>
      </c>
      <c r="B305" s="45"/>
      <c r="C305" s="45">
        <f>SUM(C272:C300)</f>
        <v>0</v>
      </c>
      <c r="D305" s="45">
        <v>0</v>
      </c>
      <c r="E305" s="45" t="s">
        <v>286</v>
      </c>
      <c r="F305" s="401">
        <f>SUM(F272:F300)+SUM(F252:F257)-816-259-261-177-395-379</f>
        <v>9042</v>
      </c>
      <c r="G305" s="401">
        <f>SUM(G272:G300)+SUM(G252:G257)-84-25-44-8</f>
        <v>372</v>
      </c>
      <c r="H305" s="43">
        <f t="shared" ref="H305:H306" si="132">G305+F305</f>
        <v>9414</v>
      </c>
      <c r="I305" s="43">
        <f>H305+D305</f>
        <v>9414</v>
      </c>
      <c r="J305" s="43">
        <f>Funktional!E305</f>
        <v>152565916.61333331</v>
      </c>
      <c r="K305" s="44">
        <f>Funktional!G305</f>
        <v>16206.279648750087</v>
      </c>
      <c r="L305" s="44">
        <f t="shared" ref="L305:L306" si="133">K305/($F305+$J305)</f>
        <v>1.0621847645275287E-4</v>
      </c>
      <c r="M305" s="43" t="s">
        <v>287</v>
      </c>
      <c r="N305" s="43">
        <f>SUM(N272:N300)</f>
        <v>288930448.03000003</v>
      </c>
      <c r="O305" s="45" t="e">
        <f t="shared" ref="O305:O306" si="134">N305/C305</f>
        <v>#DIV/0!</v>
      </c>
      <c r="P305" s="43"/>
      <c r="Q305" s="44">
        <f>Funktional!AM305/Kennzahlen!H305</f>
        <v>45.955819701154304</v>
      </c>
      <c r="R305" s="46">
        <f t="shared" ref="R305:R306" si="135">G305/(G305+F305)</f>
        <v>3.9515615041427664E-2</v>
      </c>
      <c r="S305" s="43">
        <f>SUM(S272:S300)+1/3*SUM(S252:S264)</f>
        <v>717403.06999999983</v>
      </c>
      <c r="T305" s="43">
        <f t="shared" ref="T305:U305" si="136">SUM(T272:T300)+1/3*SUM(T252:T257)</f>
        <v>3755078.9833333334</v>
      </c>
      <c r="U305" s="43">
        <f t="shared" si="136"/>
        <v>1452267.2</v>
      </c>
    </row>
    <row r="306" spans="1:47" x14ac:dyDescent="0.25">
      <c r="A306" s="45" t="s">
        <v>32</v>
      </c>
      <c r="B306" s="45"/>
      <c r="C306" s="45">
        <f>C305</f>
        <v>0</v>
      </c>
      <c r="D306" s="45">
        <f>D303</f>
        <v>0</v>
      </c>
      <c r="E306" s="45"/>
      <c r="F306" s="45">
        <f t="shared" ref="F306:G306" si="137">SUM(F8:F300)</f>
        <v>28166</v>
      </c>
      <c r="G306" s="45">
        <f t="shared" si="137"/>
        <v>1110</v>
      </c>
      <c r="H306" s="43">
        <f t="shared" si="132"/>
        <v>29276</v>
      </c>
      <c r="I306" s="43">
        <f>SUM(I303:I305)</f>
        <v>34730</v>
      </c>
      <c r="J306" s="43">
        <f>Funktional!E306</f>
        <v>418611030.63000011</v>
      </c>
      <c r="K306" s="44">
        <f>Funktional!G306</f>
        <v>12053.297743449471</v>
      </c>
      <c r="L306" s="44">
        <f t="shared" si="133"/>
        <v>2.8791613017790029E-5</v>
      </c>
      <c r="M306" s="43"/>
      <c r="N306" s="43">
        <f>N303+SUM(N252:N264)</f>
        <v>351769423.69999999</v>
      </c>
      <c r="O306" s="45" t="e">
        <f t="shared" si="134"/>
        <v>#DIV/0!</v>
      </c>
      <c r="P306" s="43"/>
      <c r="Q306" s="44">
        <f>Funktional!AM306/Kennzahlen!H306</f>
        <v>47.00158525754884</v>
      </c>
      <c r="R306" s="46">
        <f t="shared" si="135"/>
        <v>3.7915015712529032E-2</v>
      </c>
      <c r="S306" s="43">
        <f t="shared" ref="S306:U306" si="138">SUM(S8:S300)</f>
        <v>-4573703.97</v>
      </c>
      <c r="T306" s="43">
        <f t="shared" si="138"/>
        <v>17788359.670000002</v>
      </c>
      <c r="U306" s="43">
        <f t="shared" si="138"/>
        <v>5698378.4999999953</v>
      </c>
    </row>
    <row r="307" spans="1:47" x14ac:dyDescent="0.25">
      <c r="F307" s="364" t="s">
        <v>288</v>
      </c>
      <c r="R307" s="8"/>
    </row>
    <row r="308" spans="1:47" x14ac:dyDescent="0.25">
      <c r="A308" s="5" t="s">
        <v>33</v>
      </c>
      <c r="F308" s="364" t="s">
        <v>289</v>
      </c>
      <c r="G308" s="25"/>
      <c r="R308" s="8"/>
    </row>
    <row r="309" spans="1:47" x14ac:dyDescent="0.25">
      <c r="A309" s="45" t="s">
        <v>34</v>
      </c>
      <c r="B309" s="45"/>
      <c r="C309" s="44"/>
      <c r="D309" s="44"/>
      <c r="E309" s="45"/>
      <c r="F309" s="44"/>
      <c r="G309" s="44"/>
      <c r="H309" s="43"/>
      <c r="I309" s="43"/>
      <c r="J309" s="43">
        <f>MAX(J8:J129)</f>
        <v>16960169.746721085</v>
      </c>
      <c r="K309" s="44">
        <f>Funktional!G311</f>
        <v>74325.572824929448</v>
      </c>
      <c r="L309" s="44" t="e">
        <f>MAX(L8:L129)</f>
        <v>#DIV/0!</v>
      </c>
      <c r="M309" s="43"/>
      <c r="N309" s="43">
        <f t="shared" ref="N309:O309" si="139">MAX(N8:N129)</f>
        <v>38742951.530000001</v>
      </c>
      <c r="O309" s="44" t="e">
        <f t="shared" si="139"/>
        <v>#DIV/0!</v>
      </c>
      <c r="P309" s="43"/>
      <c r="Q309" s="44">
        <f t="shared" ref="Q309:R309" si="140">MAX(Q8:Q129)</f>
        <v>161.01566518993295</v>
      </c>
      <c r="R309" s="46">
        <f t="shared" si="140"/>
        <v>0.13761467889908258</v>
      </c>
      <c r="S309" s="43"/>
      <c r="T309" s="43"/>
      <c r="U309" s="43"/>
    </row>
    <row r="310" spans="1:47" s="137" customFormat="1" ht="14.25" x14ac:dyDescent="0.3">
      <c r="A310" s="133" t="s">
        <v>233</v>
      </c>
      <c r="B310" s="133"/>
      <c r="C310" s="138"/>
      <c r="D310" s="138"/>
      <c r="E310" s="133"/>
      <c r="F310" s="408" t="s">
        <v>290</v>
      </c>
      <c r="G310" s="138"/>
      <c r="H310" s="134"/>
      <c r="I310" s="134"/>
      <c r="J310" s="134"/>
      <c r="K310" s="44">
        <f>Funktional!G312</f>
        <v>59023.859505874927</v>
      </c>
      <c r="L310" s="138"/>
      <c r="M310" s="134"/>
      <c r="N310" s="134"/>
      <c r="O310" s="138"/>
      <c r="P310" s="134"/>
      <c r="Q310" s="138"/>
      <c r="R310" s="140"/>
      <c r="S310" s="134"/>
      <c r="T310" s="134"/>
      <c r="U310" s="134"/>
    </row>
    <row r="311" spans="1:47" s="137" customFormat="1" ht="14.25" x14ac:dyDescent="0.3">
      <c r="A311" s="133" t="s">
        <v>233</v>
      </c>
      <c r="B311" s="133"/>
      <c r="C311" s="138"/>
      <c r="D311" s="138"/>
      <c r="E311" s="133"/>
      <c r="F311" s="138"/>
      <c r="G311" s="138"/>
      <c r="H311" s="134"/>
      <c r="I311" s="134"/>
      <c r="J311" s="134"/>
      <c r="K311" s="44">
        <f>Funktional!G313</f>
        <v>9726.0075533487834</v>
      </c>
      <c r="L311" s="138"/>
      <c r="M311" s="134"/>
      <c r="N311" s="134"/>
      <c r="O311" s="138"/>
      <c r="P311" s="134"/>
      <c r="Q311" s="138"/>
      <c r="R311" s="140"/>
      <c r="S311" s="134"/>
      <c r="T311" s="134"/>
      <c r="U311" s="134"/>
    </row>
    <row r="312" spans="1:47" x14ac:dyDescent="0.25">
      <c r="A312" s="45" t="s">
        <v>35</v>
      </c>
      <c r="B312" s="45"/>
      <c r="C312" s="44"/>
      <c r="D312" s="44"/>
      <c r="E312" s="45"/>
      <c r="F312" s="44"/>
      <c r="G312" s="44"/>
      <c r="H312" s="43"/>
      <c r="I312" s="43"/>
      <c r="J312" s="43"/>
      <c r="K312" s="44">
        <f>Funktional!G314</f>
        <v>59023.859505874927</v>
      </c>
      <c r="L312" s="44"/>
      <c r="M312" s="43"/>
      <c r="N312" s="43"/>
      <c r="O312" s="44"/>
      <c r="P312" s="43"/>
      <c r="Q312" s="44"/>
      <c r="R312" s="46"/>
      <c r="S312" s="43"/>
      <c r="T312" s="43"/>
      <c r="U312" s="43"/>
    </row>
    <row r="313" spans="1:47" x14ac:dyDescent="0.25">
      <c r="A313" s="45" t="s">
        <v>36</v>
      </c>
      <c r="B313" s="45"/>
      <c r="C313" s="44"/>
      <c r="D313" s="44"/>
      <c r="E313" s="45"/>
      <c r="F313" s="44"/>
      <c r="G313" s="44"/>
      <c r="H313" s="43"/>
      <c r="I313" s="43"/>
      <c r="J313" s="43">
        <f>MAX(J252:J264)</f>
        <v>19564052.550000001</v>
      </c>
      <c r="K313" s="44">
        <f>Funktional!G315</f>
        <v>26239.185145667565</v>
      </c>
      <c r="L313" s="44" t="e">
        <f>MAX(L252:L264)</f>
        <v>#DIV/0!</v>
      </c>
      <c r="M313" s="43"/>
      <c r="N313" s="43">
        <f t="shared" ref="N313:O313" si="141">MAX(N252:N264)</f>
        <v>14412797.68</v>
      </c>
      <c r="O313" s="44" t="e">
        <f t="shared" si="141"/>
        <v>#DIV/0!</v>
      </c>
      <c r="P313" s="43"/>
      <c r="Q313" s="44">
        <f t="shared" ref="Q313:R313" si="142">MAX(Q252:Q264)</f>
        <v>318.36631308873984</v>
      </c>
      <c r="R313" s="46">
        <f t="shared" si="142"/>
        <v>8.7027914614121515E-2</v>
      </c>
      <c r="S313" s="43"/>
      <c r="T313" s="43"/>
      <c r="U313" s="43"/>
    </row>
    <row r="314" spans="1:47" x14ac:dyDescent="0.25">
      <c r="A314" s="45" t="s">
        <v>37</v>
      </c>
      <c r="B314" s="45"/>
      <c r="C314" s="44"/>
      <c r="D314" s="44"/>
      <c r="E314" s="44"/>
      <c r="F314" s="44"/>
      <c r="G314" s="44"/>
      <c r="H314" s="43"/>
      <c r="I314" s="43"/>
      <c r="J314" s="43">
        <f>MAX(J272:J300)</f>
        <v>19247401.59</v>
      </c>
      <c r="K314" s="44">
        <f>Funktional!G316</f>
        <v>27614.636427546629</v>
      </c>
      <c r="L314" s="44" t="e">
        <f>MAX(L272:L300)</f>
        <v>#DIV/0!</v>
      </c>
      <c r="M314" s="43"/>
      <c r="N314" s="43">
        <f t="shared" ref="N314:O314" si="143">MAX(N272:N300)</f>
        <v>55244264.189999998</v>
      </c>
      <c r="O314" s="44" t="e">
        <f t="shared" si="143"/>
        <v>#DIV/0!</v>
      </c>
      <c r="P314" s="43"/>
      <c r="Q314" s="44">
        <f t="shared" ref="Q314:R314" si="144">MAX(Q272:Q300)</f>
        <v>89.309756097560978</v>
      </c>
      <c r="R314" s="46">
        <f t="shared" si="144"/>
        <v>9.5238095238095233E-2</v>
      </c>
      <c r="S314" s="43"/>
      <c r="T314" s="43"/>
      <c r="U314" s="43"/>
    </row>
    <row r="315" spans="1:47" x14ac:dyDescent="0.25">
      <c r="O315" s="10"/>
      <c r="Q315" s="10"/>
      <c r="R315" s="10"/>
    </row>
    <row r="316" spans="1:47" x14ac:dyDescent="0.25">
      <c r="A316" s="5" t="s">
        <v>38</v>
      </c>
      <c r="O316" s="10"/>
      <c r="Q316" s="10"/>
      <c r="R316" s="10"/>
    </row>
    <row r="317" spans="1:47" x14ac:dyDescent="0.25">
      <c r="A317" s="45" t="s">
        <v>34</v>
      </c>
      <c r="B317" s="45"/>
      <c r="C317" s="44"/>
      <c r="D317" s="44"/>
      <c r="E317" s="44"/>
      <c r="F317" s="44"/>
      <c r="G317" s="44"/>
      <c r="H317" s="43"/>
      <c r="I317" s="43"/>
      <c r="J317" s="43"/>
      <c r="K317" s="44"/>
      <c r="L317" s="44"/>
      <c r="M317" s="43"/>
      <c r="N317" s="43"/>
      <c r="O317" s="44"/>
      <c r="P317" s="43"/>
      <c r="Q317" s="44"/>
      <c r="R317" s="46"/>
      <c r="S317" s="43"/>
      <c r="T317" s="43"/>
      <c r="U317" s="43"/>
    </row>
    <row r="318" spans="1:47" ht="14.25" x14ac:dyDescent="0.3">
      <c r="A318" s="133" t="s">
        <v>233</v>
      </c>
      <c r="B318" s="45"/>
      <c r="C318" s="138">
        <f t="shared" ref="C318:D318" si="145">MIN(C130:C251)</f>
        <v>0</v>
      </c>
      <c r="D318" s="138">
        <f t="shared" si="145"/>
        <v>0</v>
      </c>
      <c r="E318" s="44">
        <f t="shared" ref="E318:T318" si="146">MIN(E130:E251)</f>
        <v>1</v>
      </c>
      <c r="F318" s="44">
        <f t="shared" si="146"/>
        <v>0</v>
      </c>
      <c r="G318" s="44">
        <f t="shared" si="146"/>
        <v>0</v>
      </c>
      <c r="H318" s="43">
        <f t="shared" si="146"/>
        <v>0</v>
      </c>
      <c r="I318" s="43">
        <f t="shared" si="146"/>
        <v>0</v>
      </c>
      <c r="J318" s="43">
        <f t="shared" si="146"/>
        <v>0</v>
      </c>
      <c r="K318" s="44">
        <f t="shared" si="146"/>
        <v>0</v>
      </c>
      <c r="L318" s="44" t="e">
        <f t="shared" si="146"/>
        <v>#DIV/0!</v>
      </c>
      <c r="M318" s="43">
        <f t="shared" si="146"/>
        <v>39433.550000000003</v>
      </c>
      <c r="N318" s="43">
        <f t="shared" si="146"/>
        <v>78867.100000000006</v>
      </c>
      <c r="O318" s="44" t="e">
        <f t="shared" si="146"/>
        <v>#DIV/0!</v>
      </c>
      <c r="P318" s="43">
        <f t="shared" si="146"/>
        <v>0</v>
      </c>
      <c r="Q318" s="44" t="e">
        <f t="shared" si="146"/>
        <v>#DIV/0!</v>
      </c>
      <c r="R318" s="46">
        <f t="shared" si="146"/>
        <v>0</v>
      </c>
      <c r="S318" s="43">
        <f t="shared" si="146"/>
        <v>-766210.56000000006</v>
      </c>
      <c r="T318" s="43">
        <f t="shared" si="146"/>
        <v>0</v>
      </c>
      <c r="U318" s="43">
        <f t="shared" ref="U318:AJ318" si="147">MIN(U130:U251)</f>
        <v>-1847.5</v>
      </c>
      <c r="V318" s="4">
        <f t="shared" si="147"/>
        <v>0</v>
      </c>
      <c r="W318" s="4">
        <f t="shared" si="147"/>
        <v>0</v>
      </c>
      <c r="X318" s="4">
        <f t="shared" si="147"/>
        <v>0</v>
      </c>
      <c r="Y318" s="4">
        <f t="shared" si="147"/>
        <v>0</v>
      </c>
      <c r="Z318" s="4">
        <f t="shared" si="147"/>
        <v>0</v>
      </c>
      <c r="AA318" s="4">
        <f t="shared" si="147"/>
        <v>0</v>
      </c>
      <c r="AB318" s="4">
        <f t="shared" si="147"/>
        <v>0</v>
      </c>
      <c r="AC318" s="4">
        <f t="shared" si="147"/>
        <v>0</v>
      </c>
      <c r="AD318" s="4">
        <f t="shared" si="147"/>
        <v>0</v>
      </c>
      <c r="AE318" s="4">
        <f t="shared" si="147"/>
        <v>0</v>
      </c>
      <c r="AF318" s="4">
        <f t="shared" si="147"/>
        <v>0</v>
      </c>
      <c r="AG318" s="4">
        <f t="shared" si="147"/>
        <v>0</v>
      </c>
      <c r="AH318" s="4">
        <f t="shared" si="147"/>
        <v>0</v>
      </c>
      <c r="AI318" s="4">
        <f t="shared" si="147"/>
        <v>0</v>
      </c>
      <c r="AJ318" s="4">
        <f t="shared" si="147"/>
        <v>0</v>
      </c>
      <c r="AK318" s="4">
        <f t="shared" ref="AK318:AU318" si="148">MIN(AK130:AK251)</f>
        <v>0</v>
      </c>
      <c r="AL318" s="4">
        <f t="shared" si="148"/>
        <v>0</v>
      </c>
      <c r="AM318" s="4">
        <f t="shared" si="148"/>
        <v>0</v>
      </c>
      <c r="AN318" s="4">
        <f t="shared" si="148"/>
        <v>0</v>
      </c>
      <c r="AO318" s="4">
        <f t="shared" si="148"/>
        <v>0</v>
      </c>
      <c r="AP318" s="4">
        <f t="shared" si="148"/>
        <v>0</v>
      </c>
      <c r="AQ318" s="4">
        <f t="shared" si="148"/>
        <v>0</v>
      </c>
      <c r="AR318" s="4">
        <f t="shared" si="148"/>
        <v>0</v>
      </c>
      <c r="AS318" s="4">
        <f t="shared" si="148"/>
        <v>0</v>
      </c>
      <c r="AT318" s="4">
        <f t="shared" si="148"/>
        <v>0</v>
      </c>
      <c r="AU318" s="4">
        <f t="shared" si="148"/>
        <v>0</v>
      </c>
    </row>
    <row r="319" spans="1:47" ht="14.25" x14ac:dyDescent="0.3">
      <c r="A319" s="133" t="s">
        <v>233</v>
      </c>
      <c r="B319" s="45"/>
      <c r="C319" s="138">
        <f t="shared" ref="C319:D319" si="149">MIN(C265:C271)</f>
        <v>0</v>
      </c>
      <c r="D319" s="138">
        <f t="shared" si="149"/>
        <v>12</v>
      </c>
      <c r="E319" s="44">
        <f t="shared" ref="E319:T319" si="150">MIN(E265:E271)</f>
        <v>1</v>
      </c>
      <c r="F319" s="44">
        <f t="shared" si="150"/>
        <v>0</v>
      </c>
      <c r="G319" s="44">
        <f t="shared" si="150"/>
        <v>0</v>
      </c>
      <c r="H319" s="43">
        <f t="shared" si="150"/>
        <v>0</v>
      </c>
      <c r="I319" s="43">
        <f t="shared" si="150"/>
        <v>12</v>
      </c>
      <c r="J319" s="43">
        <f t="shared" si="150"/>
        <v>77706.517293068347</v>
      </c>
      <c r="K319" s="44">
        <f t="shared" si="150"/>
        <v>6105.8876795839651</v>
      </c>
      <c r="L319" s="44" t="e">
        <f t="shared" si="150"/>
        <v>#DIV/0!</v>
      </c>
      <c r="M319" s="43">
        <f t="shared" si="150"/>
        <v>457106.45</v>
      </c>
      <c r="N319" s="43">
        <f t="shared" si="150"/>
        <v>435339.48</v>
      </c>
      <c r="O319" s="44" t="e">
        <f t="shared" si="150"/>
        <v>#DIV/0!</v>
      </c>
      <c r="P319" s="43">
        <f t="shared" si="150"/>
        <v>0</v>
      </c>
      <c r="Q319" s="44">
        <f t="shared" si="150"/>
        <v>25.218405103280109</v>
      </c>
      <c r="R319" s="46">
        <f t="shared" si="150"/>
        <v>0</v>
      </c>
      <c r="S319" s="43">
        <f t="shared" si="150"/>
        <v>-290653.90000000002</v>
      </c>
      <c r="T319" s="43">
        <f t="shared" si="150"/>
        <v>0</v>
      </c>
      <c r="U319" s="43">
        <f t="shared" ref="U319:AJ319" si="151">MIN(U265:U271)</f>
        <v>1786</v>
      </c>
      <c r="V319" s="4">
        <f t="shared" si="151"/>
        <v>0</v>
      </c>
      <c r="W319" s="4">
        <f t="shared" si="151"/>
        <v>0</v>
      </c>
      <c r="X319" s="4">
        <f t="shared" si="151"/>
        <v>0</v>
      </c>
      <c r="Y319" s="4">
        <f t="shared" si="151"/>
        <v>0</v>
      </c>
      <c r="Z319" s="4">
        <f t="shared" si="151"/>
        <v>0</v>
      </c>
      <c r="AA319" s="4">
        <f t="shared" si="151"/>
        <v>0</v>
      </c>
      <c r="AB319" s="4">
        <f t="shared" si="151"/>
        <v>0</v>
      </c>
      <c r="AC319" s="4">
        <f t="shared" si="151"/>
        <v>0</v>
      </c>
      <c r="AD319" s="4">
        <f t="shared" si="151"/>
        <v>0</v>
      </c>
      <c r="AE319" s="4">
        <f t="shared" si="151"/>
        <v>0</v>
      </c>
      <c r="AF319" s="4">
        <f t="shared" si="151"/>
        <v>0</v>
      </c>
      <c r="AG319" s="4">
        <f t="shared" si="151"/>
        <v>0</v>
      </c>
      <c r="AH319" s="4">
        <f t="shared" si="151"/>
        <v>0</v>
      </c>
      <c r="AI319" s="4">
        <f t="shared" si="151"/>
        <v>0</v>
      </c>
      <c r="AJ319" s="4">
        <f t="shared" si="151"/>
        <v>0</v>
      </c>
      <c r="AK319" s="4">
        <f t="shared" ref="AK319:AU319" si="152">MIN(AK265:AK271)</f>
        <v>0</v>
      </c>
      <c r="AL319" s="4">
        <f t="shared" si="152"/>
        <v>0</v>
      </c>
      <c r="AM319" s="4">
        <f t="shared" si="152"/>
        <v>0</v>
      </c>
      <c r="AN319" s="4">
        <f t="shared" si="152"/>
        <v>0</v>
      </c>
      <c r="AO319" s="4">
        <f t="shared" si="152"/>
        <v>0</v>
      </c>
      <c r="AP319" s="4">
        <f t="shared" si="152"/>
        <v>0</v>
      </c>
      <c r="AQ319" s="4">
        <f t="shared" si="152"/>
        <v>0</v>
      </c>
      <c r="AR319" s="4">
        <f t="shared" si="152"/>
        <v>0</v>
      </c>
      <c r="AS319" s="4">
        <f t="shared" si="152"/>
        <v>0</v>
      </c>
      <c r="AT319" s="4">
        <f t="shared" si="152"/>
        <v>0</v>
      </c>
      <c r="AU319" s="4">
        <f t="shared" si="152"/>
        <v>0</v>
      </c>
    </row>
    <row r="320" spans="1:47" x14ac:dyDescent="0.25">
      <c r="A320" s="45" t="s">
        <v>35</v>
      </c>
      <c r="B320" s="45"/>
      <c r="C320" s="44">
        <f t="shared" ref="C320:D320" si="153">MIN(C318:C319)</f>
        <v>0</v>
      </c>
      <c r="D320" s="44">
        <f t="shared" si="153"/>
        <v>0</v>
      </c>
      <c r="E320" s="44">
        <f t="shared" ref="E320:T320" si="154">MIN(E318:E319)</f>
        <v>1</v>
      </c>
      <c r="F320" s="44">
        <f t="shared" si="154"/>
        <v>0</v>
      </c>
      <c r="G320" s="44">
        <f t="shared" si="154"/>
        <v>0</v>
      </c>
      <c r="H320" s="43">
        <f t="shared" si="154"/>
        <v>0</v>
      </c>
      <c r="I320" s="43">
        <f t="shared" si="154"/>
        <v>0</v>
      </c>
      <c r="J320" s="43">
        <f t="shared" si="154"/>
        <v>0</v>
      </c>
      <c r="K320" s="44">
        <f t="shared" si="154"/>
        <v>0</v>
      </c>
      <c r="L320" s="44" t="e">
        <f t="shared" si="154"/>
        <v>#DIV/0!</v>
      </c>
      <c r="M320" s="43">
        <f t="shared" si="154"/>
        <v>39433.550000000003</v>
      </c>
      <c r="N320" s="43">
        <f t="shared" si="154"/>
        <v>78867.100000000006</v>
      </c>
      <c r="O320" s="44" t="e">
        <f t="shared" si="154"/>
        <v>#DIV/0!</v>
      </c>
      <c r="P320" s="43">
        <f t="shared" si="154"/>
        <v>0</v>
      </c>
      <c r="Q320" s="44" t="e">
        <f t="shared" si="154"/>
        <v>#DIV/0!</v>
      </c>
      <c r="R320" s="46">
        <f t="shared" si="154"/>
        <v>0</v>
      </c>
      <c r="S320" s="43">
        <f t="shared" si="154"/>
        <v>-766210.56000000006</v>
      </c>
      <c r="T320" s="43">
        <f t="shared" si="154"/>
        <v>0</v>
      </c>
      <c r="U320" s="43">
        <f t="shared" ref="U320:AJ320" si="155">MIN(U318:U319)</f>
        <v>-1847.5</v>
      </c>
      <c r="V320" s="4">
        <f t="shared" si="155"/>
        <v>0</v>
      </c>
      <c r="W320" s="4">
        <f t="shared" si="155"/>
        <v>0</v>
      </c>
      <c r="X320" s="4">
        <f t="shared" si="155"/>
        <v>0</v>
      </c>
      <c r="Y320" s="4">
        <f t="shared" si="155"/>
        <v>0</v>
      </c>
      <c r="Z320" s="4">
        <f t="shared" si="155"/>
        <v>0</v>
      </c>
      <c r="AA320" s="4">
        <f t="shared" si="155"/>
        <v>0</v>
      </c>
      <c r="AB320" s="4">
        <f t="shared" si="155"/>
        <v>0</v>
      </c>
      <c r="AC320" s="4">
        <f t="shared" si="155"/>
        <v>0</v>
      </c>
      <c r="AD320" s="4">
        <f t="shared" si="155"/>
        <v>0</v>
      </c>
      <c r="AE320" s="4">
        <f t="shared" si="155"/>
        <v>0</v>
      </c>
      <c r="AF320" s="4">
        <f t="shared" si="155"/>
        <v>0</v>
      </c>
      <c r="AG320" s="4">
        <f t="shared" si="155"/>
        <v>0</v>
      </c>
      <c r="AH320" s="4">
        <f t="shared" si="155"/>
        <v>0</v>
      </c>
      <c r="AI320" s="4">
        <f t="shared" si="155"/>
        <v>0</v>
      </c>
      <c r="AJ320" s="4">
        <f t="shared" si="155"/>
        <v>0</v>
      </c>
      <c r="AK320" s="4">
        <f t="shared" ref="AK320:AU320" si="156">MIN(AK318:AK319)</f>
        <v>0</v>
      </c>
      <c r="AL320" s="4">
        <f t="shared" si="156"/>
        <v>0</v>
      </c>
      <c r="AM320" s="4">
        <f t="shared" si="156"/>
        <v>0</v>
      </c>
      <c r="AN320" s="4">
        <f t="shared" si="156"/>
        <v>0</v>
      </c>
      <c r="AO320" s="4">
        <f t="shared" si="156"/>
        <v>0</v>
      </c>
      <c r="AP320" s="4">
        <f t="shared" si="156"/>
        <v>0</v>
      </c>
      <c r="AQ320" s="4">
        <f t="shared" si="156"/>
        <v>0</v>
      </c>
      <c r="AR320" s="4">
        <f t="shared" si="156"/>
        <v>0</v>
      </c>
      <c r="AS320" s="4">
        <f t="shared" si="156"/>
        <v>0</v>
      </c>
      <c r="AT320" s="4">
        <f t="shared" si="156"/>
        <v>0</v>
      </c>
      <c r="AU320" s="4">
        <f t="shared" si="156"/>
        <v>0</v>
      </c>
    </row>
    <row r="321" spans="1:21" x14ac:dyDescent="0.25">
      <c r="A321" s="45" t="s">
        <v>36</v>
      </c>
      <c r="B321" s="45"/>
      <c r="C321" s="44"/>
      <c r="D321" s="44"/>
      <c r="E321" s="44"/>
      <c r="F321" s="44"/>
      <c r="G321" s="44"/>
      <c r="H321" s="43"/>
      <c r="I321" s="43"/>
      <c r="J321" s="43"/>
      <c r="K321" s="44"/>
      <c r="L321" s="44"/>
      <c r="M321" s="44"/>
      <c r="N321" s="44"/>
      <c r="O321" s="44"/>
      <c r="P321" s="44"/>
      <c r="Q321" s="44"/>
      <c r="R321" s="46"/>
      <c r="S321" s="44"/>
      <c r="T321" s="44"/>
      <c r="U321" s="44"/>
    </row>
    <row r="322" spans="1:21" x14ac:dyDescent="0.25">
      <c r="A322" s="45" t="s">
        <v>37</v>
      </c>
      <c r="B322" s="45"/>
      <c r="C322" s="44"/>
      <c r="D322" s="44"/>
      <c r="E322" s="44"/>
      <c r="F322" s="44"/>
      <c r="G322" s="44"/>
      <c r="H322" s="43"/>
      <c r="I322" s="43"/>
      <c r="J322" s="43"/>
      <c r="K322" s="44"/>
      <c r="L322" s="44"/>
      <c r="M322" s="43"/>
      <c r="N322" s="43"/>
      <c r="O322" s="44"/>
      <c r="P322" s="43"/>
      <c r="Q322" s="44"/>
      <c r="R322" s="46"/>
      <c r="S322" s="43"/>
      <c r="T322" s="43"/>
      <c r="U322" s="43"/>
    </row>
    <row r="323" spans="1:21" x14ac:dyDescent="0.25">
      <c r="L323"/>
      <c r="R323" s="8"/>
    </row>
    <row r="324" spans="1:21" x14ac:dyDescent="0.25">
      <c r="L324"/>
      <c r="R324" s="8"/>
    </row>
    <row r="325" spans="1:21" x14ac:dyDescent="0.25">
      <c r="L325"/>
      <c r="R325" s="8"/>
    </row>
    <row r="326" spans="1:21" x14ac:dyDescent="0.25">
      <c r="L326"/>
      <c r="R326" s="8"/>
    </row>
    <row r="327" spans="1:21" x14ac:dyDescent="0.25">
      <c r="L327"/>
      <c r="R327" s="8"/>
    </row>
    <row r="328" spans="1:21" x14ac:dyDescent="0.25">
      <c r="L328"/>
      <c r="R328" s="8"/>
    </row>
    <row r="329" spans="1:21" x14ac:dyDescent="0.25">
      <c r="L329"/>
      <c r="R329" s="8"/>
    </row>
    <row r="330" spans="1:21" x14ac:dyDescent="0.25">
      <c r="L330"/>
      <c r="R330" s="8"/>
    </row>
    <row r="331" spans="1:21" x14ac:dyDescent="0.25">
      <c r="L331"/>
      <c r="R331" s="8"/>
    </row>
    <row r="332" spans="1:21" x14ac:dyDescent="0.25">
      <c r="L332"/>
      <c r="R332" s="8"/>
    </row>
    <row r="333" spans="1:21" x14ac:dyDescent="0.25">
      <c r="L333"/>
      <c r="R333" s="8"/>
    </row>
    <row r="334" spans="1:21" x14ac:dyDescent="0.25">
      <c r="L334"/>
      <c r="R334" s="8"/>
    </row>
    <row r="335" spans="1:21" x14ac:dyDescent="0.25">
      <c r="L335"/>
      <c r="R335" s="8"/>
    </row>
    <row r="336" spans="1:21" x14ac:dyDescent="0.25">
      <c r="L336"/>
      <c r="R336" s="8"/>
    </row>
    <row r="337" spans="12:18" x14ac:dyDescent="0.25">
      <c r="L337"/>
      <c r="R337" s="8"/>
    </row>
    <row r="338" spans="12:18" x14ac:dyDescent="0.25">
      <c r="L338"/>
      <c r="R338" s="8"/>
    </row>
    <row r="339" spans="12:18" x14ac:dyDescent="0.25">
      <c r="L339"/>
      <c r="R339" s="8"/>
    </row>
    <row r="340" spans="12:18" x14ac:dyDescent="0.25">
      <c r="L340"/>
      <c r="R340" s="8"/>
    </row>
    <row r="341" spans="12:18" x14ac:dyDescent="0.25">
      <c r="L341"/>
      <c r="R341" s="8"/>
    </row>
    <row r="342" spans="12:18" x14ac:dyDescent="0.25">
      <c r="L342"/>
      <c r="R342" s="8"/>
    </row>
    <row r="343" spans="12:18" x14ac:dyDescent="0.25">
      <c r="L343"/>
      <c r="R343" s="8"/>
    </row>
    <row r="344" spans="12:18" x14ac:dyDescent="0.25">
      <c r="L344"/>
      <c r="R344" s="8"/>
    </row>
    <row r="345" spans="12:18" x14ac:dyDescent="0.25">
      <c r="L345"/>
      <c r="R345" s="8"/>
    </row>
    <row r="346" spans="12:18" x14ac:dyDescent="0.25">
      <c r="L346"/>
      <c r="R346" s="8"/>
    </row>
    <row r="347" spans="12:18" x14ac:dyDescent="0.25">
      <c r="L347"/>
      <c r="R347" s="8"/>
    </row>
    <row r="348" spans="12:18" x14ac:dyDescent="0.25">
      <c r="L348"/>
      <c r="R348" s="8"/>
    </row>
    <row r="349" spans="12:18" x14ac:dyDescent="0.25">
      <c r="L349"/>
      <c r="R349" s="8"/>
    </row>
    <row r="350" spans="12:18" x14ac:dyDescent="0.25">
      <c r="L350"/>
      <c r="R350" s="8"/>
    </row>
    <row r="351" spans="12:18" x14ac:dyDescent="0.25">
      <c r="L351"/>
      <c r="R351" s="8"/>
    </row>
    <row r="352" spans="12:18" x14ac:dyDescent="0.25">
      <c r="L352"/>
      <c r="R352" s="8"/>
    </row>
    <row r="353" spans="12:18" x14ac:dyDescent="0.25">
      <c r="L353"/>
      <c r="R353" s="8"/>
    </row>
    <row r="354" spans="12:18" x14ac:dyDescent="0.25">
      <c r="L354"/>
      <c r="R354" s="8"/>
    </row>
    <row r="355" spans="12:18" x14ac:dyDescent="0.25">
      <c r="L355"/>
      <c r="R355" s="8"/>
    </row>
    <row r="356" spans="12:18" x14ac:dyDescent="0.25">
      <c r="L356"/>
      <c r="R356" s="8"/>
    </row>
    <row r="357" spans="12:18" x14ac:dyDescent="0.25">
      <c r="L357"/>
      <c r="R357" s="8"/>
    </row>
    <row r="358" spans="12:18" x14ac:dyDescent="0.25">
      <c r="L358"/>
      <c r="R358" s="8"/>
    </row>
    <row r="359" spans="12:18" x14ac:dyDescent="0.25">
      <c r="L359"/>
      <c r="R359" s="8"/>
    </row>
    <row r="360" spans="12:18" x14ac:dyDescent="0.25">
      <c r="L360"/>
      <c r="R360" s="8"/>
    </row>
    <row r="361" spans="12:18" x14ac:dyDescent="0.25">
      <c r="L361"/>
      <c r="R361" s="8"/>
    </row>
    <row r="362" spans="12:18" x14ac:dyDescent="0.25">
      <c r="R362" s="8"/>
    </row>
    <row r="363" spans="12:18" x14ac:dyDescent="0.25">
      <c r="R363" s="8"/>
    </row>
    <row r="364" spans="12:18" x14ac:dyDescent="0.25">
      <c r="R364" s="8"/>
    </row>
    <row r="365" spans="12:18" x14ac:dyDescent="0.25">
      <c r="R365" s="8"/>
    </row>
    <row r="366" spans="12:18" x14ac:dyDescent="0.25">
      <c r="R366" s="8"/>
    </row>
    <row r="367" spans="12:18" x14ac:dyDescent="0.25">
      <c r="R367" s="8"/>
    </row>
    <row r="368" spans="12:18" x14ac:dyDescent="0.25">
      <c r="R368" s="8"/>
    </row>
    <row r="369" spans="18:18" x14ac:dyDescent="0.25">
      <c r="R369" s="8"/>
    </row>
    <row r="370" spans="18:18" x14ac:dyDescent="0.25">
      <c r="R370" s="8"/>
    </row>
    <row r="371" spans="18:18" x14ac:dyDescent="0.25">
      <c r="R371" s="8"/>
    </row>
    <row r="372" spans="18:18" x14ac:dyDescent="0.25">
      <c r="R372" s="8"/>
    </row>
    <row r="373" spans="18:18" x14ac:dyDescent="0.25">
      <c r="R373" s="8"/>
    </row>
    <row r="374" spans="18:18" x14ac:dyDescent="0.25">
      <c r="R374" s="8"/>
    </row>
    <row r="375" spans="18:18" x14ac:dyDescent="0.25">
      <c r="R375" s="8"/>
    </row>
    <row r="376" spans="18:18" x14ac:dyDescent="0.25">
      <c r="R376" s="8"/>
    </row>
    <row r="377" spans="18:18" x14ac:dyDescent="0.25">
      <c r="R377" s="8"/>
    </row>
    <row r="378" spans="18:18" x14ac:dyDescent="0.25">
      <c r="R378" s="8"/>
    </row>
    <row r="379" spans="18:18" x14ac:dyDescent="0.25">
      <c r="R379" s="8"/>
    </row>
    <row r="380" spans="18:18" x14ac:dyDescent="0.25">
      <c r="R380" s="8"/>
    </row>
    <row r="381" spans="18:18" x14ac:dyDescent="0.25">
      <c r="R381" s="8"/>
    </row>
    <row r="382" spans="18:18" x14ac:dyDescent="0.25">
      <c r="R382" s="8"/>
    </row>
    <row r="383" spans="18:18" x14ac:dyDescent="0.25">
      <c r="R383" s="8"/>
    </row>
    <row r="384" spans="18:18" x14ac:dyDescent="0.25">
      <c r="R384" s="8"/>
    </row>
    <row r="385" spans="18:18" x14ac:dyDescent="0.25">
      <c r="R385" s="8"/>
    </row>
    <row r="386" spans="18:18" x14ac:dyDescent="0.25">
      <c r="R386" s="8"/>
    </row>
    <row r="387" spans="18:18" x14ac:dyDescent="0.25">
      <c r="R387" s="8"/>
    </row>
    <row r="388" spans="18:18" x14ac:dyDescent="0.25">
      <c r="R388" s="8"/>
    </row>
    <row r="389" spans="18:18" x14ac:dyDescent="0.25">
      <c r="R389" s="8"/>
    </row>
    <row r="390" spans="18:18" x14ac:dyDescent="0.25">
      <c r="R390" s="8"/>
    </row>
    <row r="391" spans="18:18" x14ac:dyDescent="0.25">
      <c r="R391" s="8"/>
    </row>
    <row r="392" spans="18:18" x14ac:dyDescent="0.25">
      <c r="R392" s="8"/>
    </row>
    <row r="393" spans="18:18" x14ac:dyDescent="0.25">
      <c r="R393" s="8"/>
    </row>
    <row r="394" spans="18:18" x14ac:dyDescent="0.25">
      <c r="R394" s="8"/>
    </row>
    <row r="395" spans="18:18" x14ac:dyDescent="0.25">
      <c r="R395" s="8"/>
    </row>
    <row r="396" spans="18:18" x14ac:dyDescent="0.25">
      <c r="R396" s="8"/>
    </row>
    <row r="397" spans="18:18" x14ac:dyDescent="0.25">
      <c r="R397" s="8"/>
    </row>
    <row r="398" spans="18:18" x14ac:dyDescent="0.25">
      <c r="R398" s="8"/>
    </row>
    <row r="399" spans="18:18" x14ac:dyDescent="0.25">
      <c r="R399" s="8"/>
    </row>
    <row r="400" spans="18:18" x14ac:dyDescent="0.25">
      <c r="R400" s="8"/>
    </row>
    <row r="401" spans="18:18" x14ac:dyDescent="0.25">
      <c r="R401" s="8"/>
    </row>
    <row r="402" spans="18:18" x14ac:dyDescent="0.25">
      <c r="R402" s="8"/>
    </row>
    <row r="403" spans="18:18" x14ac:dyDescent="0.25">
      <c r="R403" s="8"/>
    </row>
    <row r="404" spans="18:18" x14ac:dyDescent="0.25">
      <c r="R404" s="8"/>
    </row>
    <row r="405" spans="18:18" x14ac:dyDescent="0.25">
      <c r="R405" s="8"/>
    </row>
    <row r="406" spans="18:18" x14ac:dyDescent="0.25">
      <c r="R406" s="8"/>
    </row>
    <row r="407" spans="18:18" x14ac:dyDescent="0.25">
      <c r="R407" s="8"/>
    </row>
    <row r="408" spans="18:18" x14ac:dyDescent="0.25">
      <c r="R408" s="8"/>
    </row>
    <row r="409" spans="18:18" x14ac:dyDescent="0.25">
      <c r="R409" s="8"/>
    </row>
    <row r="410" spans="18:18" x14ac:dyDescent="0.25">
      <c r="R410" s="8"/>
    </row>
    <row r="411" spans="18:18" x14ac:dyDescent="0.25">
      <c r="R411" s="8"/>
    </row>
    <row r="412" spans="18:18" x14ac:dyDescent="0.25">
      <c r="R412" s="8"/>
    </row>
    <row r="413" spans="18:18" x14ac:dyDescent="0.25">
      <c r="R413" s="8"/>
    </row>
    <row r="414" spans="18:18" x14ac:dyDescent="0.25">
      <c r="R414" s="8"/>
    </row>
    <row r="415" spans="18:18" x14ac:dyDescent="0.25">
      <c r="R415" s="8"/>
    </row>
    <row r="416" spans="18:18" x14ac:dyDescent="0.25">
      <c r="R416" s="8"/>
    </row>
    <row r="417" spans="18:18" x14ac:dyDescent="0.25">
      <c r="R417" s="8"/>
    </row>
    <row r="418" spans="18:18" x14ac:dyDescent="0.25">
      <c r="R418" s="8"/>
    </row>
    <row r="419" spans="18:18" x14ac:dyDescent="0.25">
      <c r="R419" s="8"/>
    </row>
    <row r="420" spans="18:18" x14ac:dyDescent="0.25">
      <c r="R420" s="8"/>
    </row>
    <row r="421" spans="18:18" x14ac:dyDescent="0.25">
      <c r="R421" s="8"/>
    </row>
    <row r="422" spans="18:18" x14ac:dyDescent="0.25">
      <c r="R422" s="8"/>
    </row>
    <row r="423" spans="18:18" x14ac:dyDescent="0.25">
      <c r="R423" s="8"/>
    </row>
    <row r="424" spans="18:18" x14ac:dyDescent="0.25">
      <c r="R424" s="8"/>
    </row>
    <row r="425" spans="18:18" x14ac:dyDescent="0.25">
      <c r="R425" s="8"/>
    </row>
    <row r="426" spans="18:18" x14ac:dyDescent="0.25">
      <c r="R426" s="8"/>
    </row>
    <row r="427" spans="18:18" x14ac:dyDescent="0.25">
      <c r="R427" s="8"/>
    </row>
    <row r="428" spans="18:18" x14ac:dyDescent="0.25">
      <c r="R428" s="8"/>
    </row>
    <row r="429" spans="18:18" x14ac:dyDescent="0.25">
      <c r="R429" s="8"/>
    </row>
    <row r="430" spans="18:18" x14ac:dyDescent="0.25">
      <c r="R430" s="8"/>
    </row>
    <row r="431" spans="18:18" x14ac:dyDescent="0.25">
      <c r="R431" s="8"/>
    </row>
    <row r="432" spans="18:18" x14ac:dyDescent="0.25">
      <c r="R432" s="8"/>
    </row>
    <row r="433" spans="18:18" x14ac:dyDescent="0.25">
      <c r="R433" s="8"/>
    </row>
    <row r="434" spans="18:18" x14ac:dyDescent="0.25">
      <c r="R434" s="8"/>
    </row>
    <row r="435" spans="18:18" x14ac:dyDescent="0.25">
      <c r="R435" s="8"/>
    </row>
    <row r="436" spans="18:18" x14ac:dyDescent="0.25">
      <c r="R436" s="8"/>
    </row>
    <row r="437" spans="18:18" x14ac:dyDescent="0.25">
      <c r="R437" s="8"/>
    </row>
    <row r="438" spans="18:18" x14ac:dyDescent="0.25">
      <c r="R438" s="8"/>
    </row>
    <row r="439" spans="18:18" x14ac:dyDescent="0.25">
      <c r="R439" s="8"/>
    </row>
    <row r="440" spans="18:18" x14ac:dyDescent="0.25">
      <c r="R440" s="8"/>
    </row>
    <row r="441" spans="18:18" x14ac:dyDescent="0.25">
      <c r="R441" s="8"/>
    </row>
    <row r="442" spans="18:18" x14ac:dyDescent="0.25">
      <c r="R442" s="8"/>
    </row>
    <row r="443" spans="18:18" x14ac:dyDescent="0.25">
      <c r="R443" s="8"/>
    </row>
    <row r="444" spans="18:18" x14ac:dyDescent="0.25">
      <c r="R444" s="8"/>
    </row>
    <row r="445" spans="18:18" x14ac:dyDescent="0.25">
      <c r="R445" s="8"/>
    </row>
    <row r="446" spans="18:18" x14ac:dyDescent="0.25">
      <c r="R446" s="8"/>
    </row>
    <row r="447" spans="18:18" x14ac:dyDescent="0.25">
      <c r="R447" s="8"/>
    </row>
    <row r="448" spans="18:18" x14ac:dyDescent="0.25">
      <c r="R448" s="8"/>
    </row>
    <row r="449" spans="18:18" x14ac:dyDescent="0.25">
      <c r="R449" s="8"/>
    </row>
    <row r="450" spans="18:18" x14ac:dyDescent="0.25">
      <c r="R450" s="8"/>
    </row>
    <row r="451" spans="18:18" x14ac:dyDescent="0.25">
      <c r="R451" s="8"/>
    </row>
    <row r="452" spans="18:18" x14ac:dyDescent="0.25">
      <c r="R452" s="8"/>
    </row>
    <row r="453" spans="18:18" x14ac:dyDescent="0.25">
      <c r="R453" s="8"/>
    </row>
    <row r="454" spans="18:18" x14ac:dyDescent="0.25">
      <c r="R454" s="8"/>
    </row>
    <row r="455" spans="18:18" x14ac:dyDescent="0.25">
      <c r="R455" s="8"/>
    </row>
    <row r="456" spans="18:18" x14ac:dyDescent="0.25">
      <c r="R456" s="8"/>
    </row>
    <row r="457" spans="18:18" x14ac:dyDescent="0.25">
      <c r="R457" s="8"/>
    </row>
    <row r="458" spans="18:18" x14ac:dyDescent="0.25">
      <c r="R458" s="8"/>
    </row>
    <row r="459" spans="18:18" x14ac:dyDescent="0.25">
      <c r="R459" s="8"/>
    </row>
    <row r="460" spans="18:18" x14ac:dyDescent="0.25">
      <c r="R460" s="8"/>
    </row>
    <row r="461" spans="18:18" x14ac:dyDescent="0.25">
      <c r="R461" s="8"/>
    </row>
    <row r="462" spans="18:18" x14ac:dyDescent="0.25">
      <c r="R462" s="8"/>
    </row>
    <row r="463" spans="18:18" x14ac:dyDescent="0.25">
      <c r="R463" s="8"/>
    </row>
    <row r="464" spans="18:18" x14ac:dyDescent="0.25">
      <c r="R464" s="8"/>
    </row>
    <row r="465" spans="18:18" x14ac:dyDescent="0.25">
      <c r="R465" s="8"/>
    </row>
    <row r="466" spans="18:18" x14ac:dyDescent="0.25">
      <c r="R466" s="8"/>
    </row>
    <row r="467" spans="18:18" x14ac:dyDescent="0.25">
      <c r="R467" s="8"/>
    </row>
    <row r="468" spans="18:18" x14ac:dyDescent="0.25">
      <c r="R468" s="8"/>
    </row>
    <row r="469" spans="18:18" x14ac:dyDescent="0.25">
      <c r="R469" s="8"/>
    </row>
    <row r="470" spans="18:18" x14ac:dyDescent="0.25">
      <c r="R470" s="8"/>
    </row>
    <row r="471" spans="18:18" x14ac:dyDescent="0.25">
      <c r="R471" s="8"/>
    </row>
    <row r="472" spans="18:18" x14ac:dyDescent="0.25">
      <c r="R472" s="8"/>
    </row>
    <row r="473" spans="18:18" x14ac:dyDescent="0.25">
      <c r="R473" s="8"/>
    </row>
    <row r="474" spans="18:18" x14ac:dyDescent="0.25">
      <c r="R474" s="8"/>
    </row>
    <row r="475" spans="18:18" x14ac:dyDescent="0.25">
      <c r="R475" s="8"/>
    </row>
    <row r="476" spans="18:18" x14ac:dyDescent="0.25">
      <c r="R476" s="8"/>
    </row>
    <row r="477" spans="18:18" x14ac:dyDescent="0.25">
      <c r="R477" s="8"/>
    </row>
    <row r="478" spans="18:18" x14ac:dyDescent="0.25">
      <c r="R478" s="8"/>
    </row>
    <row r="479" spans="18:18" x14ac:dyDescent="0.25">
      <c r="R479" s="8"/>
    </row>
    <row r="480" spans="18:18" x14ac:dyDescent="0.25">
      <c r="R480" s="8"/>
    </row>
    <row r="481" spans="18:18" x14ac:dyDescent="0.25">
      <c r="R481" s="8"/>
    </row>
    <row r="482" spans="18:18" x14ac:dyDescent="0.25">
      <c r="R482" s="8"/>
    </row>
    <row r="483" spans="18:18" x14ac:dyDescent="0.25">
      <c r="R483" s="8"/>
    </row>
    <row r="484" spans="18:18" x14ac:dyDescent="0.25">
      <c r="R484" s="8"/>
    </row>
    <row r="485" spans="18:18" x14ac:dyDescent="0.25">
      <c r="R485" s="8"/>
    </row>
    <row r="486" spans="18:18" x14ac:dyDescent="0.25">
      <c r="R486" s="8"/>
    </row>
    <row r="487" spans="18:18" x14ac:dyDescent="0.25">
      <c r="R487" s="8"/>
    </row>
    <row r="488" spans="18:18" x14ac:dyDescent="0.25">
      <c r="R488" s="8"/>
    </row>
    <row r="489" spans="18:18" x14ac:dyDescent="0.25">
      <c r="R489" s="8"/>
    </row>
    <row r="490" spans="18:18" x14ac:dyDescent="0.25">
      <c r="R490" s="8"/>
    </row>
    <row r="491" spans="18:18" x14ac:dyDescent="0.25">
      <c r="R491" s="8"/>
    </row>
    <row r="492" spans="18:18" x14ac:dyDescent="0.25">
      <c r="R492" s="8"/>
    </row>
    <row r="493" spans="18:18" x14ac:dyDescent="0.25">
      <c r="R493" s="8"/>
    </row>
    <row r="494" spans="18:18" x14ac:dyDescent="0.25">
      <c r="R494" s="8"/>
    </row>
    <row r="495" spans="18:18" x14ac:dyDescent="0.25">
      <c r="R495" s="8"/>
    </row>
    <row r="496" spans="18:18" x14ac:dyDescent="0.25">
      <c r="R496" s="8"/>
    </row>
    <row r="497" spans="18:18" x14ac:dyDescent="0.25">
      <c r="R497" s="8"/>
    </row>
    <row r="498" spans="18:18" x14ac:dyDescent="0.25">
      <c r="R498" s="8"/>
    </row>
    <row r="499" spans="18:18" x14ac:dyDescent="0.25">
      <c r="R499" s="8"/>
    </row>
    <row r="500" spans="18:18" x14ac:dyDescent="0.25">
      <c r="R500" s="8"/>
    </row>
    <row r="501" spans="18:18" x14ac:dyDescent="0.25">
      <c r="R501" s="8"/>
    </row>
    <row r="502" spans="18:18" x14ac:dyDescent="0.25">
      <c r="R502" s="8"/>
    </row>
    <row r="503" spans="18:18" x14ac:dyDescent="0.25">
      <c r="R503" s="8"/>
    </row>
    <row r="504" spans="18:18" x14ac:dyDescent="0.25">
      <c r="R504" s="8"/>
    </row>
    <row r="505" spans="18:18" x14ac:dyDescent="0.25">
      <c r="R505" s="8"/>
    </row>
    <row r="506" spans="18:18" x14ac:dyDescent="0.25">
      <c r="R506" s="8"/>
    </row>
    <row r="507" spans="18:18" x14ac:dyDescent="0.25">
      <c r="R507" s="8"/>
    </row>
    <row r="508" spans="18:18" x14ac:dyDescent="0.25">
      <c r="R508" s="8"/>
    </row>
    <row r="509" spans="18:18" x14ac:dyDescent="0.25">
      <c r="R509" s="8"/>
    </row>
    <row r="510" spans="18:18" x14ac:dyDescent="0.25">
      <c r="R510" s="8"/>
    </row>
    <row r="511" spans="18:18" x14ac:dyDescent="0.25">
      <c r="R511" s="8"/>
    </row>
    <row r="512" spans="18:18" x14ac:dyDescent="0.25">
      <c r="R512" s="8"/>
    </row>
    <row r="513" spans="18:18" x14ac:dyDescent="0.25">
      <c r="R513" s="8"/>
    </row>
    <row r="514" spans="18:18" x14ac:dyDescent="0.25">
      <c r="R514" s="8"/>
    </row>
    <row r="515" spans="18:18" x14ac:dyDescent="0.25">
      <c r="R515" s="8"/>
    </row>
    <row r="516" spans="18:18" x14ac:dyDescent="0.25">
      <c r="R516" s="8"/>
    </row>
    <row r="517" spans="18:18" x14ac:dyDescent="0.25">
      <c r="R517" s="8"/>
    </row>
    <row r="518" spans="18:18" x14ac:dyDescent="0.25">
      <c r="R518" s="8"/>
    </row>
    <row r="519" spans="18:18" x14ac:dyDescent="0.25">
      <c r="R519" s="8"/>
    </row>
    <row r="520" spans="18:18" x14ac:dyDescent="0.25">
      <c r="R520" s="8"/>
    </row>
    <row r="521" spans="18:18" x14ac:dyDescent="0.25">
      <c r="R521" s="8"/>
    </row>
    <row r="522" spans="18:18" x14ac:dyDescent="0.25">
      <c r="R522" s="8"/>
    </row>
    <row r="523" spans="18:18" x14ac:dyDescent="0.25">
      <c r="R523" s="8"/>
    </row>
    <row r="524" spans="18:18" x14ac:dyDescent="0.25">
      <c r="R524" s="8"/>
    </row>
    <row r="525" spans="18:18" x14ac:dyDescent="0.25">
      <c r="R525" s="8"/>
    </row>
    <row r="526" spans="18:18" x14ac:dyDescent="0.25">
      <c r="R526" s="8"/>
    </row>
    <row r="527" spans="18:18" x14ac:dyDescent="0.25">
      <c r="R527" s="8"/>
    </row>
    <row r="528" spans="18:18" x14ac:dyDescent="0.25">
      <c r="R528" s="8"/>
    </row>
    <row r="529" spans="18:18" x14ac:dyDescent="0.25">
      <c r="R529" s="8"/>
    </row>
    <row r="530" spans="18:18" x14ac:dyDescent="0.25">
      <c r="R530" s="8"/>
    </row>
    <row r="531" spans="18:18" x14ac:dyDescent="0.25">
      <c r="R531" s="8"/>
    </row>
    <row r="532" spans="18:18" x14ac:dyDescent="0.25">
      <c r="R532" s="8"/>
    </row>
    <row r="533" spans="18:18" x14ac:dyDescent="0.25">
      <c r="R533" s="8"/>
    </row>
    <row r="534" spans="18:18" x14ac:dyDescent="0.25">
      <c r="R534" s="8"/>
    </row>
    <row r="535" spans="18:18" x14ac:dyDescent="0.25">
      <c r="R535" s="8"/>
    </row>
    <row r="536" spans="18:18" x14ac:dyDescent="0.25">
      <c r="R536" s="8"/>
    </row>
    <row r="537" spans="18:18" x14ac:dyDescent="0.25">
      <c r="R537" s="8"/>
    </row>
    <row r="538" spans="18:18" x14ac:dyDescent="0.25">
      <c r="R538" s="8"/>
    </row>
    <row r="539" spans="18:18" x14ac:dyDescent="0.25">
      <c r="R539" s="8"/>
    </row>
    <row r="540" spans="18:18" x14ac:dyDescent="0.25">
      <c r="R540" s="8"/>
    </row>
    <row r="541" spans="18:18" x14ac:dyDescent="0.25">
      <c r="R541" s="8"/>
    </row>
    <row r="542" spans="18:18" x14ac:dyDescent="0.25">
      <c r="R542" s="8"/>
    </row>
    <row r="543" spans="18:18" x14ac:dyDescent="0.25">
      <c r="R543" s="8"/>
    </row>
    <row r="544" spans="18:18" x14ac:dyDescent="0.25">
      <c r="R544" s="8"/>
    </row>
    <row r="545" spans="18:18" x14ac:dyDescent="0.25">
      <c r="R545" s="8"/>
    </row>
    <row r="546" spans="18:18" x14ac:dyDescent="0.25">
      <c r="R546" s="8"/>
    </row>
    <row r="547" spans="18:18" x14ac:dyDescent="0.25">
      <c r="R547" s="8"/>
    </row>
    <row r="548" spans="18:18" x14ac:dyDescent="0.25">
      <c r="R548" s="8"/>
    </row>
  </sheetData>
  <sheetProtection password="D1CE" sheet="1" objects="1" scenarios="1"/>
  <printOptions horizontalCentered="1"/>
  <pageMargins left="0.19685039370078741" right="0.19685039370078741" top="0.39370078740157483" bottom="0.39370078740157483" header="0.19685039370078741" footer="0.19685039370078741"/>
  <pageSetup paperSize="9" scale="80" fitToHeight="4" orientation="portrait" horizontalDpi="4294967292" r:id="rId1"/>
  <headerFooter alignWithMargins="0">
    <oddHeader>&amp;R&amp;F/&amp;A</oddHeader>
  </headerFooter>
  <rowBreaks count="1" manualBreakCount="1">
    <brk id="300" max="65535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393"/>
  <sheetViews>
    <sheetView workbookViewId="0">
      <pane xSplit="2" ySplit="7" topLeftCell="C8" activePane="bottomRight" state="frozen"/>
      <selection pane="topRight"/>
      <selection pane="bottomLeft"/>
      <selection pane="bottomRight" activeCell="C14" sqref="C14"/>
    </sheetView>
  </sheetViews>
  <sheetFormatPr baseColWidth="10" defaultColWidth="0" defaultRowHeight="13.5" x14ac:dyDescent="0.25"/>
  <cols>
    <col min="1" max="1" width="24.7109375" style="4" customWidth="1"/>
    <col min="2" max="2" width="5.7109375" style="4" customWidth="1"/>
    <col min="3" max="3" width="9.7109375" style="16" customWidth="1"/>
    <col min="4" max="4" width="9.28515625" style="16" customWidth="1"/>
    <col min="5" max="5" width="13.28515625" style="25" customWidth="1"/>
    <col min="6" max="6" width="11.140625" style="25" customWidth="1"/>
    <col min="7" max="7" width="12.140625" style="25" customWidth="1"/>
    <col min="8" max="8" width="13.28515625" style="25" customWidth="1"/>
    <col min="9" max="9" width="9.7109375" style="16" customWidth="1"/>
    <col min="10" max="11" width="10.28515625" style="25" customWidth="1"/>
    <col min="12" max="12" width="8.140625" style="16" customWidth="1"/>
    <col min="13" max="13" width="7.28515625" style="25" customWidth="1"/>
    <col min="14" max="14" width="8.42578125" style="25" customWidth="1"/>
    <col min="15" max="15" width="8.140625" style="4" customWidth="1"/>
    <col min="16" max="16" width="9.85546875" style="25" hidden="1"/>
    <col min="17" max="17" width="8.42578125" style="25" hidden="1"/>
    <col min="18" max="18" width="8.85546875" style="25" hidden="1"/>
    <col min="19" max="19" width="9.28515625" style="25" hidden="1"/>
    <col min="20" max="20" width="10.140625" style="25" hidden="1"/>
    <col min="21" max="21" width="8.28515625" style="25" hidden="1"/>
    <col min="22" max="22" width="8.42578125" style="25" hidden="1"/>
    <col min="23" max="23" width="8.85546875" style="25" hidden="1"/>
    <col min="24" max="24" width="8.7109375" style="25" hidden="1"/>
    <col min="25" max="84" width="11.42578125" style="110" hidden="1"/>
    <col min="85" max="16384" width="11.42578125" style="4" hidden="1"/>
  </cols>
  <sheetData>
    <row r="1" spans="1:84" ht="38.450000000000003" customHeight="1" x14ac:dyDescent="0.25">
      <c r="A1" s="3" t="s">
        <v>47</v>
      </c>
      <c r="B1" s="3"/>
      <c r="O1" s="10"/>
      <c r="S1" s="50"/>
      <c r="W1"/>
    </row>
    <row r="2" spans="1:84" x14ac:dyDescent="0.25">
      <c r="A2" s="418" t="s">
        <v>291</v>
      </c>
      <c r="B2" s="5"/>
      <c r="O2" s="10"/>
    </row>
    <row r="3" spans="1:84" x14ac:dyDescent="0.25">
      <c r="O3" s="10"/>
    </row>
    <row r="4" spans="1:84" x14ac:dyDescent="0.25">
      <c r="A4" s="71"/>
      <c r="C4" s="417"/>
      <c r="D4" s="417"/>
      <c r="E4" s="39"/>
      <c r="F4" s="39"/>
      <c r="G4" s="30"/>
      <c r="H4" s="30"/>
      <c r="O4" s="10"/>
    </row>
    <row r="5" spans="1:84" ht="62.45" customHeight="1" x14ac:dyDescent="0.25">
      <c r="A5" s="51" t="s">
        <v>2</v>
      </c>
      <c r="B5" s="51"/>
      <c r="C5" s="66" t="s">
        <v>22</v>
      </c>
      <c r="D5" s="66" t="s">
        <v>23</v>
      </c>
      <c r="E5" s="52" t="s">
        <v>292</v>
      </c>
      <c r="F5" s="52" t="s">
        <v>293</v>
      </c>
      <c r="G5" s="52" t="s">
        <v>294</v>
      </c>
      <c r="H5" s="52" t="s">
        <v>295</v>
      </c>
      <c r="I5" s="66" t="s">
        <v>296</v>
      </c>
      <c r="J5" s="24" t="s">
        <v>297</v>
      </c>
      <c r="K5" s="78" t="s">
        <v>298</v>
      </c>
      <c r="L5" s="54"/>
      <c r="M5" s="55"/>
      <c r="N5" s="55"/>
      <c r="O5" s="65"/>
      <c r="P5" s="78" t="s">
        <v>299</v>
      </c>
      <c r="Q5" s="33"/>
      <c r="R5" s="33"/>
      <c r="S5" s="33"/>
      <c r="T5" s="33"/>
      <c r="U5" s="33"/>
      <c r="V5" s="33"/>
      <c r="W5" s="33"/>
      <c r="X5" s="55"/>
    </row>
    <row r="6" spans="1:84" s="71" customFormat="1" ht="13.9" hidden="1" customHeight="1" x14ac:dyDescent="0.25">
      <c r="A6" s="67"/>
      <c r="B6" s="67"/>
      <c r="C6" s="334">
        <v>2.2000000000000002</v>
      </c>
      <c r="D6" s="334">
        <v>2.2000000000000002</v>
      </c>
      <c r="E6" s="68"/>
      <c r="F6" s="330">
        <v>1.2</v>
      </c>
      <c r="G6" s="330">
        <v>1.1000000000000001</v>
      </c>
      <c r="H6" s="330">
        <v>4.3</v>
      </c>
      <c r="I6" s="69"/>
      <c r="J6" s="108"/>
      <c r="K6" s="144"/>
      <c r="L6" s="59"/>
      <c r="M6" s="335" t="s">
        <v>300</v>
      </c>
      <c r="N6" s="40" t="s">
        <v>300</v>
      </c>
      <c r="O6" s="105" t="s">
        <v>300</v>
      </c>
      <c r="P6" s="336" t="s">
        <v>301</v>
      </c>
      <c r="Q6" s="322"/>
      <c r="R6" s="322"/>
      <c r="S6" s="40"/>
      <c r="T6" s="322" t="s">
        <v>302</v>
      </c>
      <c r="U6" s="322"/>
      <c r="V6" s="322"/>
      <c r="W6" s="39"/>
      <c r="X6" s="40"/>
      <c r="Y6" s="111"/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11"/>
      <c r="AL6" s="111"/>
      <c r="AM6" s="111"/>
      <c r="AN6" s="111"/>
      <c r="AO6" s="111"/>
      <c r="AP6" s="111"/>
      <c r="AQ6" s="111"/>
      <c r="AR6" s="111"/>
      <c r="AS6" s="111"/>
      <c r="AT6" s="111"/>
      <c r="AU6" s="111"/>
      <c r="AV6" s="111"/>
      <c r="AW6" s="111"/>
      <c r="AX6" s="111"/>
      <c r="AY6" s="111"/>
      <c r="AZ6" s="111"/>
      <c r="BA6" s="111"/>
      <c r="BB6" s="111"/>
      <c r="BC6" s="111"/>
      <c r="BD6" s="111"/>
      <c r="BE6" s="111"/>
      <c r="BF6" s="111"/>
      <c r="BG6" s="111"/>
      <c r="BH6" s="111"/>
      <c r="BI6" s="111"/>
      <c r="BJ6" s="111"/>
      <c r="BK6" s="111"/>
      <c r="BL6" s="111"/>
      <c r="BM6" s="111"/>
      <c r="BN6" s="111"/>
      <c r="BO6" s="111"/>
      <c r="BP6" s="111"/>
      <c r="BQ6" s="111"/>
      <c r="BR6" s="111"/>
      <c r="BS6" s="111"/>
      <c r="BT6" s="111"/>
      <c r="BU6" s="111"/>
      <c r="BV6" s="111"/>
      <c r="BW6" s="111"/>
      <c r="BX6" s="111"/>
      <c r="BY6" s="111"/>
      <c r="BZ6" s="111"/>
      <c r="CA6" s="111"/>
      <c r="CB6" s="111"/>
      <c r="CC6" s="111"/>
      <c r="CD6" s="111"/>
      <c r="CE6" s="111"/>
      <c r="CF6" s="111"/>
    </row>
    <row r="7" spans="1:84" x14ac:dyDescent="0.25">
      <c r="A7" s="7"/>
      <c r="B7" s="7"/>
      <c r="C7" s="17"/>
      <c r="D7" s="17"/>
      <c r="E7" s="26"/>
      <c r="I7" s="17"/>
      <c r="J7" s="109" t="s">
        <v>303</v>
      </c>
      <c r="K7" s="109" t="s">
        <v>303</v>
      </c>
      <c r="L7" s="104" t="s">
        <v>27</v>
      </c>
      <c r="M7" s="40" t="s">
        <v>304</v>
      </c>
      <c r="N7" s="26" t="s">
        <v>305</v>
      </c>
      <c r="O7" s="106" t="s">
        <v>81</v>
      </c>
      <c r="P7" s="108" t="s">
        <v>306</v>
      </c>
      <c r="Q7" s="40" t="s">
        <v>307</v>
      </c>
      <c r="R7" s="40" t="s">
        <v>308</v>
      </c>
      <c r="S7" s="26" t="s">
        <v>85</v>
      </c>
      <c r="T7" s="40" t="s">
        <v>306</v>
      </c>
      <c r="U7" s="40" t="s">
        <v>307</v>
      </c>
      <c r="V7" s="40" t="s">
        <v>308</v>
      </c>
      <c r="W7" s="40" t="s">
        <v>85</v>
      </c>
      <c r="X7" s="40" t="s">
        <v>309</v>
      </c>
    </row>
    <row r="8" spans="1:84" s="45" customFormat="1" ht="20.45" customHeight="1" x14ac:dyDescent="0.25">
      <c r="A8" t="str">
        <f>Funktional!A8</f>
        <v>Aadorf</v>
      </c>
      <c r="B8" t="str">
        <f>Funktional!B8</f>
        <v>PSG</v>
      </c>
      <c r="C8">
        <v>0.218</v>
      </c>
      <c r="D8">
        <v>0.1026</v>
      </c>
      <c r="E8" s="26">
        <f>F8+G8</f>
        <v>10596413.99</v>
      </c>
      <c r="F8">
        <v>8551824.25</v>
      </c>
      <c r="G8">
        <v>2044589.74</v>
      </c>
      <c r="H8">
        <v>156907.1</v>
      </c>
      <c r="I8" s="42">
        <f>H8/E8</f>
        <v>1.4807566045274908E-2</v>
      </c>
      <c r="J8" s="80">
        <f>S8+W8+X8</f>
        <v>88350</v>
      </c>
      <c r="K8" s="43">
        <f>J8*'KiGa - PS'!L9</f>
        <v>75764.086693862468</v>
      </c>
      <c r="L8" s="42">
        <f>K8/Funktional!E8</f>
        <v>1.7919730038770041E-2</v>
      </c>
      <c r="M8">
        <v>60</v>
      </c>
      <c r="N8" s="43">
        <f>K8/Funktional!C8</f>
        <v>4888.0055931524175</v>
      </c>
      <c r="O8" s="44">
        <f>K8/Funktional!D8</f>
        <v>234.56373589431104</v>
      </c>
      <c r="P8">
        <v>13080</v>
      </c>
      <c r="Q8">
        <v>3000</v>
      </c>
      <c r="R8">
        <v>4800</v>
      </c>
      <c r="S8" s="43">
        <f>P8+Q8+R8</f>
        <v>20880</v>
      </c>
      <c r="T8">
        <v>36680</v>
      </c>
      <c r="U8">
        <v>3480</v>
      </c>
      <c r="V8">
        <v>12760</v>
      </c>
      <c r="W8" s="43">
        <f>T8+U8+V8</f>
        <v>52920</v>
      </c>
      <c r="X8">
        <v>14550</v>
      </c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0"/>
      <c r="BA8" s="110"/>
      <c r="BB8" s="110"/>
      <c r="BC8" s="110"/>
      <c r="BD8" s="110"/>
      <c r="BE8" s="110"/>
      <c r="BF8" s="110"/>
      <c r="BG8" s="110"/>
      <c r="BH8" s="110"/>
      <c r="BI8" s="110"/>
      <c r="BJ8" s="110"/>
      <c r="BK8" s="110"/>
      <c r="BL8" s="110"/>
      <c r="BM8" s="110"/>
      <c r="BN8" s="110"/>
      <c r="BO8" s="110"/>
      <c r="BP8" s="110"/>
      <c r="BQ8" s="110"/>
      <c r="BR8" s="110"/>
      <c r="BS8" s="110"/>
      <c r="BT8" s="110"/>
      <c r="BU8" s="110"/>
      <c r="BV8" s="110"/>
      <c r="BW8" s="110"/>
      <c r="BX8" s="110"/>
      <c r="BY8" s="110"/>
      <c r="BZ8" s="110"/>
      <c r="CA8" s="110"/>
      <c r="CB8" s="110"/>
      <c r="CC8" s="110"/>
      <c r="CD8" s="110"/>
      <c r="CE8" s="110"/>
      <c r="CF8" s="110"/>
    </row>
    <row r="9" spans="1:84" s="45" customFormat="1" x14ac:dyDescent="0.25">
      <c r="A9" t="str">
        <f>Funktional!A9</f>
        <v>Affeltrangen</v>
      </c>
      <c r="B9" t="str">
        <f>Funktional!B9</f>
        <v>PSG</v>
      </c>
      <c r="C9">
        <v>0.12959999999999999</v>
      </c>
      <c r="D9">
        <v>7.1999999999999995E-2</v>
      </c>
      <c r="E9" s="26">
        <f t="shared" ref="E9:E14" si="0">F9+G9</f>
        <v>4373623.32</v>
      </c>
      <c r="F9">
        <v>2727983</v>
      </c>
      <c r="G9">
        <v>1645640.32</v>
      </c>
      <c r="H9">
        <v>51002.2</v>
      </c>
      <c r="I9" s="42">
        <f t="shared" ref="I9:I24" si="1">H9/E9</f>
        <v>1.1661315177000656E-2</v>
      </c>
      <c r="J9" s="80">
        <f t="shared" ref="J9:J24" si="2">S9+W9+X9</f>
        <v>27854</v>
      </c>
      <c r="K9" s="43">
        <f>J9*'KiGa - PS'!L10</f>
        <v>20740.79599498742</v>
      </c>
      <c r="L9" s="42">
        <f>K9/Funktional!E9</f>
        <v>1.9765639716767341E-2</v>
      </c>
      <c r="M9">
        <v>50</v>
      </c>
      <c r="N9" s="43">
        <f>K9/Funktional!C9</f>
        <v>6913.5986649958068</v>
      </c>
      <c r="O9" s="44">
        <f>K9/Funktional!D9</f>
        <v>370.3713570533468</v>
      </c>
      <c r="P9">
        <v>4750</v>
      </c>
      <c r="Q9">
        <v>500</v>
      </c>
      <c r="R9">
        <v>2864</v>
      </c>
      <c r="S9" s="43">
        <f t="shared" ref="S9:S24" si="3">P9+Q9+R9</f>
        <v>8114</v>
      </c>
      <c r="T9">
        <v>14000</v>
      </c>
      <c r="U9">
        <v>500</v>
      </c>
      <c r="V9">
        <v>5240</v>
      </c>
      <c r="W9" s="43">
        <f t="shared" ref="W9:W24" si="4">T9+U9+V9</f>
        <v>19740</v>
      </c>
      <c r="X9">
        <v>0</v>
      </c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  <c r="AO9" s="110"/>
      <c r="AP9" s="110"/>
      <c r="AQ9" s="110"/>
      <c r="AR9" s="110"/>
      <c r="AS9" s="110"/>
      <c r="AT9" s="110"/>
      <c r="AU9" s="110"/>
      <c r="AV9" s="110"/>
      <c r="AW9" s="110"/>
      <c r="AX9" s="110"/>
      <c r="AY9" s="110"/>
      <c r="AZ9" s="110"/>
      <c r="BA9" s="110"/>
      <c r="BB9" s="110"/>
      <c r="BC9" s="110"/>
      <c r="BD9" s="110"/>
      <c r="BE9" s="110"/>
      <c r="BF9" s="110"/>
      <c r="BG9" s="110"/>
      <c r="BH9" s="110"/>
      <c r="BI9" s="110"/>
      <c r="BJ9" s="110"/>
      <c r="BK9" s="110"/>
      <c r="BL9" s="110"/>
      <c r="BM9" s="110"/>
      <c r="BN9" s="110"/>
      <c r="BO9" s="110"/>
      <c r="BP9" s="110"/>
      <c r="BQ9" s="110"/>
      <c r="BR9" s="110"/>
      <c r="BS9" s="110"/>
      <c r="BT9" s="110"/>
      <c r="BU9" s="110"/>
      <c r="BV9" s="110"/>
      <c r="BW9" s="110"/>
      <c r="BX9" s="110"/>
      <c r="BY9" s="110"/>
      <c r="BZ9" s="110"/>
      <c r="CA9" s="110"/>
      <c r="CB9" s="110"/>
      <c r="CC9" s="110"/>
      <c r="CD9" s="110"/>
      <c r="CE9" s="110"/>
      <c r="CF9" s="110"/>
    </row>
    <row r="10" spans="1:84" s="45" customFormat="1" x14ac:dyDescent="0.25">
      <c r="A10" t="str">
        <f>Funktional!A10</f>
        <v>Alterswilen</v>
      </c>
      <c r="B10" t="str">
        <f>Funktional!B10</f>
        <v>PSG</v>
      </c>
      <c r="C10">
        <v>-9.35E-2</v>
      </c>
      <c r="D10">
        <v>-0.1709</v>
      </c>
      <c r="E10" s="26">
        <f t="shared" si="0"/>
        <v>1977153.25</v>
      </c>
      <c r="F10">
        <v>1528225.1</v>
      </c>
      <c r="G10">
        <v>448928.15</v>
      </c>
      <c r="H10">
        <v>280841.65000000002</v>
      </c>
      <c r="I10" s="42">
        <f t="shared" si="1"/>
        <v>0.14204344048697287</v>
      </c>
      <c r="J10" s="80">
        <f t="shared" si="2"/>
        <v>17500</v>
      </c>
      <c r="K10" s="43">
        <f>J10*'KiGa - PS'!L11</f>
        <v>14835.522455344446</v>
      </c>
      <c r="L10" s="42">
        <f>K10/Funktional!E10</f>
        <v>1.5427447403644347E-2</v>
      </c>
      <c r="M10">
        <v>60</v>
      </c>
      <c r="N10" s="43">
        <f>K10/Funktional!C10</f>
        <v>4945.1741517814817</v>
      </c>
      <c r="O10" s="44">
        <f>K10/Funktional!D10</f>
        <v>260.27232377797276</v>
      </c>
      <c r="P10">
        <v>2900</v>
      </c>
      <c r="Q10">
        <v>0</v>
      </c>
      <c r="R10">
        <v>0</v>
      </c>
      <c r="S10" s="43">
        <f t="shared" si="3"/>
        <v>2900</v>
      </c>
      <c r="T10">
        <v>9500</v>
      </c>
      <c r="U10">
        <v>0</v>
      </c>
      <c r="V10">
        <v>1200</v>
      </c>
      <c r="W10" s="43">
        <f t="shared" si="4"/>
        <v>10700</v>
      </c>
      <c r="X10">
        <v>3900</v>
      </c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  <c r="BF10" s="110"/>
      <c r="BG10" s="110"/>
      <c r="BH10" s="110"/>
      <c r="BI10" s="110"/>
      <c r="BJ10" s="110"/>
      <c r="BK10" s="110"/>
      <c r="BL10" s="110"/>
      <c r="BM10" s="110"/>
      <c r="BN10" s="110"/>
      <c r="BO10" s="110"/>
      <c r="BP10" s="110"/>
      <c r="BQ10" s="110"/>
      <c r="BR10" s="110"/>
      <c r="BS10" s="110"/>
      <c r="BT10" s="110"/>
      <c r="BU10" s="110"/>
      <c r="BV10" s="110"/>
      <c r="BW10" s="110"/>
      <c r="BX10" s="110"/>
      <c r="BY10" s="110"/>
      <c r="BZ10" s="110"/>
      <c r="CA10" s="110"/>
      <c r="CB10" s="110"/>
      <c r="CC10" s="110"/>
      <c r="CD10" s="110"/>
      <c r="CE10" s="110"/>
      <c r="CF10" s="110"/>
    </row>
    <row r="11" spans="1:84" s="45" customFormat="1" x14ac:dyDescent="0.25">
      <c r="A11" t="str">
        <f>Funktional!A11</f>
        <v>Altishausen-Graltshausen</v>
      </c>
      <c r="B11" t="str">
        <f>Funktional!B11</f>
        <v>PSG</v>
      </c>
      <c r="C11">
        <v>2.4299999999999999E-2</v>
      </c>
      <c r="D11">
        <v>6.4000000000000001E-2</v>
      </c>
      <c r="E11" s="26">
        <f t="shared" si="0"/>
        <v>587311.75</v>
      </c>
      <c r="F11">
        <v>47666</v>
      </c>
      <c r="G11">
        <v>539645.75</v>
      </c>
      <c r="H11">
        <v>18331</v>
      </c>
      <c r="I11" s="42">
        <f t="shared" si="1"/>
        <v>3.1211703154244742E-2</v>
      </c>
      <c r="J11" s="80">
        <f t="shared" si="2"/>
        <v>4800</v>
      </c>
      <c r="K11" s="43">
        <f>J11*'KiGa - PS'!L12</f>
        <v>4800</v>
      </c>
      <c r="L11" s="42">
        <f>K11/Funktional!E11</f>
        <v>1.4374745727967819E-2</v>
      </c>
      <c r="M11">
        <v>60</v>
      </c>
      <c r="N11" s="43">
        <f>K11/Funktional!C11</f>
        <v>4800</v>
      </c>
      <c r="O11" s="44">
        <f>K11/Funktional!D11</f>
        <v>177.77777777777777</v>
      </c>
      <c r="P11">
        <v>1000</v>
      </c>
      <c r="Q11">
        <v>0</v>
      </c>
      <c r="R11">
        <v>0</v>
      </c>
      <c r="S11" s="43">
        <f t="shared" si="3"/>
        <v>1000</v>
      </c>
      <c r="T11">
        <v>2800</v>
      </c>
      <c r="U11">
        <v>0</v>
      </c>
      <c r="V11">
        <v>0</v>
      </c>
      <c r="W11" s="43">
        <f t="shared" si="4"/>
        <v>2800</v>
      </c>
      <c r="X11">
        <v>1000</v>
      </c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110"/>
      <c r="BL11" s="110"/>
      <c r="BM11" s="110"/>
      <c r="BN11" s="110"/>
      <c r="BO11" s="110"/>
      <c r="BP11" s="110"/>
      <c r="BQ11" s="110"/>
      <c r="BR11" s="110"/>
      <c r="BS11" s="110"/>
      <c r="BT11" s="110"/>
      <c r="BU11" s="110"/>
      <c r="BV11" s="110"/>
      <c r="BW11" s="110"/>
      <c r="BX11" s="110"/>
      <c r="BY11" s="110"/>
      <c r="BZ11" s="110"/>
      <c r="CA11" s="110"/>
      <c r="CB11" s="110"/>
      <c r="CC11" s="110"/>
      <c r="CD11" s="110"/>
      <c r="CE11" s="110"/>
      <c r="CF11" s="110"/>
    </row>
    <row r="12" spans="1:84" s="45" customFormat="1" x14ac:dyDescent="0.25">
      <c r="A12" t="str">
        <f>Funktional!A12</f>
        <v>Altnau</v>
      </c>
      <c r="B12" t="str">
        <f>Funktional!B12</f>
        <v>PSG</v>
      </c>
      <c r="C12">
        <v>0.25650000000000001</v>
      </c>
      <c r="D12">
        <v>0.11360000000000001</v>
      </c>
      <c r="E12" s="26">
        <f t="shared" si="0"/>
        <v>6937381.4500000002</v>
      </c>
      <c r="F12">
        <v>5761692</v>
      </c>
      <c r="G12">
        <v>1175689.45</v>
      </c>
      <c r="H12">
        <v>9843.5</v>
      </c>
      <c r="I12" s="42">
        <f t="shared" si="1"/>
        <v>1.4189071295769673E-3</v>
      </c>
      <c r="J12" s="80">
        <f t="shared" si="2"/>
        <v>29780</v>
      </c>
      <c r="K12" s="43">
        <f>J12*'KiGa - PS'!L13</f>
        <v>25348.868148121699</v>
      </c>
      <c r="L12" s="42">
        <f>K12/Funktional!E12</f>
        <v>1.1692738928879544E-2</v>
      </c>
      <c r="M12">
        <v>55</v>
      </c>
      <c r="N12" s="43">
        <f>K12/Funktional!C12</f>
        <v>2982.2197821319646</v>
      </c>
      <c r="O12" s="44">
        <f>K12/Funktional!D12</f>
        <v>145.68315027656149</v>
      </c>
      <c r="P12">
        <v>8400</v>
      </c>
      <c r="Q12">
        <v>300</v>
      </c>
      <c r="R12">
        <v>1000</v>
      </c>
      <c r="S12" s="43">
        <f t="shared" si="3"/>
        <v>9700</v>
      </c>
      <c r="T12">
        <v>17680</v>
      </c>
      <c r="U12">
        <v>300</v>
      </c>
      <c r="V12">
        <v>1000</v>
      </c>
      <c r="W12" s="43">
        <f t="shared" si="4"/>
        <v>18980</v>
      </c>
      <c r="X12">
        <v>1100</v>
      </c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  <c r="AO12" s="110"/>
      <c r="AP12" s="110"/>
      <c r="AQ12" s="110"/>
      <c r="AR12" s="110"/>
      <c r="AS12" s="110"/>
      <c r="AT12" s="110"/>
      <c r="AU12" s="110"/>
      <c r="AV12" s="110"/>
      <c r="AW12" s="110"/>
      <c r="AX12" s="110"/>
      <c r="AY12" s="110"/>
      <c r="AZ12" s="110"/>
      <c r="BA12" s="110"/>
      <c r="BB12" s="110"/>
      <c r="BC12" s="110"/>
      <c r="BD12" s="110"/>
      <c r="BE12" s="110"/>
      <c r="BF12" s="110"/>
      <c r="BG12" s="110"/>
      <c r="BH12" s="110"/>
      <c r="BI12" s="110"/>
      <c r="BJ12" s="110"/>
      <c r="BK12" s="110"/>
      <c r="BL12" s="110"/>
      <c r="BM12" s="110"/>
      <c r="BN12" s="110"/>
      <c r="BO12" s="110"/>
      <c r="BP12" s="110"/>
      <c r="BQ12" s="110"/>
      <c r="BR12" s="110"/>
      <c r="BS12" s="110"/>
      <c r="BT12" s="110"/>
      <c r="BU12" s="110"/>
      <c r="BV12" s="110"/>
      <c r="BW12" s="110"/>
      <c r="BX12" s="110"/>
      <c r="BY12" s="110"/>
      <c r="BZ12" s="110"/>
      <c r="CA12" s="110"/>
      <c r="CB12" s="110"/>
      <c r="CC12" s="110"/>
      <c r="CD12" s="110"/>
      <c r="CE12" s="110"/>
      <c r="CF12" s="110"/>
    </row>
    <row r="13" spans="1:84" s="45" customFormat="1" x14ac:dyDescent="0.25">
      <c r="A13" t="str">
        <f>Funktional!A13</f>
        <v>Amlikon</v>
      </c>
      <c r="B13" t="str">
        <f>Funktional!B13</f>
        <v>PSG</v>
      </c>
      <c r="C13">
        <v>0.29389999999999999</v>
      </c>
      <c r="D13">
        <v>0.11269999999999999</v>
      </c>
      <c r="E13" s="26">
        <f t="shared" si="0"/>
        <v>2781832.4499999997</v>
      </c>
      <c r="F13">
        <v>2534838.4</v>
      </c>
      <c r="G13">
        <v>246994.05</v>
      </c>
      <c r="H13">
        <v>12693.1</v>
      </c>
      <c r="I13" s="42">
        <f t="shared" si="1"/>
        <v>4.5628556816928361E-3</v>
      </c>
      <c r="J13" s="80">
        <f t="shared" si="2"/>
        <v>15600</v>
      </c>
      <c r="K13" s="43">
        <f>J13*'KiGa - PS'!L14</f>
        <v>11498.843136699063</v>
      </c>
      <c r="L13" s="42">
        <f>K13/Funktional!E13</f>
        <v>1.6553153768399734E-2</v>
      </c>
      <c r="M13">
        <v>60</v>
      </c>
      <c r="N13" s="43">
        <f>K13/Funktional!C13</f>
        <v>4599.5372546796252</v>
      </c>
      <c r="O13" s="44">
        <f>K13/Funktional!D13</f>
        <v>234.67026809589925</v>
      </c>
      <c r="P13">
        <v>2400</v>
      </c>
      <c r="Q13">
        <v>0</v>
      </c>
      <c r="R13">
        <v>2400</v>
      </c>
      <c r="S13" s="43">
        <f t="shared" si="3"/>
        <v>4800</v>
      </c>
      <c r="T13">
        <v>8400</v>
      </c>
      <c r="U13">
        <v>0</v>
      </c>
      <c r="V13">
        <v>2400</v>
      </c>
      <c r="W13" s="43">
        <f t="shared" si="4"/>
        <v>10800</v>
      </c>
      <c r="X13">
        <v>0</v>
      </c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10"/>
      <c r="AP13" s="110"/>
      <c r="AQ13" s="110"/>
      <c r="AR13" s="110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110"/>
      <c r="BE13" s="110"/>
      <c r="BF13" s="110"/>
      <c r="BG13" s="110"/>
      <c r="BH13" s="110"/>
      <c r="BI13" s="110"/>
      <c r="BJ13" s="110"/>
      <c r="BK13" s="110"/>
      <c r="BL13" s="110"/>
      <c r="BM13" s="110"/>
      <c r="BN13" s="110"/>
      <c r="BO13" s="110"/>
      <c r="BP13" s="110"/>
      <c r="BQ13" s="110"/>
      <c r="BR13" s="110"/>
      <c r="BS13" s="110"/>
      <c r="BT13" s="110"/>
      <c r="BU13" s="110"/>
      <c r="BV13" s="110"/>
      <c r="BW13" s="110"/>
      <c r="BX13" s="110"/>
      <c r="BY13" s="110"/>
      <c r="BZ13" s="110"/>
      <c r="CA13" s="110"/>
      <c r="CB13" s="110"/>
      <c r="CC13" s="110"/>
      <c r="CD13" s="110"/>
      <c r="CE13" s="110"/>
      <c r="CF13" s="110"/>
    </row>
    <row r="14" spans="1:84" s="45" customFormat="1" x14ac:dyDescent="0.25">
      <c r="A14" t="str">
        <f>Funktional!A14</f>
        <v>Amriswil</v>
      </c>
      <c r="B14" t="str">
        <f>Funktional!B14</f>
        <v>PSG</v>
      </c>
      <c r="C14">
        <v>0.1197</v>
      </c>
      <c r="D14">
        <v>5.8500000000000003E-2</v>
      </c>
      <c r="E14" s="26">
        <f t="shared" si="0"/>
        <v>17971723.649999999</v>
      </c>
      <c r="F14">
        <v>13582527.4</v>
      </c>
      <c r="G14">
        <v>4389196.25</v>
      </c>
      <c r="H14">
        <v>157270.20000000001</v>
      </c>
      <c r="I14" s="42">
        <f t="shared" si="1"/>
        <v>8.750980321244814E-3</v>
      </c>
      <c r="J14" s="80">
        <f t="shared" si="2"/>
        <v>379000</v>
      </c>
      <c r="K14" s="43">
        <f>J14*'KiGa - PS'!L15</f>
        <v>331524.48122780182</v>
      </c>
      <c r="L14" s="42">
        <f>K14/Funktional!E14</f>
        <v>2.9625583897589968E-2</v>
      </c>
      <c r="M14">
        <v>80</v>
      </c>
      <c r="N14" s="43">
        <f>K14/Funktional!C14</f>
        <v>6765.8057393428944</v>
      </c>
      <c r="O14" s="44">
        <f>K14/Funktional!D14</f>
        <v>345.33800127896023</v>
      </c>
      <c r="P14">
        <v>70000</v>
      </c>
      <c r="Q14">
        <v>9000</v>
      </c>
      <c r="R14">
        <v>0</v>
      </c>
      <c r="S14" s="43">
        <f t="shared" si="3"/>
        <v>79000</v>
      </c>
      <c r="T14">
        <v>275000</v>
      </c>
      <c r="U14">
        <v>7200</v>
      </c>
      <c r="V14">
        <v>0</v>
      </c>
      <c r="W14" s="43">
        <f t="shared" si="4"/>
        <v>282200</v>
      </c>
      <c r="X14">
        <v>17800</v>
      </c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110"/>
      <c r="BJ14" s="110"/>
      <c r="BK14" s="110"/>
      <c r="BL14" s="110"/>
      <c r="BM14" s="110"/>
      <c r="BN14" s="110"/>
      <c r="BO14" s="110"/>
      <c r="BP14" s="110"/>
      <c r="BQ14" s="110"/>
      <c r="BR14" s="110"/>
      <c r="BS14" s="110"/>
      <c r="BT14" s="110"/>
      <c r="BU14" s="110"/>
      <c r="BV14" s="110"/>
      <c r="BW14" s="110"/>
      <c r="BX14" s="110"/>
      <c r="BY14" s="110"/>
      <c r="BZ14" s="110"/>
      <c r="CA14" s="110"/>
      <c r="CB14" s="110"/>
      <c r="CC14" s="110"/>
      <c r="CD14" s="110"/>
      <c r="CE14" s="110"/>
      <c r="CF14" s="110"/>
    </row>
    <row r="15" spans="1:84" s="45" customFormat="1" x14ac:dyDescent="0.25">
      <c r="A15" t="str">
        <f>Funktional!A15</f>
        <v>Au</v>
      </c>
      <c r="B15" t="str">
        <f>Funktional!B15</f>
        <v>PSG</v>
      </c>
      <c r="C15">
        <v>3.7600000000000001E-2</v>
      </c>
      <c r="D15">
        <v>1E-4</v>
      </c>
      <c r="E15" s="26">
        <f t="shared" ref="E15:E23" si="5">F15+G15</f>
        <v>188935.8</v>
      </c>
      <c r="F15">
        <v>179595</v>
      </c>
      <c r="G15">
        <v>9340.7999999999993</v>
      </c>
      <c r="H15">
        <v>8300</v>
      </c>
      <c r="I15" s="42">
        <f t="shared" si="1"/>
        <v>4.3930266259755962E-2</v>
      </c>
      <c r="J15" s="80">
        <f t="shared" si="2"/>
        <v>4000</v>
      </c>
      <c r="K15" s="43">
        <f>J15*'KiGa - PS'!L16</f>
        <v>4000</v>
      </c>
      <c r="L15" s="42">
        <f>K15/Funktional!E15</f>
        <v>1.7779946931303397E-2</v>
      </c>
      <c r="M15">
        <v>50</v>
      </c>
      <c r="N15" s="43">
        <f>K15/Funktional!C15</f>
        <v>4000</v>
      </c>
      <c r="O15" s="44">
        <f>K15/Funktional!D15</f>
        <v>200</v>
      </c>
      <c r="P15">
        <v>700</v>
      </c>
      <c r="Q15">
        <v>0</v>
      </c>
      <c r="R15">
        <v>400</v>
      </c>
      <c r="S15" s="43">
        <f t="shared" si="3"/>
        <v>1100</v>
      </c>
      <c r="T15">
        <v>2000</v>
      </c>
      <c r="U15">
        <v>0</v>
      </c>
      <c r="V15">
        <v>900</v>
      </c>
      <c r="W15" s="43">
        <f t="shared" si="4"/>
        <v>2900</v>
      </c>
      <c r="X15">
        <v>0</v>
      </c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  <c r="AO15" s="110"/>
      <c r="AP15" s="110"/>
      <c r="AQ15" s="110"/>
      <c r="AR15" s="110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110"/>
      <c r="BJ15" s="110"/>
      <c r="BK15" s="110"/>
      <c r="BL15" s="110"/>
      <c r="BM15" s="110"/>
      <c r="BN15" s="110"/>
      <c r="BO15" s="110"/>
      <c r="BP15" s="110"/>
      <c r="BQ15" s="110"/>
      <c r="BR15" s="110"/>
      <c r="BS15" s="110"/>
      <c r="BT15" s="110"/>
      <c r="BU15" s="110"/>
      <c r="BV15" s="110"/>
      <c r="BW15" s="110"/>
      <c r="BX15" s="110"/>
      <c r="BY15" s="110"/>
      <c r="BZ15" s="110"/>
      <c r="CA15" s="110"/>
      <c r="CB15" s="110"/>
      <c r="CC15" s="110"/>
      <c r="CD15" s="110"/>
      <c r="CE15" s="110"/>
      <c r="CF15" s="110"/>
    </row>
    <row r="16" spans="1:84" s="45" customFormat="1" x14ac:dyDescent="0.25">
      <c r="A16" t="str">
        <f>Funktional!A16</f>
        <v>Balterswil</v>
      </c>
      <c r="B16" t="str">
        <f>Funktional!B16</f>
        <v>PSG</v>
      </c>
      <c r="C16">
        <v>0.2205</v>
      </c>
      <c r="D16">
        <v>9.2899999999999996E-2</v>
      </c>
      <c r="E16" s="26">
        <f t="shared" si="5"/>
        <v>3623844.45</v>
      </c>
      <c r="F16">
        <v>3184370</v>
      </c>
      <c r="G16">
        <v>439474.45</v>
      </c>
      <c r="H16">
        <v>19136.55</v>
      </c>
      <c r="I16" s="42">
        <f t="shared" si="1"/>
        <v>5.2807316274295375E-3</v>
      </c>
      <c r="J16" s="80">
        <f t="shared" si="2"/>
        <v>37550</v>
      </c>
      <c r="K16" s="43">
        <f>J16*'KiGa - PS'!L17</f>
        <v>31633.85355441898</v>
      </c>
      <c r="L16" s="42">
        <f>K16/Funktional!E16</f>
        <v>2.3246825632030423E-2</v>
      </c>
      <c r="M16">
        <v>60</v>
      </c>
      <c r="N16" s="43">
        <f>K16/Funktional!C16</f>
        <v>6326.7707108837958</v>
      </c>
      <c r="O16" s="44">
        <f>K16/Funktional!D16</f>
        <v>316.33853554418982</v>
      </c>
      <c r="P16">
        <v>5500</v>
      </c>
      <c r="Q16">
        <v>1750</v>
      </c>
      <c r="R16">
        <v>2800</v>
      </c>
      <c r="S16" s="43">
        <f t="shared" si="3"/>
        <v>10050</v>
      </c>
      <c r="T16">
        <v>18750</v>
      </c>
      <c r="U16">
        <v>1750</v>
      </c>
      <c r="V16">
        <v>2800</v>
      </c>
      <c r="W16" s="43">
        <f t="shared" si="4"/>
        <v>23300</v>
      </c>
      <c r="X16">
        <v>4200</v>
      </c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  <c r="AU16" s="110"/>
      <c r="AV16" s="110"/>
      <c r="AW16" s="110"/>
      <c r="AX16" s="110"/>
      <c r="AY16" s="110"/>
      <c r="AZ16" s="110"/>
      <c r="BA16" s="110"/>
      <c r="BB16" s="110"/>
      <c r="BC16" s="110"/>
      <c r="BD16" s="110"/>
      <c r="BE16" s="110"/>
      <c r="BF16" s="110"/>
      <c r="BG16" s="110"/>
      <c r="BH16" s="110"/>
      <c r="BI16" s="110"/>
      <c r="BJ16" s="110"/>
      <c r="BK16" s="110"/>
      <c r="BL16" s="110"/>
      <c r="BM16" s="110"/>
      <c r="BN16" s="110"/>
      <c r="BO16" s="110"/>
      <c r="BP16" s="110"/>
      <c r="BQ16" s="110"/>
      <c r="BR16" s="110"/>
      <c r="BS16" s="110"/>
      <c r="BT16" s="110"/>
      <c r="BU16" s="110"/>
      <c r="BV16" s="110"/>
      <c r="BW16" s="110"/>
      <c r="BX16" s="110"/>
      <c r="BY16" s="110"/>
      <c r="BZ16" s="110"/>
      <c r="CA16" s="110"/>
      <c r="CB16" s="110"/>
      <c r="CC16" s="110"/>
      <c r="CD16" s="110"/>
      <c r="CE16" s="110"/>
      <c r="CF16" s="110"/>
    </row>
    <row r="17" spans="1:84" s="45" customFormat="1" x14ac:dyDescent="0.25">
      <c r="A17" t="str">
        <f>Funktional!A17</f>
        <v xml:space="preserve">Basadingen-Willisdorf </v>
      </c>
      <c r="B17" t="str">
        <f>Funktional!B17</f>
        <v>PSG</v>
      </c>
      <c r="C17">
        <v>9.1200000000000003E-2</v>
      </c>
      <c r="D17">
        <v>6.88E-2</v>
      </c>
      <c r="E17" s="26">
        <f t="shared" si="5"/>
        <v>1755852.85</v>
      </c>
      <c r="F17">
        <v>645600</v>
      </c>
      <c r="G17">
        <v>1110252.8500000001</v>
      </c>
      <c r="H17">
        <v>39080.9</v>
      </c>
      <c r="I17" s="42">
        <f t="shared" si="1"/>
        <v>2.2257502956469274E-2</v>
      </c>
      <c r="J17" s="80">
        <f t="shared" si="2"/>
        <v>14650</v>
      </c>
      <c r="K17" s="43">
        <f>J17*'KiGa - PS'!L18</f>
        <v>12168.581848293736</v>
      </c>
      <c r="L17" s="42">
        <f>K17/Funktional!E17</f>
        <v>1.1365120035449861E-2</v>
      </c>
      <c r="M17">
        <v>60</v>
      </c>
      <c r="N17" s="43">
        <f>K17/Funktional!C17</f>
        <v>2433.7163696587472</v>
      </c>
      <c r="O17" s="44">
        <f>K17/Funktional!D17</f>
        <v>126.75606091972641</v>
      </c>
      <c r="P17">
        <v>5100</v>
      </c>
      <c r="Q17">
        <v>0</v>
      </c>
      <c r="R17">
        <v>1050</v>
      </c>
      <c r="S17" s="43">
        <f t="shared" si="3"/>
        <v>6150</v>
      </c>
      <c r="T17">
        <v>5700</v>
      </c>
      <c r="U17">
        <v>0</v>
      </c>
      <c r="V17">
        <v>1000</v>
      </c>
      <c r="W17" s="43">
        <f t="shared" si="4"/>
        <v>6700</v>
      </c>
      <c r="X17">
        <v>1800</v>
      </c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  <c r="AO17" s="110"/>
      <c r="AP17" s="110"/>
      <c r="AQ17" s="110"/>
      <c r="AR17" s="110"/>
      <c r="AS17" s="110"/>
      <c r="AT17" s="110"/>
      <c r="AU17" s="110"/>
      <c r="AV17" s="110"/>
      <c r="AW17" s="110"/>
      <c r="AX17" s="110"/>
      <c r="AY17" s="110"/>
      <c r="AZ17" s="110"/>
      <c r="BA17" s="110"/>
      <c r="BB17" s="110"/>
      <c r="BC17" s="110"/>
      <c r="BD17" s="110"/>
      <c r="BE17" s="110"/>
      <c r="BF17" s="110"/>
      <c r="BG17" s="110"/>
      <c r="BH17" s="110"/>
      <c r="BI17" s="110"/>
      <c r="BJ17" s="110"/>
      <c r="BK17" s="110"/>
      <c r="BL17" s="110"/>
      <c r="BM17" s="110"/>
      <c r="BN17" s="110"/>
      <c r="BO17" s="110"/>
      <c r="BP17" s="110"/>
      <c r="BQ17" s="110"/>
      <c r="BR17" s="110"/>
      <c r="BS17" s="110"/>
      <c r="BT17" s="110"/>
      <c r="BU17" s="110"/>
      <c r="BV17" s="110"/>
      <c r="BW17" s="110"/>
      <c r="BX17" s="110"/>
      <c r="BY17" s="110"/>
      <c r="BZ17" s="110"/>
      <c r="CA17" s="110"/>
      <c r="CB17" s="110"/>
      <c r="CC17" s="110"/>
      <c r="CD17" s="110"/>
      <c r="CE17" s="110"/>
      <c r="CF17" s="110"/>
    </row>
    <row r="18" spans="1:84" s="45" customFormat="1" x14ac:dyDescent="0.25">
      <c r="A18" t="str">
        <f>Funktional!A18</f>
        <v>Berg</v>
      </c>
      <c r="B18" t="str">
        <f>Funktional!B18</f>
        <v>PSG</v>
      </c>
      <c r="C18">
        <v>0.1048</v>
      </c>
      <c r="D18">
        <v>2.0299999999999999E-2</v>
      </c>
      <c r="E18" s="26">
        <f t="shared" si="5"/>
        <v>4204027.95</v>
      </c>
      <c r="F18">
        <v>2983557.9</v>
      </c>
      <c r="G18">
        <v>1220470.05</v>
      </c>
      <c r="H18">
        <v>40025.699999999997</v>
      </c>
      <c r="I18" s="42">
        <f t="shared" si="1"/>
        <v>9.5207977863229938E-3</v>
      </c>
      <c r="J18" s="80">
        <f t="shared" si="2"/>
        <v>43700</v>
      </c>
      <c r="K18" s="43">
        <f>J18*'KiGa - PS'!L19</f>
        <v>36657.808791483818</v>
      </c>
      <c r="L18" s="42">
        <f>K18/Funktional!E18</f>
        <v>1.9215354836150843E-2</v>
      </c>
      <c r="M18">
        <v>70</v>
      </c>
      <c r="N18" s="43">
        <f>K18/Funktional!C18</f>
        <v>4073.0898657204243</v>
      </c>
      <c r="O18" s="44">
        <f>K18/Funktional!D18</f>
        <v>192.93583574465168</v>
      </c>
      <c r="P18">
        <v>10200</v>
      </c>
      <c r="Q18">
        <v>200</v>
      </c>
      <c r="R18">
        <v>1000</v>
      </c>
      <c r="S18" s="43">
        <f t="shared" si="3"/>
        <v>11400</v>
      </c>
      <c r="T18">
        <v>28900</v>
      </c>
      <c r="U18">
        <v>400</v>
      </c>
      <c r="V18">
        <v>3000</v>
      </c>
      <c r="W18" s="43">
        <f t="shared" si="4"/>
        <v>32300</v>
      </c>
      <c r="X18">
        <v>0</v>
      </c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I18" s="110"/>
      <c r="BJ18" s="110"/>
      <c r="BK18" s="110"/>
      <c r="BL18" s="110"/>
      <c r="BM18" s="110"/>
      <c r="BN18" s="110"/>
      <c r="BO18" s="110"/>
      <c r="BP18" s="110"/>
      <c r="BQ18" s="110"/>
      <c r="BR18" s="110"/>
      <c r="BS18" s="110"/>
      <c r="BT18" s="110"/>
      <c r="BU18" s="110"/>
      <c r="BV18" s="110"/>
      <c r="BW18" s="110"/>
      <c r="BX18" s="110"/>
      <c r="BY18" s="110"/>
      <c r="BZ18" s="110"/>
      <c r="CA18" s="110"/>
      <c r="CB18" s="110"/>
      <c r="CC18" s="110"/>
      <c r="CD18" s="110"/>
      <c r="CE18" s="110"/>
      <c r="CF18" s="110"/>
    </row>
    <row r="19" spans="1:84" s="45" customFormat="1" x14ac:dyDescent="0.25">
      <c r="A19" t="str">
        <f>Funktional!A19</f>
        <v>Berlingen</v>
      </c>
      <c r="B19" t="str">
        <f>Funktional!B19</f>
        <v>PSG</v>
      </c>
      <c r="C19">
        <v>5.79E-2</v>
      </c>
      <c r="D19">
        <v>5.3600000000000002E-2</v>
      </c>
      <c r="E19" s="26">
        <f t="shared" si="5"/>
        <v>373919.85</v>
      </c>
      <c r="F19">
        <v>16542</v>
      </c>
      <c r="G19">
        <v>357377.85</v>
      </c>
      <c r="H19">
        <v>1270.95</v>
      </c>
      <c r="I19" s="42">
        <f t="shared" si="1"/>
        <v>3.398990452098224E-3</v>
      </c>
      <c r="J19" s="80">
        <f t="shared" si="2"/>
        <v>22143</v>
      </c>
      <c r="K19" s="43">
        <f>J19*'KiGa - PS'!L20</f>
        <v>18147.46912226106</v>
      </c>
      <c r="L19" s="42">
        <f>K19/Funktional!E19</f>
        <v>2.08716513620772E-2</v>
      </c>
      <c r="M19">
        <v>70</v>
      </c>
      <c r="N19" s="43">
        <f>K19/Funktional!C19</f>
        <v>6049.1563740870197</v>
      </c>
      <c r="O19" s="44">
        <f>K19/Funktional!D19</f>
        <v>248.59546742823369</v>
      </c>
      <c r="P19">
        <v>4835</v>
      </c>
      <c r="Q19">
        <v>1083</v>
      </c>
      <c r="R19">
        <v>0</v>
      </c>
      <c r="S19" s="43">
        <f t="shared" si="3"/>
        <v>5918</v>
      </c>
      <c r="T19">
        <v>14460</v>
      </c>
      <c r="U19">
        <v>0</v>
      </c>
      <c r="V19">
        <v>0</v>
      </c>
      <c r="W19" s="43">
        <f t="shared" si="4"/>
        <v>14460</v>
      </c>
      <c r="X19">
        <v>1765</v>
      </c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0"/>
      <c r="BR19" s="110"/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</row>
    <row r="20" spans="1:84" s="45" customFormat="1" x14ac:dyDescent="0.25">
      <c r="A20" t="str">
        <f>Funktional!A20</f>
        <v>Bettwiesen</v>
      </c>
      <c r="B20" t="str">
        <f>Funktional!B20</f>
        <v>PSG</v>
      </c>
      <c r="C20">
        <v>0.23369999999999999</v>
      </c>
      <c r="D20">
        <v>0.1132</v>
      </c>
      <c r="E20" s="26">
        <f t="shared" si="5"/>
        <v>5836615.25</v>
      </c>
      <c r="F20">
        <v>5103018.0999999996</v>
      </c>
      <c r="G20">
        <v>733597.15</v>
      </c>
      <c r="H20">
        <v>36156.050000000003</v>
      </c>
      <c r="I20" s="42">
        <f t="shared" si="1"/>
        <v>6.1946947762232573E-3</v>
      </c>
      <c r="J20" s="80">
        <f t="shared" si="2"/>
        <v>20180</v>
      </c>
      <c r="K20" s="43">
        <f>J20*'KiGa - PS'!L21</f>
        <v>16585.36672675495</v>
      </c>
      <c r="L20" s="42">
        <f>K20/Funktional!E20</f>
        <v>1.2983859062204426E-2</v>
      </c>
      <c r="M20">
        <v>60</v>
      </c>
      <c r="N20" s="43">
        <f>K20/Funktional!C20</f>
        <v>2764.2277877924917</v>
      </c>
      <c r="O20" s="44">
        <f>K20/Funktional!D20</f>
        <v>144.22058023265174</v>
      </c>
      <c r="P20">
        <v>4850</v>
      </c>
      <c r="Q20">
        <v>500</v>
      </c>
      <c r="R20">
        <v>1500</v>
      </c>
      <c r="S20" s="43">
        <f t="shared" si="3"/>
        <v>6850</v>
      </c>
      <c r="T20">
        <v>11530</v>
      </c>
      <c r="U20">
        <v>300</v>
      </c>
      <c r="V20">
        <v>1500</v>
      </c>
      <c r="W20" s="43">
        <f t="shared" si="4"/>
        <v>13330</v>
      </c>
      <c r="X20">
        <v>0</v>
      </c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10"/>
      <c r="AV20" s="110"/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110"/>
      <c r="BJ20" s="110"/>
      <c r="BK20" s="110"/>
      <c r="BL20" s="110"/>
      <c r="BM20" s="110"/>
      <c r="BN20" s="110"/>
      <c r="BO20" s="110"/>
      <c r="BP20" s="110"/>
      <c r="BQ20" s="110"/>
      <c r="BR20" s="110"/>
      <c r="BS20" s="110"/>
      <c r="BT20" s="110"/>
      <c r="BU20" s="110"/>
      <c r="BV20" s="110"/>
      <c r="BW20" s="110"/>
      <c r="BX20" s="110"/>
      <c r="BY20" s="110"/>
      <c r="BZ20" s="110"/>
      <c r="CA20" s="110"/>
      <c r="CB20" s="110"/>
      <c r="CC20" s="110"/>
      <c r="CD20" s="110"/>
      <c r="CE20" s="110"/>
      <c r="CF20" s="110"/>
    </row>
    <row r="21" spans="1:84" s="45" customFormat="1" x14ac:dyDescent="0.25">
      <c r="A21" t="str">
        <f>Funktional!A21</f>
        <v>Bichelsee</v>
      </c>
      <c r="B21" t="str">
        <f>Funktional!B21</f>
        <v>PSG</v>
      </c>
      <c r="C21">
        <v>9.6799999999999997E-2</v>
      </c>
      <c r="D21">
        <v>5.9799999999999999E-2</v>
      </c>
      <c r="E21" s="26">
        <f t="shared" si="5"/>
        <v>4403795.25</v>
      </c>
      <c r="F21">
        <v>1576870.8</v>
      </c>
      <c r="G21">
        <v>2826924.45</v>
      </c>
      <c r="H21">
        <v>117337.25</v>
      </c>
      <c r="I21" s="42">
        <f t="shared" si="1"/>
        <v>2.6644574358900996E-2</v>
      </c>
      <c r="J21" s="80">
        <f t="shared" si="2"/>
        <v>31051.200000000001</v>
      </c>
      <c r="K21" s="43">
        <f>J21*'KiGa - PS'!L22</f>
        <v>24200.915216283207</v>
      </c>
      <c r="L21" s="42">
        <f>K21/Funktional!E21</f>
        <v>2.3392168830540724E-2</v>
      </c>
      <c r="M21">
        <v>60</v>
      </c>
      <c r="N21" s="43">
        <f>K21/Funktional!C21</f>
        <v>4840.1830432566412</v>
      </c>
      <c r="O21" s="44">
        <f>K21/Funktional!D21</f>
        <v>239.61302194339808</v>
      </c>
      <c r="P21">
        <v>6500</v>
      </c>
      <c r="Q21">
        <v>1764</v>
      </c>
      <c r="R21">
        <v>2820</v>
      </c>
      <c r="S21" s="43">
        <f t="shared" si="3"/>
        <v>11084</v>
      </c>
      <c r="T21">
        <v>13351.2</v>
      </c>
      <c r="U21">
        <v>1764</v>
      </c>
      <c r="V21">
        <v>2820</v>
      </c>
      <c r="W21" s="43">
        <f t="shared" si="4"/>
        <v>17935.2</v>
      </c>
      <c r="X21">
        <v>2032</v>
      </c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  <c r="AR21" s="110"/>
      <c r="AS21" s="110"/>
      <c r="AT21" s="110"/>
      <c r="AU21" s="110"/>
      <c r="AV21" s="110"/>
      <c r="AW21" s="110"/>
      <c r="AX21" s="110"/>
      <c r="AY21" s="110"/>
      <c r="AZ21" s="110"/>
      <c r="BA21" s="110"/>
      <c r="BB21" s="110"/>
      <c r="BC21" s="110"/>
      <c r="BD21" s="110"/>
      <c r="BE21" s="110"/>
      <c r="BF21" s="110"/>
      <c r="BG21" s="110"/>
      <c r="BH21" s="110"/>
      <c r="BI21" s="110"/>
      <c r="BJ21" s="110"/>
      <c r="BK21" s="110"/>
      <c r="BL21" s="110"/>
      <c r="BM21" s="110"/>
      <c r="BN21" s="110"/>
      <c r="BO21" s="110"/>
      <c r="BP21" s="110"/>
      <c r="BQ21" s="110"/>
      <c r="BR21" s="110"/>
      <c r="BS21" s="110"/>
      <c r="BT21" s="110"/>
      <c r="BU21" s="110"/>
      <c r="BV21" s="110"/>
      <c r="BW21" s="110"/>
      <c r="BX21" s="110"/>
      <c r="BY21" s="110"/>
      <c r="BZ21" s="110"/>
      <c r="CA21" s="110"/>
      <c r="CB21" s="110"/>
      <c r="CC21" s="110"/>
      <c r="CD21" s="110"/>
      <c r="CE21" s="110"/>
      <c r="CF21" s="110"/>
    </row>
    <row r="22" spans="1:84" s="45" customFormat="1" x14ac:dyDescent="0.25">
      <c r="A22" t="str">
        <f>Funktional!A22</f>
        <v>Bischofszell</v>
      </c>
      <c r="B22" t="str">
        <f>Funktional!B22</f>
        <v>PSG</v>
      </c>
      <c r="C22">
        <v>0.1817</v>
      </c>
      <c r="D22">
        <v>6.13E-2</v>
      </c>
      <c r="E22" s="26">
        <f t="shared" si="5"/>
        <v>12027781.800000001</v>
      </c>
      <c r="F22">
        <v>10430762</v>
      </c>
      <c r="G22">
        <v>1597019.8</v>
      </c>
      <c r="H22">
        <v>285992.09999999998</v>
      </c>
      <c r="I22" s="42">
        <f t="shared" si="1"/>
        <v>2.3777626228636769E-2</v>
      </c>
      <c r="J22" s="80">
        <f t="shared" si="2"/>
        <v>85592</v>
      </c>
      <c r="K22" s="43">
        <f>J22*'KiGa - PS'!L23</f>
        <v>76016.735963007246</v>
      </c>
      <c r="L22" s="42">
        <f>K22/Funktional!E22</f>
        <v>1.545969723651771E-2</v>
      </c>
      <c r="M22">
        <v>90</v>
      </c>
      <c r="N22" s="43">
        <f>K22/Funktional!C22</f>
        <v>3800.8367981503625</v>
      </c>
      <c r="O22" s="44">
        <f>K22/Funktional!D22</f>
        <v>196.93454912696177</v>
      </c>
      <c r="P22">
        <v>22640</v>
      </c>
      <c r="Q22">
        <v>2264</v>
      </c>
      <c r="R22">
        <v>0</v>
      </c>
      <c r="S22" s="43">
        <f t="shared" si="3"/>
        <v>24904</v>
      </c>
      <c r="T22">
        <v>60008</v>
      </c>
      <c r="U22">
        <v>0</v>
      </c>
      <c r="V22">
        <v>0</v>
      </c>
      <c r="W22" s="43">
        <f t="shared" si="4"/>
        <v>60008</v>
      </c>
      <c r="X22">
        <v>680</v>
      </c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  <c r="AO22" s="110"/>
      <c r="AP22" s="110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/>
      <c r="BA22" s="110"/>
      <c r="BB22" s="110"/>
      <c r="BC22" s="110"/>
      <c r="BD22" s="110"/>
      <c r="BE22" s="110"/>
      <c r="BF22" s="110"/>
      <c r="BG22" s="110"/>
      <c r="BH22" s="110"/>
      <c r="BI22" s="110"/>
      <c r="BJ22" s="110"/>
      <c r="BK22" s="110"/>
      <c r="BL22" s="110"/>
      <c r="BM22" s="110"/>
      <c r="BN22" s="110"/>
      <c r="BO22" s="110"/>
      <c r="BP22" s="110"/>
      <c r="BQ22" s="110"/>
      <c r="BR22" s="110"/>
      <c r="BS22" s="110"/>
      <c r="BT22" s="110"/>
      <c r="BU22" s="110"/>
      <c r="BV22" s="110"/>
      <c r="BW22" s="110"/>
      <c r="BX22" s="110"/>
      <c r="BY22" s="110"/>
      <c r="BZ22" s="110"/>
      <c r="CA22" s="110"/>
      <c r="CB22" s="110"/>
      <c r="CC22" s="110"/>
      <c r="CD22" s="110"/>
      <c r="CE22" s="110"/>
      <c r="CF22" s="110"/>
    </row>
    <row r="23" spans="1:84" s="45" customFormat="1" x14ac:dyDescent="0.25">
      <c r="A23" t="str">
        <f>Funktional!A23</f>
        <v>Blidegg</v>
      </c>
      <c r="B23" t="str">
        <f>Funktional!B23</f>
        <v>PSG</v>
      </c>
      <c r="C23">
        <v>0.40200000000000002</v>
      </c>
      <c r="D23">
        <v>6.1600000000000002E-2</v>
      </c>
      <c r="E23" s="26">
        <f t="shared" si="5"/>
        <v>557727.89</v>
      </c>
      <c r="F23">
        <v>236501</v>
      </c>
      <c r="G23">
        <v>321226.89</v>
      </c>
      <c r="H23">
        <v>18589.849999999999</v>
      </c>
      <c r="I23" s="42">
        <f t="shared" si="1"/>
        <v>3.3331397502821665E-2</v>
      </c>
      <c r="J23" s="80">
        <f t="shared" si="2"/>
        <v>9552</v>
      </c>
      <c r="K23" s="43">
        <f>J23*'KiGa - PS'!L24</f>
        <v>9552</v>
      </c>
      <c r="L23" s="42">
        <f>K23/Funktional!E23</f>
        <v>2.2283308992068686E-2</v>
      </c>
      <c r="M23">
        <v>60</v>
      </c>
      <c r="N23" s="43">
        <f>K23/Funktional!C23</f>
        <v>4776</v>
      </c>
      <c r="O23" s="44">
        <f>K23/Funktional!D23</f>
        <v>341.14285714285717</v>
      </c>
      <c r="P23">
        <v>1622</v>
      </c>
      <c r="Q23">
        <v>200</v>
      </c>
      <c r="R23">
        <v>0</v>
      </c>
      <c r="S23" s="43">
        <f t="shared" si="3"/>
        <v>1822</v>
      </c>
      <c r="T23">
        <v>6730</v>
      </c>
      <c r="U23">
        <v>350</v>
      </c>
      <c r="V23">
        <v>650</v>
      </c>
      <c r="W23" s="43">
        <f t="shared" si="4"/>
        <v>7730</v>
      </c>
      <c r="X23">
        <v>0</v>
      </c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110"/>
      <c r="BC23" s="110"/>
      <c r="BD23" s="110"/>
      <c r="BE23" s="110"/>
      <c r="BF23" s="110"/>
      <c r="BG23" s="110"/>
      <c r="BH23" s="110"/>
      <c r="BI23" s="110"/>
      <c r="BJ23" s="110"/>
      <c r="BK23" s="110"/>
      <c r="BL23" s="110"/>
      <c r="BM23" s="110"/>
      <c r="BN23" s="110"/>
      <c r="BO23" s="110"/>
      <c r="BP23" s="110"/>
      <c r="BQ23" s="110"/>
      <c r="BR23" s="110"/>
      <c r="BS23" s="110"/>
      <c r="BT23" s="110"/>
      <c r="BU23" s="110"/>
      <c r="BV23" s="110"/>
      <c r="BW23" s="110"/>
      <c r="BX23" s="110"/>
      <c r="BY23" s="110"/>
      <c r="BZ23" s="110"/>
      <c r="CA23" s="110"/>
      <c r="CB23" s="110"/>
      <c r="CC23" s="110"/>
      <c r="CD23" s="110"/>
      <c r="CE23" s="110"/>
      <c r="CF23" s="110"/>
    </row>
    <row r="24" spans="1:84" s="45" customFormat="1" x14ac:dyDescent="0.25">
      <c r="A24" t="str">
        <f>Funktional!A24</f>
        <v>Bottighofen</v>
      </c>
      <c r="B24" t="str">
        <f>Funktional!B24</f>
        <v>PSG</v>
      </c>
      <c r="C24">
        <v>3.0300000000000001E-2</v>
      </c>
      <c r="D24">
        <v>3.8E-3</v>
      </c>
      <c r="E24" s="26">
        <f t="shared" ref="E24:E39" si="6">F24+G24</f>
        <v>18432754</v>
      </c>
      <c r="F24">
        <v>2227811.2999999998</v>
      </c>
      <c r="G24">
        <v>16204942.699999999</v>
      </c>
      <c r="H24">
        <v>487531.6</v>
      </c>
      <c r="I24" s="42">
        <f t="shared" si="1"/>
        <v>2.6449200157502236E-2</v>
      </c>
      <c r="J24" s="80">
        <f t="shared" si="2"/>
        <v>28045</v>
      </c>
      <c r="K24" s="43">
        <f>J24*'KiGa - PS'!L25</f>
        <v>22548.895992891416</v>
      </c>
      <c r="L24" s="42">
        <f>K24/Funktional!E24</f>
        <v>3.0037628703527431E-3</v>
      </c>
      <c r="M24">
        <v>30</v>
      </c>
      <c r="N24" s="43">
        <f>K24/Funktional!C24</f>
        <v>5637.2239982228539</v>
      </c>
      <c r="O24" s="44">
        <f>K24/Funktional!D24</f>
        <v>223.25639596922193</v>
      </c>
      <c r="P24">
        <v>7355</v>
      </c>
      <c r="Q24">
        <v>1300</v>
      </c>
      <c r="R24">
        <v>2500</v>
      </c>
      <c r="S24" s="43">
        <f t="shared" si="3"/>
        <v>11155</v>
      </c>
      <c r="T24">
        <v>12340</v>
      </c>
      <c r="U24">
        <v>1300</v>
      </c>
      <c r="V24">
        <v>1250</v>
      </c>
      <c r="W24" s="43">
        <f t="shared" si="4"/>
        <v>14890</v>
      </c>
      <c r="X24">
        <v>2000</v>
      </c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/>
      <c r="BA24" s="110"/>
      <c r="BB24" s="110"/>
      <c r="BC24" s="110"/>
      <c r="BD24" s="110"/>
      <c r="BE24" s="110"/>
      <c r="BF24" s="110"/>
      <c r="BG24" s="110"/>
      <c r="BH24" s="110"/>
      <c r="BI24" s="110"/>
      <c r="BJ24" s="110"/>
      <c r="BK24" s="110"/>
      <c r="BL24" s="110"/>
      <c r="BM24" s="110"/>
      <c r="BN24" s="110"/>
      <c r="BO24" s="110"/>
      <c r="BP24" s="110"/>
      <c r="BQ24" s="110"/>
      <c r="BR24" s="110"/>
      <c r="BS24" s="110"/>
      <c r="BT24" s="110"/>
      <c r="BU24" s="110"/>
      <c r="BV24" s="110"/>
      <c r="BW24" s="110"/>
      <c r="BX24" s="110"/>
      <c r="BY24" s="110"/>
      <c r="BZ24" s="110"/>
      <c r="CA24" s="110"/>
      <c r="CB24" s="110"/>
      <c r="CC24" s="110"/>
      <c r="CD24" s="110"/>
      <c r="CE24" s="110"/>
      <c r="CF24" s="110"/>
    </row>
    <row r="25" spans="1:84" s="45" customFormat="1" x14ac:dyDescent="0.25">
      <c r="A25" t="str">
        <f>Funktional!A25</f>
        <v>Braunau</v>
      </c>
      <c r="B25" t="str">
        <f>Funktional!B25</f>
        <v>PSG</v>
      </c>
      <c r="C25">
        <v>0.1114</v>
      </c>
      <c r="D25">
        <v>3.32E-2</v>
      </c>
      <c r="E25" s="26">
        <f t="shared" si="6"/>
        <v>1319185.6499999999</v>
      </c>
      <c r="F25">
        <v>1112516.7</v>
      </c>
      <c r="G25">
        <v>206668.95</v>
      </c>
      <c r="H25">
        <v>19951.599999999999</v>
      </c>
      <c r="I25" s="42">
        <f t="shared" ref="I25:I40" si="7">H25/E25</f>
        <v>1.5124179072141969E-2</v>
      </c>
      <c r="J25" s="80">
        <f t="shared" ref="J25:J40" si="8">S25+W25+X25</f>
        <v>15050</v>
      </c>
      <c r="K25" s="43">
        <f>J25*'KiGa - PS'!L26</f>
        <v>12483.1826401289</v>
      </c>
      <c r="L25" s="42">
        <f>K25/Funktional!E25</f>
        <v>1.7953621203644167E-2</v>
      </c>
      <c r="M25">
        <v>40</v>
      </c>
      <c r="N25" s="43">
        <f>K25/Funktional!C25</f>
        <v>4161.0608800429663</v>
      </c>
      <c r="O25" s="44">
        <f>K25/Funktional!D25</f>
        <v>198.14575619252221</v>
      </c>
      <c r="P25">
        <v>4000</v>
      </c>
      <c r="Q25">
        <v>2000</v>
      </c>
      <c r="R25">
        <v>1200</v>
      </c>
      <c r="S25" s="43">
        <f t="shared" ref="S25:S40" si="9">P25+Q25+R25</f>
        <v>7200</v>
      </c>
      <c r="T25">
        <v>5750</v>
      </c>
      <c r="U25">
        <v>0</v>
      </c>
      <c r="V25">
        <v>600</v>
      </c>
      <c r="W25" s="43">
        <f t="shared" ref="W25:W40" si="10">T25+U25+V25</f>
        <v>6350</v>
      </c>
      <c r="X25">
        <v>1500</v>
      </c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  <c r="AU25" s="110"/>
      <c r="AV25" s="110"/>
      <c r="AW25" s="110"/>
      <c r="AX25" s="110"/>
      <c r="AY25" s="110"/>
      <c r="AZ25" s="110"/>
      <c r="BA25" s="110"/>
      <c r="BB25" s="110"/>
      <c r="BC25" s="110"/>
      <c r="BD25" s="110"/>
      <c r="BE25" s="110"/>
      <c r="BF25" s="110"/>
      <c r="BG25" s="110"/>
      <c r="BH25" s="110"/>
      <c r="BI25" s="110"/>
      <c r="BJ25" s="110"/>
      <c r="BK25" s="110"/>
      <c r="BL25" s="110"/>
      <c r="BM25" s="110"/>
      <c r="BN25" s="110"/>
      <c r="BO25" s="110"/>
      <c r="BP25" s="110"/>
      <c r="BQ25" s="110"/>
      <c r="BR25" s="110"/>
      <c r="BS25" s="110"/>
      <c r="BT25" s="110"/>
      <c r="BU25" s="110"/>
      <c r="BV25" s="110"/>
      <c r="BW25" s="110"/>
      <c r="BX25" s="110"/>
      <c r="BY25" s="110"/>
      <c r="BZ25" s="110"/>
      <c r="CA25" s="110"/>
      <c r="CB25" s="110"/>
      <c r="CC25" s="110"/>
      <c r="CD25" s="110"/>
      <c r="CE25" s="110"/>
      <c r="CF25" s="110"/>
    </row>
    <row r="26" spans="1:84" s="45" customFormat="1" x14ac:dyDescent="0.25">
      <c r="A26" t="str">
        <f>Funktional!A26</f>
        <v>Buch bei Frauenfeld</v>
      </c>
      <c r="B26" t="str">
        <f>Funktional!B26</f>
        <v>PSG</v>
      </c>
      <c r="C26">
        <v>1.49E-2</v>
      </c>
      <c r="D26">
        <v>-1.1900000000000001E-2</v>
      </c>
      <c r="E26" s="26">
        <f t="shared" si="6"/>
        <v>491618.4</v>
      </c>
      <c r="F26">
        <v>204484</v>
      </c>
      <c r="G26">
        <v>287134.40000000002</v>
      </c>
      <c r="H26">
        <v>19203.650000000001</v>
      </c>
      <c r="I26" s="42">
        <f t="shared" si="7"/>
        <v>3.9062105893514158E-2</v>
      </c>
      <c r="J26" s="80">
        <f t="shared" si="8"/>
        <v>5800</v>
      </c>
      <c r="K26" s="43">
        <f>J26*'KiGa - PS'!L27</f>
        <v>5800</v>
      </c>
      <c r="L26" s="42">
        <f>K26/Funktional!E26</f>
        <v>1.3625559293970503E-2</v>
      </c>
      <c r="M26">
        <v>60</v>
      </c>
      <c r="N26" s="43">
        <f>K26/Funktional!C26</f>
        <v>2900</v>
      </c>
      <c r="O26" s="44">
        <f>K26/Funktional!D26</f>
        <v>134.88372093023256</v>
      </c>
      <c r="P26">
        <v>1500</v>
      </c>
      <c r="Q26">
        <v>0</v>
      </c>
      <c r="R26">
        <v>0</v>
      </c>
      <c r="S26" s="43">
        <f t="shared" si="9"/>
        <v>1500</v>
      </c>
      <c r="T26">
        <v>3500</v>
      </c>
      <c r="U26">
        <v>0</v>
      </c>
      <c r="V26">
        <v>0</v>
      </c>
      <c r="W26" s="43">
        <f t="shared" si="10"/>
        <v>3500</v>
      </c>
      <c r="X26">
        <v>800</v>
      </c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  <c r="AO26" s="110"/>
      <c r="AP26" s="110"/>
      <c r="AQ26" s="110"/>
      <c r="AR26" s="110"/>
      <c r="AS26" s="110"/>
      <c r="AT26" s="110"/>
      <c r="AU26" s="110"/>
      <c r="AV26" s="110"/>
      <c r="AW26" s="110"/>
      <c r="AX26" s="110"/>
      <c r="AY26" s="110"/>
      <c r="AZ26" s="110"/>
      <c r="BA26" s="110"/>
      <c r="BB26" s="110"/>
      <c r="BC26" s="110"/>
      <c r="BD26" s="110"/>
      <c r="BE26" s="110"/>
      <c r="BF26" s="110"/>
      <c r="BG26" s="110"/>
      <c r="BH26" s="110"/>
      <c r="BI26" s="110"/>
      <c r="BJ26" s="110"/>
      <c r="BK26" s="110"/>
      <c r="BL26" s="110"/>
      <c r="BM26" s="110"/>
      <c r="BN26" s="110"/>
      <c r="BO26" s="110"/>
      <c r="BP26" s="110"/>
      <c r="BQ26" s="110"/>
      <c r="BR26" s="110"/>
      <c r="BS26" s="110"/>
      <c r="BT26" s="110"/>
      <c r="BU26" s="110"/>
      <c r="BV26" s="110"/>
      <c r="BW26" s="110"/>
      <c r="BX26" s="110"/>
      <c r="BY26" s="110"/>
      <c r="BZ26" s="110"/>
      <c r="CA26" s="110"/>
      <c r="CB26" s="110"/>
      <c r="CC26" s="110"/>
      <c r="CD26" s="110"/>
      <c r="CE26" s="110"/>
      <c r="CF26" s="110"/>
    </row>
    <row r="27" spans="1:84" s="45" customFormat="1" x14ac:dyDescent="0.25">
      <c r="A27" t="str">
        <f>Funktional!A27</f>
        <v>Buhwil-Neukirch an der Thur</v>
      </c>
      <c r="B27" t="str">
        <f>Funktional!B27</f>
        <v>PSG</v>
      </c>
      <c r="C27">
        <v>6.9500000000000006E-2</v>
      </c>
      <c r="D27">
        <v>2.5700000000000001E-2</v>
      </c>
      <c r="E27" s="26">
        <f t="shared" si="6"/>
        <v>929262.6</v>
      </c>
      <c r="F27">
        <v>743963.85</v>
      </c>
      <c r="G27">
        <v>185298.75</v>
      </c>
      <c r="H27">
        <v>30505.200000000001</v>
      </c>
      <c r="I27" s="42">
        <f t="shared" si="7"/>
        <v>3.2827319209876735E-2</v>
      </c>
      <c r="J27" s="80">
        <f t="shared" si="8"/>
        <v>22494</v>
      </c>
      <c r="K27" s="43">
        <f>J27*'KiGa - PS'!L28</f>
        <v>19084.989917106097</v>
      </c>
      <c r="L27" s="42">
        <f>K27/Funktional!E27</f>
        <v>1.9563527389047059E-2</v>
      </c>
      <c r="M27">
        <v>50</v>
      </c>
      <c r="N27" s="43">
        <f>K27/Funktional!C27</f>
        <v>4771.2474792765242</v>
      </c>
      <c r="O27" s="44">
        <f>K27/Funktional!D27</f>
        <v>238.56237396382622</v>
      </c>
      <c r="P27">
        <v>3000</v>
      </c>
      <c r="Q27">
        <v>0</v>
      </c>
      <c r="R27">
        <v>1000</v>
      </c>
      <c r="S27" s="43">
        <f t="shared" si="9"/>
        <v>4000</v>
      </c>
      <c r="T27">
        <v>8328</v>
      </c>
      <c r="U27">
        <v>0</v>
      </c>
      <c r="V27">
        <v>3166</v>
      </c>
      <c r="W27" s="43">
        <f t="shared" si="10"/>
        <v>11494</v>
      </c>
      <c r="X27">
        <v>7000</v>
      </c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0"/>
      <c r="BE27" s="110"/>
      <c r="BF27" s="110"/>
      <c r="BG27" s="110"/>
      <c r="BH27" s="110"/>
      <c r="BI27" s="110"/>
      <c r="BJ27" s="110"/>
      <c r="BK27" s="110"/>
      <c r="BL27" s="110"/>
      <c r="BM27" s="110"/>
      <c r="BN27" s="110"/>
      <c r="BO27" s="110"/>
      <c r="BP27" s="110"/>
      <c r="BQ27" s="110"/>
      <c r="BR27" s="110"/>
      <c r="BS27" s="110"/>
      <c r="BT27" s="110"/>
      <c r="BU27" s="110"/>
      <c r="BV27" s="110"/>
      <c r="BW27" s="110"/>
      <c r="BX27" s="110"/>
      <c r="BY27" s="110"/>
      <c r="BZ27" s="110"/>
      <c r="CA27" s="110"/>
      <c r="CB27" s="110"/>
      <c r="CC27" s="110"/>
      <c r="CD27" s="110"/>
      <c r="CE27" s="110"/>
      <c r="CF27" s="110"/>
    </row>
    <row r="28" spans="1:84" s="45" customFormat="1" x14ac:dyDescent="0.25">
      <c r="A28" t="str">
        <f>Funktional!A28</f>
        <v>Bürglen</v>
      </c>
      <c r="B28" t="str">
        <f>Funktional!B28</f>
        <v>PSG</v>
      </c>
      <c r="C28">
        <v>0.13250000000000001</v>
      </c>
      <c r="D28">
        <v>5.1299999999999998E-2</v>
      </c>
      <c r="E28" s="26">
        <f t="shared" si="6"/>
        <v>5614210</v>
      </c>
      <c r="F28">
        <v>4229774</v>
      </c>
      <c r="G28">
        <v>1384436</v>
      </c>
      <c r="H28">
        <v>54703.35</v>
      </c>
      <c r="I28" s="42">
        <f t="shared" si="7"/>
        <v>9.7437306406422276E-3</v>
      </c>
      <c r="J28" s="80">
        <f t="shared" si="8"/>
        <v>71071</v>
      </c>
      <c r="K28" s="43">
        <f>J28*'KiGa - PS'!L29</f>
        <v>63311.132004520223</v>
      </c>
      <c r="L28" s="42">
        <f>K28/Funktional!E28</f>
        <v>2.034395222412989E-2</v>
      </c>
      <c r="M28">
        <v>60</v>
      </c>
      <c r="N28" s="43">
        <f>K28/Funktional!C28</f>
        <v>4870.0870772707867</v>
      </c>
      <c r="O28" s="44">
        <f>K28/Funktional!D28</f>
        <v>290.41803671798266</v>
      </c>
      <c r="P28">
        <v>18712</v>
      </c>
      <c r="Q28">
        <v>480</v>
      </c>
      <c r="R28">
        <v>2000</v>
      </c>
      <c r="S28" s="43">
        <f t="shared" si="9"/>
        <v>21192</v>
      </c>
      <c r="T28">
        <v>36899</v>
      </c>
      <c r="U28">
        <v>480</v>
      </c>
      <c r="V28">
        <v>4500</v>
      </c>
      <c r="W28" s="43">
        <f t="shared" si="10"/>
        <v>41879</v>
      </c>
      <c r="X28">
        <v>8000</v>
      </c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  <c r="AO28" s="110"/>
      <c r="AP28" s="110"/>
      <c r="AQ28" s="110"/>
      <c r="AR28" s="110"/>
      <c r="AS28" s="110"/>
      <c r="AT28" s="110"/>
      <c r="AU28" s="110"/>
      <c r="AV28" s="110"/>
      <c r="AW28" s="110"/>
      <c r="AX28" s="110"/>
      <c r="AY28" s="110"/>
      <c r="AZ28" s="110"/>
      <c r="BA28" s="110"/>
      <c r="BB28" s="110"/>
      <c r="BC28" s="110"/>
      <c r="BD28" s="110"/>
      <c r="BE28" s="110"/>
      <c r="BF28" s="110"/>
      <c r="BG28" s="110"/>
      <c r="BH28" s="110"/>
      <c r="BI28" s="110"/>
      <c r="BJ28" s="110"/>
      <c r="BK28" s="110"/>
      <c r="BL28" s="110"/>
      <c r="BM28" s="110"/>
      <c r="BN28" s="110"/>
      <c r="BO28" s="110"/>
      <c r="BP28" s="110"/>
      <c r="BQ28" s="110"/>
      <c r="BR28" s="110"/>
      <c r="BS28" s="110"/>
      <c r="BT28" s="110"/>
      <c r="BU28" s="110"/>
      <c r="BV28" s="110"/>
      <c r="BW28" s="110"/>
      <c r="BX28" s="110"/>
      <c r="BY28" s="110"/>
      <c r="BZ28" s="110"/>
      <c r="CA28" s="110"/>
      <c r="CB28" s="110"/>
      <c r="CC28" s="110"/>
      <c r="CD28" s="110"/>
      <c r="CE28" s="110"/>
      <c r="CF28" s="110"/>
    </row>
    <row r="29" spans="1:84" s="45" customFormat="1" x14ac:dyDescent="0.25">
      <c r="A29" t="str">
        <f>Funktional!A29</f>
        <v>Bussnang-Rothenhausen</v>
      </c>
      <c r="B29" t="str">
        <f>Funktional!B29</f>
        <v>PSG</v>
      </c>
      <c r="C29">
        <v>0.1424</v>
      </c>
      <c r="D29">
        <v>3.2599999999999997E-2</v>
      </c>
      <c r="E29" s="26">
        <f t="shared" si="6"/>
        <v>3650126.15</v>
      </c>
      <c r="F29">
        <v>2337892</v>
      </c>
      <c r="G29">
        <v>1312234.1499999999</v>
      </c>
      <c r="H29">
        <v>51291.5</v>
      </c>
      <c r="I29" s="42">
        <f t="shared" si="7"/>
        <v>1.4051980093893468E-2</v>
      </c>
      <c r="J29" s="80">
        <f t="shared" si="8"/>
        <v>30600</v>
      </c>
      <c r="K29" s="43">
        <f>J29*'KiGa - PS'!L30</f>
        <v>24539.946297598148</v>
      </c>
      <c r="L29" s="42">
        <f>K29/Funktional!E29</f>
        <v>2.4388103674306917E-2</v>
      </c>
      <c r="M29">
        <v>60</v>
      </c>
      <c r="N29" s="43">
        <f>K29/Funktional!C29</f>
        <v>6134.9865743995369</v>
      </c>
      <c r="O29" s="44">
        <f>K29/Funktional!D29</f>
        <v>255.62444059998072</v>
      </c>
      <c r="P29">
        <v>5000</v>
      </c>
      <c r="Q29">
        <v>500</v>
      </c>
      <c r="R29">
        <v>500</v>
      </c>
      <c r="S29" s="43">
        <f t="shared" si="9"/>
        <v>6000</v>
      </c>
      <c r="T29">
        <v>14300</v>
      </c>
      <c r="U29">
        <v>500</v>
      </c>
      <c r="V29">
        <v>3000</v>
      </c>
      <c r="W29" s="43">
        <f t="shared" si="10"/>
        <v>17800</v>
      </c>
      <c r="X29">
        <v>6800</v>
      </c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/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110"/>
      <c r="BJ29" s="110"/>
      <c r="BK29" s="110"/>
      <c r="BL29" s="110"/>
      <c r="BM29" s="110"/>
      <c r="BN29" s="110"/>
      <c r="BO29" s="110"/>
      <c r="BP29" s="110"/>
      <c r="BQ29" s="110"/>
      <c r="BR29" s="110"/>
      <c r="BS29" s="110"/>
      <c r="BT29" s="110"/>
      <c r="BU29" s="110"/>
      <c r="BV29" s="110"/>
      <c r="BW29" s="110"/>
      <c r="BX29" s="110"/>
      <c r="BY29" s="110"/>
      <c r="BZ29" s="110"/>
      <c r="CA29" s="110"/>
      <c r="CB29" s="110"/>
      <c r="CC29" s="110"/>
      <c r="CD29" s="110"/>
      <c r="CE29" s="110"/>
      <c r="CF29" s="110"/>
    </row>
    <row r="30" spans="1:84" s="45" customFormat="1" x14ac:dyDescent="0.25">
      <c r="A30" t="str">
        <f>Funktional!A30</f>
        <v>Busswil</v>
      </c>
      <c r="B30" t="str">
        <f>Funktional!B30</f>
        <v>PSG</v>
      </c>
      <c r="C30">
        <v>0.22750000000000001</v>
      </c>
      <c r="D30">
        <v>0.1</v>
      </c>
      <c r="E30" s="26">
        <f t="shared" si="6"/>
        <v>2825568.7</v>
      </c>
      <c r="F30">
        <v>2251785</v>
      </c>
      <c r="G30">
        <v>573783.69999999995</v>
      </c>
      <c r="H30">
        <v>18462.599999999999</v>
      </c>
      <c r="I30" s="42">
        <f t="shared" si="7"/>
        <v>6.5341182467090596E-3</v>
      </c>
      <c r="J30" s="80">
        <f t="shared" si="8"/>
        <v>19966</v>
      </c>
      <c r="K30" s="43">
        <f>J30*'KiGa - PS'!L31</f>
        <v>17205.109631548283</v>
      </c>
      <c r="L30" s="42">
        <f>K30/Funktional!E30</f>
        <v>1.8959477369462251E-2</v>
      </c>
      <c r="M30">
        <v>60</v>
      </c>
      <c r="N30" s="43">
        <f>K30/Funktional!C30</f>
        <v>4301.2774078870707</v>
      </c>
      <c r="O30" s="44">
        <f>K30/Funktional!D30</f>
        <v>193.31583855672227</v>
      </c>
      <c r="P30">
        <v>3066</v>
      </c>
      <c r="Q30">
        <v>1500</v>
      </c>
      <c r="R30">
        <v>1500</v>
      </c>
      <c r="S30" s="43">
        <f t="shared" si="9"/>
        <v>6066</v>
      </c>
      <c r="T30">
        <v>8500</v>
      </c>
      <c r="U30">
        <v>500</v>
      </c>
      <c r="V30">
        <v>1500</v>
      </c>
      <c r="W30" s="43">
        <f t="shared" si="10"/>
        <v>10500</v>
      </c>
      <c r="X30">
        <v>3400</v>
      </c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  <c r="AO30" s="110"/>
      <c r="AP30" s="110"/>
      <c r="AQ30" s="110"/>
      <c r="AR30" s="110"/>
      <c r="AS30" s="110"/>
      <c r="AT30" s="110"/>
      <c r="AU30" s="110"/>
      <c r="AV30" s="110"/>
      <c r="AW30" s="110"/>
      <c r="AX30" s="110"/>
      <c r="AY30" s="110"/>
      <c r="AZ30" s="110"/>
      <c r="BA30" s="110"/>
      <c r="BB30" s="110"/>
      <c r="BC30" s="110"/>
      <c r="BD30" s="110"/>
      <c r="BE30" s="110"/>
      <c r="BF30" s="110"/>
      <c r="BG30" s="110"/>
      <c r="BH30" s="110"/>
      <c r="BI30" s="110"/>
      <c r="BJ30" s="110"/>
      <c r="BK30" s="110"/>
      <c r="BL30" s="110"/>
      <c r="BM30" s="110"/>
      <c r="BN30" s="110"/>
      <c r="BO30" s="110"/>
      <c r="BP30" s="110"/>
      <c r="BQ30" s="110"/>
      <c r="BR30" s="110"/>
      <c r="BS30" s="110"/>
      <c r="BT30" s="110"/>
      <c r="BU30" s="110"/>
      <c r="BV30" s="110"/>
      <c r="BW30" s="110"/>
      <c r="BX30" s="110"/>
      <c r="BY30" s="110"/>
      <c r="BZ30" s="110"/>
      <c r="CA30" s="110"/>
      <c r="CB30" s="110"/>
      <c r="CC30" s="110"/>
      <c r="CD30" s="110"/>
      <c r="CE30" s="110"/>
      <c r="CF30" s="110"/>
    </row>
    <row r="31" spans="1:84" s="45" customFormat="1" x14ac:dyDescent="0.25">
      <c r="A31" t="str">
        <f>Funktional!A31</f>
        <v>Dettighofen-Lanzenneunforn</v>
      </c>
      <c r="B31" t="str">
        <f>Funktional!B31</f>
        <v>PSG</v>
      </c>
      <c r="C31">
        <v>0.15379999999999999</v>
      </c>
      <c r="D31">
        <v>2.7900000000000001E-2</v>
      </c>
      <c r="E31" s="26">
        <f t="shared" si="6"/>
        <v>2746608.45</v>
      </c>
      <c r="F31">
        <v>2360352</v>
      </c>
      <c r="G31">
        <v>386256.45</v>
      </c>
      <c r="H31">
        <v>52533</v>
      </c>
      <c r="I31" s="42">
        <f t="shared" si="7"/>
        <v>1.9126497626554669E-2</v>
      </c>
      <c r="J31" s="80">
        <f t="shared" si="8"/>
        <v>16900</v>
      </c>
      <c r="K31" s="43">
        <f>J31*'KiGa - PS'!L32</f>
        <v>14098.878145912879</v>
      </c>
      <c r="L31" s="42">
        <f>K31/Funktional!E31</f>
        <v>1.5721178115320054E-2</v>
      </c>
      <c r="M31">
        <v>75</v>
      </c>
      <c r="N31" s="43">
        <f>K31/Funktional!C31</f>
        <v>4028.2508988322511</v>
      </c>
      <c r="O31" s="44">
        <f>K31/Funktional!D31</f>
        <v>154.93272687816349</v>
      </c>
      <c r="P31">
        <v>2300</v>
      </c>
      <c r="Q31">
        <v>800</v>
      </c>
      <c r="R31">
        <v>0</v>
      </c>
      <c r="S31" s="43">
        <f t="shared" si="9"/>
        <v>3100</v>
      </c>
      <c r="T31">
        <v>6000</v>
      </c>
      <c r="U31">
        <v>800</v>
      </c>
      <c r="V31">
        <v>2500</v>
      </c>
      <c r="W31" s="43">
        <f t="shared" si="10"/>
        <v>9300</v>
      </c>
      <c r="X31">
        <v>4500</v>
      </c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110"/>
      <c r="BJ31" s="110"/>
      <c r="BK31" s="110"/>
      <c r="BL31" s="110"/>
      <c r="BM31" s="110"/>
      <c r="BN31" s="110"/>
      <c r="BO31" s="110"/>
      <c r="BP31" s="110"/>
      <c r="BQ31" s="110"/>
      <c r="BR31" s="110"/>
      <c r="BS31" s="110"/>
      <c r="BT31" s="110"/>
      <c r="BU31" s="110"/>
      <c r="BV31" s="110"/>
      <c r="BW31" s="110"/>
      <c r="BX31" s="110"/>
      <c r="BY31" s="110"/>
      <c r="BZ31" s="110"/>
      <c r="CA31" s="110"/>
      <c r="CB31" s="110"/>
      <c r="CC31" s="110"/>
      <c r="CD31" s="110"/>
      <c r="CE31" s="110"/>
      <c r="CF31" s="110"/>
    </row>
    <row r="32" spans="1:84" s="45" customFormat="1" x14ac:dyDescent="0.25">
      <c r="A32" t="str">
        <f>Funktional!A32</f>
        <v>Diessenhofen</v>
      </c>
      <c r="B32" t="str">
        <f>Funktional!B32</f>
        <v>PSG</v>
      </c>
      <c r="C32">
        <v>-2.35E-2</v>
      </c>
      <c r="D32">
        <v>-4.99E-2</v>
      </c>
      <c r="E32" s="26">
        <f t="shared" si="6"/>
        <v>2848824.1100000003</v>
      </c>
      <c r="F32">
        <v>1463162</v>
      </c>
      <c r="G32">
        <v>1385662.11</v>
      </c>
      <c r="H32">
        <v>263567.8</v>
      </c>
      <c r="I32" s="42">
        <f t="shared" si="7"/>
        <v>9.2518102144256265E-2</v>
      </c>
      <c r="J32" s="80">
        <f t="shared" si="8"/>
        <v>48234</v>
      </c>
      <c r="K32" s="43">
        <f>J32*'KiGa - PS'!L33</f>
        <v>40509.433643634744</v>
      </c>
      <c r="L32" s="42">
        <f>K32/Funktional!E32</f>
        <v>1.5688146168611663E-2</v>
      </c>
      <c r="M32">
        <v>60</v>
      </c>
      <c r="N32" s="43">
        <f>K32/Funktional!C32</f>
        <v>3682.6757857849766</v>
      </c>
      <c r="O32" s="44">
        <f>K32/Funktional!D32</f>
        <v>173.86023023019203</v>
      </c>
      <c r="P32">
        <v>13934</v>
      </c>
      <c r="Q32">
        <v>0</v>
      </c>
      <c r="R32">
        <v>3400</v>
      </c>
      <c r="S32" s="43">
        <f t="shared" si="9"/>
        <v>17334</v>
      </c>
      <c r="T32">
        <v>27900</v>
      </c>
      <c r="U32">
        <v>0</v>
      </c>
      <c r="V32">
        <v>0</v>
      </c>
      <c r="W32" s="43">
        <f t="shared" si="10"/>
        <v>27900</v>
      </c>
      <c r="X32">
        <v>3000</v>
      </c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  <c r="AO32" s="110"/>
      <c r="AP32" s="110"/>
      <c r="AQ32" s="110"/>
      <c r="AR32" s="110"/>
      <c r="AS32" s="110"/>
      <c r="AT32" s="110"/>
      <c r="AU32" s="110"/>
      <c r="AV32" s="110"/>
      <c r="AW32" s="110"/>
      <c r="AX32" s="110"/>
      <c r="AY32" s="110"/>
      <c r="AZ32" s="110"/>
      <c r="BA32" s="110"/>
      <c r="BB32" s="110"/>
      <c r="BC32" s="110"/>
      <c r="BD32" s="110"/>
      <c r="BE32" s="110"/>
      <c r="BF32" s="110"/>
      <c r="BG32" s="110"/>
      <c r="BH32" s="110"/>
      <c r="BI32" s="110"/>
      <c r="BJ32" s="110"/>
      <c r="BK32" s="110"/>
      <c r="BL32" s="110"/>
      <c r="BM32" s="110"/>
      <c r="BN32" s="110"/>
      <c r="BO32" s="110"/>
      <c r="BP32" s="110"/>
      <c r="BQ32" s="110"/>
      <c r="BR32" s="110"/>
      <c r="BS32" s="110"/>
      <c r="BT32" s="110"/>
      <c r="BU32" s="110"/>
      <c r="BV32" s="110"/>
      <c r="BW32" s="110"/>
      <c r="BX32" s="110"/>
      <c r="BY32" s="110"/>
      <c r="BZ32" s="110"/>
      <c r="CA32" s="110"/>
      <c r="CB32" s="110"/>
      <c r="CC32" s="110"/>
      <c r="CD32" s="110"/>
      <c r="CE32" s="110"/>
      <c r="CF32" s="110"/>
    </row>
    <row r="33" spans="1:84" s="45" customFormat="1" x14ac:dyDescent="0.25">
      <c r="A33" t="str">
        <f>Funktional!A33</f>
        <v>Dingetswil</v>
      </c>
      <c r="B33" t="str">
        <f>Funktional!B33</f>
        <v>PSG</v>
      </c>
      <c r="C33">
        <v>-3.3300000000000003E-2</v>
      </c>
      <c r="D33">
        <v>-6.5600000000000006E-2</v>
      </c>
      <c r="E33" s="26">
        <f t="shared" si="6"/>
        <v>136929.70000000001</v>
      </c>
      <c r="F33">
        <v>64710</v>
      </c>
      <c r="G33">
        <v>72219.7</v>
      </c>
      <c r="H33">
        <v>12379.9</v>
      </c>
      <c r="I33" s="42">
        <f t="shared" si="7"/>
        <v>9.0410626766873795E-2</v>
      </c>
      <c r="J33" s="80">
        <f t="shared" si="8"/>
        <v>3200</v>
      </c>
      <c r="K33" s="43">
        <f>J33*'KiGa - PS'!L34</f>
        <v>3200</v>
      </c>
      <c r="L33" s="42">
        <f>K33/Funktional!E33</f>
        <v>6.9697642912838739E-2</v>
      </c>
      <c r="M33">
        <v>40</v>
      </c>
      <c r="N33" s="43">
        <f>K33/Funktional!C33</f>
        <v>3200</v>
      </c>
      <c r="O33" s="44">
        <f>K33/Funktional!D33</f>
        <v>3200</v>
      </c>
      <c r="P33">
        <v>600</v>
      </c>
      <c r="Q33">
        <v>0</v>
      </c>
      <c r="R33">
        <v>0</v>
      </c>
      <c r="S33" s="43">
        <f t="shared" si="9"/>
        <v>600</v>
      </c>
      <c r="T33">
        <v>2000</v>
      </c>
      <c r="U33">
        <v>0</v>
      </c>
      <c r="V33">
        <v>600</v>
      </c>
      <c r="W33" s="43">
        <f t="shared" si="10"/>
        <v>2600</v>
      </c>
      <c r="X33">
        <v>0</v>
      </c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110"/>
      <c r="BJ33" s="110"/>
      <c r="BK33" s="110"/>
      <c r="BL33" s="110"/>
      <c r="BM33" s="110"/>
      <c r="BN33" s="110"/>
      <c r="BO33" s="110"/>
      <c r="BP33" s="110"/>
      <c r="BQ33" s="110"/>
      <c r="BR33" s="110"/>
      <c r="BS33" s="110"/>
      <c r="BT33" s="110"/>
      <c r="BU33" s="110"/>
      <c r="BV33" s="110"/>
      <c r="BW33" s="110"/>
      <c r="BX33" s="110"/>
      <c r="BY33" s="110"/>
      <c r="BZ33" s="110"/>
      <c r="CA33" s="110"/>
      <c r="CB33" s="110"/>
      <c r="CC33" s="110"/>
      <c r="CD33" s="110"/>
      <c r="CE33" s="110"/>
      <c r="CF33" s="110"/>
    </row>
    <row r="34" spans="1:84" s="45" customFormat="1" x14ac:dyDescent="0.25">
      <c r="A34" t="str">
        <f>Funktional!A34</f>
        <v>Donzhausen</v>
      </c>
      <c r="B34" t="str">
        <f>Funktional!B34</f>
        <v>PSG</v>
      </c>
      <c r="C34">
        <v>0.1361</v>
      </c>
      <c r="D34">
        <v>3.7999999999999999E-2</v>
      </c>
      <c r="E34" s="26">
        <f t="shared" si="6"/>
        <v>1109766</v>
      </c>
      <c r="F34">
        <v>910559.5</v>
      </c>
      <c r="G34">
        <v>199206.5</v>
      </c>
      <c r="H34">
        <v>35853.599999999999</v>
      </c>
      <c r="I34" s="42">
        <f t="shared" si="7"/>
        <v>3.2307351279458912E-2</v>
      </c>
      <c r="J34" s="80">
        <f t="shared" si="8"/>
        <v>12200</v>
      </c>
      <c r="K34" s="43">
        <f>J34*'KiGa - PS'!L35</f>
        <v>10287.040471947537</v>
      </c>
      <c r="L34" s="42">
        <f>K34/Funktional!E34</f>
        <v>1.9503495362084788E-2</v>
      </c>
      <c r="M34">
        <v>60</v>
      </c>
      <c r="N34" s="43">
        <f>K34/Funktional!C34</f>
        <v>5143.5202359737686</v>
      </c>
      <c r="O34" s="44">
        <f>K34/Funktional!D34</f>
        <v>285.75112422076495</v>
      </c>
      <c r="P34">
        <v>1700</v>
      </c>
      <c r="Q34">
        <v>1400</v>
      </c>
      <c r="R34">
        <v>500</v>
      </c>
      <c r="S34" s="43">
        <f t="shared" si="9"/>
        <v>3600</v>
      </c>
      <c r="T34">
        <v>4360</v>
      </c>
      <c r="U34">
        <v>1500</v>
      </c>
      <c r="V34">
        <v>1240</v>
      </c>
      <c r="W34" s="43">
        <f t="shared" si="10"/>
        <v>7100</v>
      </c>
      <c r="X34">
        <v>1500</v>
      </c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110"/>
      <c r="BJ34" s="110"/>
      <c r="BK34" s="110"/>
      <c r="BL34" s="110"/>
      <c r="BM34" s="110"/>
      <c r="BN34" s="110"/>
      <c r="BO34" s="110"/>
      <c r="BP34" s="110"/>
      <c r="BQ34" s="110"/>
      <c r="BR34" s="110"/>
      <c r="BS34" s="110"/>
      <c r="BT34" s="110"/>
      <c r="BU34" s="110"/>
      <c r="BV34" s="110"/>
      <c r="BW34" s="110"/>
      <c r="BX34" s="110"/>
      <c r="BY34" s="110"/>
      <c r="BZ34" s="110"/>
      <c r="CA34" s="110"/>
      <c r="CB34" s="110"/>
      <c r="CC34" s="110"/>
      <c r="CD34" s="110"/>
      <c r="CE34" s="110"/>
      <c r="CF34" s="110"/>
    </row>
    <row r="35" spans="1:84" s="45" customFormat="1" x14ac:dyDescent="0.25">
      <c r="A35" t="str">
        <f>Funktional!A35</f>
        <v>Dozwil</v>
      </c>
      <c r="B35" t="str">
        <f>Funktional!B35</f>
        <v>PSG</v>
      </c>
      <c r="C35">
        <v>0.1903</v>
      </c>
      <c r="D35">
        <v>9.64E-2</v>
      </c>
      <c r="E35" s="26">
        <f t="shared" si="6"/>
        <v>1795719.75</v>
      </c>
      <c r="F35">
        <v>1007168.2</v>
      </c>
      <c r="G35">
        <v>788551.55</v>
      </c>
      <c r="H35">
        <v>18801.7</v>
      </c>
      <c r="I35" s="42">
        <f t="shared" si="7"/>
        <v>1.047028635732274E-2</v>
      </c>
      <c r="J35" s="80">
        <f t="shared" si="8"/>
        <v>13400</v>
      </c>
      <c r="K35" s="43">
        <f>J35*'KiGa - PS'!L36</f>
        <v>13400</v>
      </c>
      <c r="L35" s="42">
        <f>K35/Funktional!E35</f>
        <v>2.8064029129624506E-2</v>
      </c>
      <c r="M35">
        <v>50</v>
      </c>
      <c r="N35" s="43">
        <f>K35/Funktional!C35</f>
        <v>6700</v>
      </c>
      <c r="O35" s="44">
        <f>K35/Funktional!D35</f>
        <v>279.16666666666669</v>
      </c>
      <c r="P35">
        <v>4000</v>
      </c>
      <c r="Q35">
        <v>0</v>
      </c>
      <c r="R35">
        <v>700</v>
      </c>
      <c r="S35" s="43">
        <f t="shared" si="9"/>
        <v>4700</v>
      </c>
      <c r="T35">
        <v>7000</v>
      </c>
      <c r="U35">
        <v>0</v>
      </c>
      <c r="V35">
        <v>700</v>
      </c>
      <c r="W35" s="43">
        <f t="shared" si="10"/>
        <v>7700</v>
      </c>
      <c r="X35">
        <v>1000</v>
      </c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  <c r="AO35" s="110"/>
      <c r="AP35" s="110"/>
      <c r="AQ35" s="110"/>
      <c r="AR35" s="110"/>
      <c r="AS35" s="110"/>
      <c r="AT35" s="110"/>
      <c r="AU35" s="110"/>
      <c r="AV35" s="110"/>
      <c r="AW35" s="110"/>
      <c r="AX35" s="110"/>
      <c r="AY35" s="110"/>
      <c r="AZ35" s="110"/>
      <c r="BA35" s="110"/>
      <c r="BB35" s="110"/>
      <c r="BC35" s="110"/>
      <c r="BD35" s="110"/>
      <c r="BE35" s="110"/>
      <c r="BF35" s="110"/>
      <c r="BG35" s="110"/>
      <c r="BH35" s="110"/>
      <c r="BI35" s="110"/>
      <c r="BJ35" s="110"/>
      <c r="BK35" s="110"/>
      <c r="BL35" s="110"/>
      <c r="BM35" s="110"/>
      <c r="BN35" s="110"/>
      <c r="BO35" s="110"/>
      <c r="BP35" s="110"/>
      <c r="BQ35" s="110"/>
      <c r="BR35" s="110"/>
      <c r="BS35" s="110"/>
      <c r="BT35" s="110"/>
      <c r="BU35" s="110"/>
      <c r="BV35" s="110"/>
      <c r="BW35" s="110"/>
      <c r="BX35" s="110"/>
      <c r="BY35" s="110"/>
      <c r="BZ35" s="110"/>
      <c r="CA35" s="110"/>
      <c r="CB35" s="110"/>
      <c r="CC35" s="110"/>
      <c r="CD35" s="110"/>
      <c r="CE35" s="110"/>
      <c r="CF35" s="110"/>
    </row>
    <row r="36" spans="1:84" s="45" customFormat="1" x14ac:dyDescent="0.25">
      <c r="A36" t="str">
        <f>Funktional!A36</f>
        <v>Dussnang-Oberwangen</v>
      </c>
      <c r="B36" t="str">
        <f>Funktional!B36</f>
        <v>PSG</v>
      </c>
      <c r="C36">
        <v>0.1181</v>
      </c>
      <c r="D36">
        <v>5.0799999999999998E-2</v>
      </c>
      <c r="E36" s="26">
        <f t="shared" si="6"/>
        <v>3081662.9</v>
      </c>
      <c r="F36">
        <v>2268870.9</v>
      </c>
      <c r="G36">
        <v>812792</v>
      </c>
      <c r="H36">
        <v>38903.050000000003</v>
      </c>
      <c r="I36" s="42">
        <f t="shared" si="7"/>
        <v>1.2624044635122162E-2</v>
      </c>
      <c r="J36" s="80">
        <f t="shared" si="8"/>
        <v>34630</v>
      </c>
      <c r="K36" s="43">
        <f>J36*'KiGa - PS'!L37</f>
        <v>30533.11912260341</v>
      </c>
      <c r="L36" s="42">
        <f>K36/Funktional!E36</f>
        <v>1.6065436755344047E-2</v>
      </c>
      <c r="M36">
        <v>70</v>
      </c>
      <c r="N36" s="43">
        <f>K36/Funktional!C36</f>
        <v>3392.5687914003788</v>
      </c>
      <c r="O36" s="44">
        <f>K36/Funktional!D36</f>
        <v>169.62843957001894</v>
      </c>
      <c r="P36">
        <v>6900</v>
      </c>
      <c r="Q36">
        <v>380</v>
      </c>
      <c r="R36">
        <v>3000</v>
      </c>
      <c r="S36" s="43">
        <f t="shared" si="9"/>
        <v>10280</v>
      </c>
      <c r="T36">
        <v>20300</v>
      </c>
      <c r="U36">
        <v>450</v>
      </c>
      <c r="V36">
        <v>3600</v>
      </c>
      <c r="W36" s="43">
        <f t="shared" si="10"/>
        <v>24350</v>
      </c>
      <c r="X36">
        <v>0</v>
      </c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/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110"/>
      <c r="BJ36" s="110"/>
      <c r="BK36" s="110"/>
      <c r="BL36" s="110"/>
      <c r="BM36" s="110"/>
      <c r="BN36" s="110"/>
      <c r="BO36" s="110"/>
      <c r="BP36" s="110"/>
      <c r="BQ36" s="110"/>
      <c r="BR36" s="110"/>
      <c r="BS36" s="110"/>
      <c r="BT36" s="110"/>
      <c r="BU36" s="110"/>
      <c r="BV36" s="110"/>
      <c r="BW36" s="110"/>
      <c r="BX36" s="110"/>
      <c r="BY36" s="110"/>
      <c r="BZ36" s="110"/>
      <c r="CA36" s="110"/>
      <c r="CB36" s="110"/>
      <c r="CC36" s="110"/>
      <c r="CD36" s="110"/>
      <c r="CE36" s="110"/>
      <c r="CF36" s="110"/>
    </row>
    <row r="37" spans="1:84" s="45" customFormat="1" x14ac:dyDescent="0.25">
      <c r="A37" t="str">
        <f>Funktional!A37</f>
        <v>Egg</v>
      </c>
      <c r="B37" t="str">
        <f>Funktional!B37</f>
        <v>PSG</v>
      </c>
      <c r="C37">
        <v>4.3299999999999998E-2</v>
      </c>
      <c r="D37">
        <v>2.1600000000000001E-2</v>
      </c>
      <c r="E37" s="26">
        <f t="shared" si="6"/>
        <v>829970.65</v>
      </c>
      <c r="F37">
        <v>308954</v>
      </c>
      <c r="G37">
        <v>521016.65</v>
      </c>
      <c r="H37">
        <v>14732.05</v>
      </c>
      <c r="I37" s="42">
        <f t="shared" si="7"/>
        <v>1.7750085500011354E-2</v>
      </c>
      <c r="J37" s="80">
        <f t="shared" si="8"/>
        <v>19900</v>
      </c>
      <c r="K37" s="43">
        <f>J37*'KiGa - PS'!L38</f>
        <v>17364.87857364053</v>
      </c>
      <c r="L37" s="42">
        <f>K37/Funktional!E37</f>
        <v>2.3046823675758756E-2</v>
      </c>
      <c r="M37">
        <v>60</v>
      </c>
      <c r="N37" s="43">
        <f>K37/Funktional!C37</f>
        <v>4341.2196434101324</v>
      </c>
      <c r="O37" s="44">
        <f>K37/Funktional!D37</f>
        <v>209.21540450169314</v>
      </c>
      <c r="P37">
        <v>4000</v>
      </c>
      <c r="Q37">
        <v>2000</v>
      </c>
      <c r="R37">
        <v>800</v>
      </c>
      <c r="S37" s="43">
        <f t="shared" si="9"/>
        <v>6800</v>
      </c>
      <c r="T37">
        <v>7500</v>
      </c>
      <c r="U37">
        <v>2000</v>
      </c>
      <c r="V37">
        <v>800</v>
      </c>
      <c r="W37" s="43">
        <f t="shared" si="10"/>
        <v>10300</v>
      </c>
      <c r="X37">
        <v>2800</v>
      </c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  <c r="AO37" s="110"/>
      <c r="AP37" s="110"/>
      <c r="AQ37" s="110"/>
      <c r="AR37" s="110"/>
      <c r="AS37" s="110"/>
      <c r="AT37" s="110"/>
      <c r="AU37" s="110"/>
      <c r="AV37" s="110"/>
      <c r="AW37" s="110"/>
      <c r="AX37" s="110"/>
      <c r="AY37" s="110"/>
      <c r="AZ37" s="110"/>
      <c r="BA37" s="110"/>
      <c r="BB37" s="110"/>
      <c r="BC37" s="110"/>
      <c r="BD37" s="110"/>
      <c r="BE37" s="110"/>
      <c r="BF37" s="110"/>
      <c r="BG37" s="110"/>
      <c r="BH37" s="110"/>
      <c r="BI37" s="110"/>
      <c r="BJ37" s="110"/>
      <c r="BK37" s="110"/>
      <c r="BL37" s="110"/>
      <c r="BM37" s="110"/>
      <c r="BN37" s="110"/>
      <c r="BO37" s="110"/>
      <c r="BP37" s="110"/>
      <c r="BQ37" s="110"/>
      <c r="BR37" s="110"/>
      <c r="BS37" s="110"/>
      <c r="BT37" s="110"/>
      <c r="BU37" s="110"/>
      <c r="BV37" s="110"/>
      <c r="BW37" s="110"/>
      <c r="BX37" s="110"/>
      <c r="BY37" s="110"/>
      <c r="BZ37" s="110"/>
      <c r="CA37" s="110"/>
      <c r="CB37" s="110"/>
      <c r="CC37" s="110"/>
      <c r="CD37" s="110"/>
      <c r="CE37" s="110"/>
      <c r="CF37" s="110"/>
    </row>
    <row r="38" spans="1:84" s="45" customFormat="1" x14ac:dyDescent="0.25">
      <c r="A38" t="str">
        <f>Funktional!A38</f>
        <v>Eggethof</v>
      </c>
      <c r="B38" t="str">
        <f>Funktional!B38</f>
        <v>PSG</v>
      </c>
      <c r="C38">
        <v>-9.9000000000000008E-3</v>
      </c>
      <c r="D38">
        <v>-1.9900000000000001E-2</v>
      </c>
      <c r="E38" s="26">
        <f t="shared" si="6"/>
        <v>242071.25</v>
      </c>
      <c r="F38">
        <v>224756.75</v>
      </c>
      <c r="G38">
        <v>17314.5</v>
      </c>
      <c r="H38">
        <v>16101.7</v>
      </c>
      <c r="I38" s="42">
        <f t="shared" si="7"/>
        <v>6.6516366565628926E-2</v>
      </c>
      <c r="J38" s="80">
        <f t="shared" si="8"/>
        <v>9681</v>
      </c>
      <c r="K38" s="43">
        <f>J38*'KiGa - PS'!L39</f>
        <v>9681</v>
      </c>
      <c r="L38" s="42">
        <f>K38/Funktional!E38</f>
        <v>2.1812295073194883E-2</v>
      </c>
      <c r="M38">
        <v>60</v>
      </c>
      <c r="N38" s="43">
        <f>K38/Funktional!C38</f>
        <v>4840.5</v>
      </c>
      <c r="O38" s="44">
        <f>K38/Funktional!D38</f>
        <v>254.76315789473685</v>
      </c>
      <c r="P38">
        <v>2030</v>
      </c>
      <c r="Q38">
        <v>150</v>
      </c>
      <c r="R38">
        <v>0</v>
      </c>
      <c r="S38" s="43">
        <f t="shared" si="9"/>
        <v>2180</v>
      </c>
      <c r="T38">
        <v>5301</v>
      </c>
      <c r="U38">
        <v>200</v>
      </c>
      <c r="V38">
        <v>1500</v>
      </c>
      <c r="W38" s="43">
        <f t="shared" si="10"/>
        <v>7001</v>
      </c>
      <c r="X38">
        <v>500</v>
      </c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0"/>
      <c r="AR38" s="110"/>
      <c r="AS38" s="110"/>
      <c r="AT38" s="110"/>
      <c r="AU38" s="110"/>
      <c r="AV38" s="110"/>
      <c r="AW38" s="110"/>
      <c r="AX38" s="110"/>
      <c r="AY38" s="110"/>
      <c r="AZ38" s="110"/>
      <c r="BA38" s="110"/>
      <c r="BB38" s="110"/>
      <c r="BC38" s="110"/>
      <c r="BD38" s="110"/>
      <c r="BE38" s="110"/>
      <c r="BF38" s="110"/>
      <c r="BG38" s="110"/>
      <c r="BH38" s="110"/>
      <c r="BI38" s="110"/>
      <c r="BJ38" s="110"/>
      <c r="BK38" s="110"/>
      <c r="BL38" s="110"/>
      <c r="BM38" s="110"/>
      <c r="BN38" s="110"/>
      <c r="BO38" s="110"/>
      <c r="BP38" s="110"/>
      <c r="BQ38" s="110"/>
      <c r="BR38" s="110"/>
      <c r="BS38" s="110"/>
      <c r="BT38" s="110"/>
      <c r="BU38" s="110"/>
      <c r="BV38" s="110"/>
      <c r="BW38" s="110"/>
      <c r="BX38" s="110"/>
      <c r="BY38" s="110"/>
      <c r="BZ38" s="110"/>
      <c r="CA38" s="110"/>
      <c r="CB38" s="110"/>
      <c r="CC38" s="110"/>
      <c r="CD38" s="110"/>
      <c r="CE38" s="110"/>
      <c r="CF38" s="110"/>
    </row>
    <row r="39" spans="1:84" s="45" customFormat="1" x14ac:dyDescent="0.25">
      <c r="A39" t="str">
        <f>Funktional!A39</f>
        <v>Egnach</v>
      </c>
      <c r="B39" t="str">
        <f>Funktional!B39</f>
        <v>PSG</v>
      </c>
      <c r="C39">
        <v>5.11E-2</v>
      </c>
      <c r="D39">
        <v>-1.5100000000000001E-2</v>
      </c>
      <c r="E39" s="26">
        <f t="shared" si="6"/>
        <v>1625997.65</v>
      </c>
      <c r="F39">
        <v>1542009</v>
      </c>
      <c r="G39">
        <v>83988.65</v>
      </c>
      <c r="H39">
        <v>79217.45</v>
      </c>
      <c r="I39" s="42">
        <f t="shared" si="7"/>
        <v>4.8719289354446485E-2</v>
      </c>
      <c r="J39" s="80">
        <f t="shared" si="8"/>
        <v>24140</v>
      </c>
      <c r="K39" s="43">
        <f>J39*'KiGa - PS'!L40</f>
        <v>20490.273441898484</v>
      </c>
      <c r="L39" s="42">
        <f>K39/Funktional!E39</f>
        <v>1.5657269505161855E-2</v>
      </c>
      <c r="M39">
        <v>60</v>
      </c>
      <c r="N39" s="43">
        <f>K39/Funktional!C39</f>
        <v>2561.2841802373105</v>
      </c>
      <c r="O39" s="44">
        <f>K39/Funktional!D39</f>
        <v>123.43538218011135</v>
      </c>
      <c r="P39">
        <v>4800</v>
      </c>
      <c r="Q39">
        <v>1000</v>
      </c>
      <c r="R39">
        <v>0</v>
      </c>
      <c r="S39" s="43">
        <f t="shared" si="9"/>
        <v>5800</v>
      </c>
      <c r="T39">
        <v>12840</v>
      </c>
      <c r="U39">
        <v>0</v>
      </c>
      <c r="V39">
        <v>1500</v>
      </c>
      <c r="W39" s="43">
        <f t="shared" si="10"/>
        <v>14340</v>
      </c>
      <c r="X39">
        <v>4000</v>
      </c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  <c r="BS39" s="110"/>
      <c r="BT39" s="110"/>
      <c r="BU39" s="110"/>
      <c r="BV39" s="110"/>
      <c r="BW39" s="110"/>
      <c r="BX39" s="110"/>
      <c r="BY39" s="110"/>
      <c r="BZ39" s="110"/>
      <c r="CA39" s="110"/>
      <c r="CB39" s="110"/>
      <c r="CC39" s="110"/>
      <c r="CD39" s="110"/>
      <c r="CE39" s="110"/>
      <c r="CF39" s="110"/>
    </row>
    <row r="40" spans="1:84" s="45" customFormat="1" x14ac:dyDescent="0.25">
      <c r="A40" t="str">
        <f>Funktional!A40</f>
        <v>Engelswilen-Dotnacht</v>
      </c>
      <c r="B40" t="str">
        <f>Funktional!B40</f>
        <v>PSG</v>
      </c>
      <c r="C40">
        <v>5.2200000000000003E-2</v>
      </c>
      <c r="D40">
        <v>1.4999999999999999E-2</v>
      </c>
      <c r="E40" s="26">
        <f t="shared" ref="E40:E48" si="11">F40+G40</f>
        <v>520449.2</v>
      </c>
      <c r="F40">
        <v>366410.5</v>
      </c>
      <c r="G40">
        <v>154038.70000000001</v>
      </c>
      <c r="H40">
        <v>19280.599999999999</v>
      </c>
      <c r="I40" s="42">
        <f t="shared" si="7"/>
        <v>3.7046074813833894E-2</v>
      </c>
      <c r="J40" s="80">
        <f t="shared" si="8"/>
        <v>9500</v>
      </c>
      <c r="K40" s="43">
        <f>J40*'KiGa - PS'!L41</f>
        <v>9500</v>
      </c>
      <c r="L40" s="42">
        <f>K40/Funktional!E40</f>
        <v>1.6097768696753452E-2</v>
      </c>
      <c r="M40">
        <v>60</v>
      </c>
      <c r="N40" s="43">
        <f>K40/Funktional!C40</f>
        <v>4750</v>
      </c>
      <c r="O40" s="44">
        <f>K40/Funktional!D40</f>
        <v>243.58974358974359</v>
      </c>
      <c r="P40">
        <v>2000</v>
      </c>
      <c r="Q40">
        <v>0</v>
      </c>
      <c r="R40">
        <v>500</v>
      </c>
      <c r="S40" s="43">
        <f t="shared" si="9"/>
        <v>2500</v>
      </c>
      <c r="T40">
        <v>6500</v>
      </c>
      <c r="U40">
        <v>0</v>
      </c>
      <c r="V40">
        <v>500</v>
      </c>
      <c r="W40" s="43">
        <f t="shared" si="10"/>
        <v>7000</v>
      </c>
      <c r="X40">
        <v>0</v>
      </c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  <c r="AO40" s="110"/>
      <c r="AP40" s="110"/>
      <c r="AQ40" s="110"/>
      <c r="AR40" s="110"/>
      <c r="AS40" s="110"/>
      <c r="AT40" s="110"/>
      <c r="AU40" s="110"/>
      <c r="AV40" s="110"/>
      <c r="AW40" s="110"/>
      <c r="AX40" s="110"/>
      <c r="AY40" s="110"/>
      <c r="AZ40" s="110"/>
      <c r="BA40" s="110"/>
      <c r="BB40" s="110"/>
      <c r="BC40" s="110"/>
      <c r="BD40" s="110"/>
      <c r="BE40" s="110"/>
      <c r="BF40" s="110"/>
      <c r="BG40" s="110"/>
      <c r="BH40" s="110"/>
      <c r="BI40" s="110"/>
      <c r="BJ40" s="110"/>
      <c r="BK40" s="110"/>
      <c r="BL40" s="110"/>
      <c r="BM40" s="110"/>
      <c r="BN40" s="110"/>
      <c r="BO40" s="110"/>
      <c r="BP40" s="110"/>
      <c r="BQ40" s="110"/>
      <c r="BR40" s="110"/>
      <c r="BS40" s="110"/>
      <c r="BT40" s="110"/>
      <c r="BU40" s="110"/>
      <c r="BV40" s="110"/>
      <c r="BW40" s="110"/>
      <c r="BX40" s="110"/>
      <c r="BY40" s="110"/>
      <c r="BZ40" s="110"/>
      <c r="CA40" s="110"/>
      <c r="CB40" s="110"/>
      <c r="CC40" s="110"/>
      <c r="CD40" s="110"/>
      <c r="CE40" s="110"/>
      <c r="CF40" s="110"/>
    </row>
    <row r="41" spans="1:84" s="45" customFormat="1" x14ac:dyDescent="0.25">
      <c r="A41" t="str">
        <f>Funktional!A41</f>
        <v>Engwang-Wagerswil</v>
      </c>
      <c r="B41" t="str">
        <f>Funktional!B41</f>
        <v>PSG</v>
      </c>
      <c r="C41">
        <v>0.12230000000000001</v>
      </c>
      <c r="D41">
        <v>2.01E-2</v>
      </c>
      <c r="E41" s="26">
        <f t="shared" si="11"/>
        <v>933007.85</v>
      </c>
      <c r="F41">
        <v>748871.95</v>
      </c>
      <c r="G41">
        <v>184135.9</v>
      </c>
      <c r="H41">
        <v>18718.75</v>
      </c>
      <c r="I41" s="42">
        <f t="shared" ref="I41:I56" si="12">H41/E41</f>
        <v>2.0062800114704286E-2</v>
      </c>
      <c r="J41" s="80">
        <f t="shared" ref="J41:J56" si="13">S41+W41+X41</f>
        <v>6330</v>
      </c>
      <c r="K41" s="43">
        <f>J41*'KiGa - PS'!L42</f>
        <v>6330</v>
      </c>
      <c r="L41" s="42">
        <f>K41/Funktional!E41</f>
        <v>1.3722446714417023E-2</v>
      </c>
      <c r="M41">
        <v>70</v>
      </c>
      <c r="N41" s="43">
        <f>K41/Funktional!C41</f>
        <v>3165</v>
      </c>
      <c r="O41" s="44">
        <f>K41/Funktional!D41</f>
        <v>124.11764705882354</v>
      </c>
      <c r="P41">
        <v>1500</v>
      </c>
      <c r="Q41">
        <v>50</v>
      </c>
      <c r="R41">
        <v>0</v>
      </c>
      <c r="S41" s="43">
        <f t="shared" ref="S41:S56" si="14">P41+Q41+R41</f>
        <v>1550</v>
      </c>
      <c r="T41">
        <v>4000</v>
      </c>
      <c r="U41">
        <v>100</v>
      </c>
      <c r="V41">
        <v>500</v>
      </c>
      <c r="W41" s="43">
        <f t="shared" ref="W41:W56" si="15">T41+U41+V41</f>
        <v>4600</v>
      </c>
      <c r="X41">
        <v>180</v>
      </c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  <c r="AO41" s="110"/>
      <c r="AP41" s="110"/>
      <c r="AQ41" s="110"/>
      <c r="AR41" s="110"/>
      <c r="AS41" s="110"/>
      <c r="AT41" s="110"/>
      <c r="AU41" s="110"/>
      <c r="AV41" s="110"/>
      <c r="AW41" s="110"/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  <c r="BH41" s="110"/>
      <c r="BI41" s="110"/>
      <c r="BJ41" s="110"/>
      <c r="BK41" s="110"/>
      <c r="BL41" s="110"/>
      <c r="BM41" s="110"/>
      <c r="BN41" s="110"/>
      <c r="BO41" s="110"/>
      <c r="BP41" s="110"/>
      <c r="BQ41" s="110"/>
      <c r="BR41" s="110"/>
      <c r="BS41" s="110"/>
      <c r="BT41" s="110"/>
      <c r="BU41" s="110"/>
      <c r="BV41" s="110"/>
      <c r="BW41" s="110"/>
      <c r="BX41" s="110"/>
      <c r="BY41" s="110"/>
      <c r="BZ41" s="110"/>
      <c r="CA41" s="110"/>
      <c r="CB41" s="110"/>
      <c r="CC41" s="110"/>
      <c r="CD41" s="110"/>
      <c r="CE41" s="110"/>
      <c r="CF41" s="110"/>
    </row>
    <row r="42" spans="1:84" s="45" customFormat="1" x14ac:dyDescent="0.25">
      <c r="A42" t="str">
        <f>Funktional!A42</f>
        <v>Ermatingen</v>
      </c>
      <c r="B42" t="str">
        <f>Funktional!B42</f>
        <v>PSG</v>
      </c>
      <c r="C42">
        <v>0.21199999999999999</v>
      </c>
      <c r="D42">
        <v>4.2500000000000003E-2</v>
      </c>
      <c r="E42" s="26">
        <f t="shared" si="11"/>
        <v>6855730.9900000002</v>
      </c>
      <c r="F42">
        <v>6403468.4000000004</v>
      </c>
      <c r="G42">
        <v>452262.59</v>
      </c>
      <c r="H42">
        <v>46964.25</v>
      </c>
      <c r="I42" s="42">
        <f t="shared" si="12"/>
        <v>6.8503635963114125E-3</v>
      </c>
      <c r="J42" s="80">
        <f t="shared" si="13"/>
        <v>40200</v>
      </c>
      <c r="K42" s="43">
        <f>J42*'KiGa - PS'!L43</f>
        <v>33832.998777737346</v>
      </c>
      <c r="L42" s="42">
        <f>K42/Funktional!E42</f>
        <v>1.3288582763723085E-2</v>
      </c>
      <c r="M42">
        <v>50</v>
      </c>
      <c r="N42" s="43">
        <f>K42/Funktional!C42</f>
        <v>3759.2220864152605</v>
      </c>
      <c r="O42" s="44">
        <f>K42/Funktional!D42</f>
        <v>187.96110432076304</v>
      </c>
      <c r="P42">
        <v>0</v>
      </c>
      <c r="Q42">
        <v>0</v>
      </c>
      <c r="R42">
        <v>0</v>
      </c>
      <c r="S42" s="43">
        <f t="shared" si="14"/>
        <v>0</v>
      </c>
      <c r="T42">
        <v>0</v>
      </c>
      <c r="U42">
        <v>0</v>
      </c>
      <c r="V42">
        <v>2400</v>
      </c>
      <c r="W42" s="43">
        <f t="shared" si="15"/>
        <v>2400</v>
      </c>
      <c r="X42">
        <v>37800</v>
      </c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  <c r="AO42" s="110"/>
      <c r="AP42" s="110"/>
      <c r="AQ42" s="110"/>
      <c r="AR42" s="110"/>
      <c r="AS42" s="110"/>
      <c r="AT42" s="110"/>
      <c r="AU42" s="110"/>
      <c r="AV42" s="110"/>
      <c r="AW42" s="110"/>
      <c r="AX42" s="110"/>
      <c r="AY42" s="110"/>
      <c r="AZ42" s="110"/>
      <c r="BA42" s="110"/>
      <c r="BB42" s="110"/>
      <c r="BC42" s="110"/>
      <c r="BD42" s="110"/>
      <c r="BE42" s="110"/>
      <c r="BF42" s="110"/>
      <c r="BG42" s="110"/>
      <c r="BH42" s="110"/>
      <c r="BI42" s="110"/>
      <c r="BJ42" s="110"/>
      <c r="BK42" s="110"/>
      <c r="BL42" s="110"/>
      <c r="BM42" s="110"/>
      <c r="BN42" s="110"/>
      <c r="BO42" s="110"/>
      <c r="BP42" s="110"/>
      <c r="BQ42" s="110"/>
      <c r="BR42" s="110"/>
      <c r="BS42" s="110"/>
      <c r="BT42" s="110"/>
      <c r="BU42" s="110"/>
      <c r="BV42" s="110"/>
      <c r="BW42" s="110"/>
      <c r="BX42" s="110"/>
      <c r="BY42" s="110"/>
      <c r="BZ42" s="110"/>
      <c r="CA42" s="110"/>
      <c r="CB42" s="110"/>
      <c r="CC42" s="110"/>
      <c r="CD42" s="110"/>
      <c r="CE42" s="110"/>
      <c r="CF42" s="110"/>
    </row>
    <row r="43" spans="1:84" s="45" customFormat="1" x14ac:dyDescent="0.25">
      <c r="A43" t="str">
        <f>Funktional!A43</f>
        <v>Eschenz</v>
      </c>
      <c r="B43" t="str">
        <f>Funktional!B43</f>
        <v>PSG</v>
      </c>
      <c r="C43">
        <v>0.1042</v>
      </c>
      <c r="D43">
        <v>5.6399999999999999E-2</v>
      </c>
      <c r="E43" s="26">
        <f t="shared" si="11"/>
        <v>3140485.75</v>
      </c>
      <c r="F43">
        <v>2937974.55</v>
      </c>
      <c r="G43">
        <v>202511.2</v>
      </c>
      <c r="H43">
        <v>876.95</v>
      </c>
      <c r="I43" s="42">
        <f t="shared" si="12"/>
        <v>2.7924024173648932E-4</v>
      </c>
      <c r="J43" s="80">
        <f t="shared" si="13"/>
        <v>32800</v>
      </c>
      <c r="K43" s="43">
        <f>J43*'KiGa - PS'!L44</f>
        <v>27618.670646361283</v>
      </c>
      <c r="L43" s="42">
        <f>K43/Funktional!E43</f>
        <v>2.0984733574335751E-2</v>
      </c>
      <c r="M43">
        <v>50</v>
      </c>
      <c r="N43" s="43">
        <f>K43/Funktional!C43</f>
        <v>3068.7411829290313</v>
      </c>
      <c r="O43" s="44">
        <f>K43/Funktional!D43</f>
        <v>186.61263950244111</v>
      </c>
      <c r="P43">
        <v>7200</v>
      </c>
      <c r="Q43">
        <v>3600</v>
      </c>
      <c r="R43">
        <v>0</v>
      </c>
      <c r="S43" s="43">
        <f t="shared" si="14"/>
        <v>10800</v>
      </c>
      <c r="T43">
        <v>18000</v>
      </c>
      <c r="U43">
        <v>4000</v>
      </c>
      <c r="V43">
        <v>0</v>
      </c>
      <c r="W43" s="43">
        <f t="shared" si="15"/>
        <v>22000</v>
      </c>
      <c r="X43">
        <v>0</v>
      </c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  <c r="AO43" s="110"/>
      <c r="AP43" s="110"/>
      <c r="AQ43" s="110"/>
      <c r="AR43" s="110"/>
      <c r="AS43" s="110"/>
      <c r="AT43" s="110"/>
      <c r="AU43" s="110"/>
      <c r="AV43" s="110"/>
      <c r="AW43" s="110"/>
      <c r="AX43" s="110"/>
      <c r="AY43" s="110"/>
      <c r="AZ43" s="110"/>
      <c r="BA43" s="110"/>
      <c r="BB43" s="110"/>
      <c r="BC43" s="110"/>
      <c r="BD43" s="110"/>
      <c r="BE43" s="110"/>
      <c r="BF43" s="110"/>
      <c r="BG43" s="110"/>
      <c r="BH43" s="110"/>
      <c r="BI43" s="110"/>
      <c r="BJ43" s="110"/>
      <c r="BK43" s="110"/>
      <c r="BL43" s="110"/>
      <c r="BM43" s="110"/>
      <c r="BN43" s="110"/>
      <c r="BO43" s="110"/>
      <c r="BP43" s="110"/>
      <c r="BQ43" s="110"/>
      <c r="BR43" s="110"/>
      <c r="BS43" s="110"/>
      <c r="BT43" s="110"/>
      <c r="BU43" s="110"/>
      <c r="BV43" s="110"/>
      <c r="BW43" s="110"/>
      <c r="BX43" s="110"/>
      <c r="BY43" s="110"/>
      <c r="BZ43" s="110"/>
      <c r="CA43" s="110"/>
      <c r="CB43" s="110"/>
      <c r="CC43" s="110"/>
      <c r="CD43" s="110"/>
      <c r="CE43" s="110"/>
      <c r="CF43" s="110"/>
    </row>
    <row r="44" spans="1:84" s="45" customFormat="1" x14ac:dyDescent="0.25">
      <c r="A44" t="str">
        <f>Funktional!A44</f>
        <v>Ettenhausen</v>
      </c>
      <c r="B44" t="str">
        <f>Funktional!B44</f>
        <v>PSG</v>
      </c>
      <c r="C44">
        <v>7.6499999999999999E-2</v>
      </c>
      <c r="D44">
        <v>1.4200000000000001E-2</v>
      </c>
      <c r="E44" s="26">
        <f t="shared" si="11"/>
        <v>1263414.8500000001</v>
      </c>
      <c r="F44">
        <v>1091788</v>
      </c>
      <c r="G44">
        <v>171626.85</v>
      </c>
      <c r="H44">
        <v>40927.199999999997</v>
      </c>
      <c r="I44" s="42">
        <f t="shared" si="12"/>
        <v>3.2394110295600839E-2</v>
      </c>
      <c r="J44" s="80">
        <f t="shared" si="13"/>
        <v>17823</v>
      </c>
      <c r="K44" s="43">
        <f>J44*'KiGa - PS'!L45</f>
        <v>14821.096326049394</v>
      </c>
      <c r="L44" s="42">
        <f>K44/Funktional!E44</f>
        <v>1.6902000686492641E-2</v>
      </c>
      <c r="M44">
        <v>50</v>
      </c>
      <c r="N44" s="43">
        <f>K44/Funktional!C44</f>
        <v>3293.5769613443099</v>
      </c>
      <c r="O44" s="44">
        <f>K44/Funktional!D44</f>
        <v>149.70804369746861</v>
      </c>
      <c r="P44">
        <v>2836</v>
      </c>
      <c r="Q44">
        <v>0</v>
      </c>
      <c r="R44">
        <v>1428</v>
      </c>
      <c r="S44" s="43">
        <f t="shared" si="14"/>
        <v>4264</v>
      </c>
      <c r="T44">
        <v>4977</v>
      </c>
      <c r="U44">
        <v>3810</v>
      </c>
      <c r="V44">
        <v>1757</v>
      </c>
      <c r="W44" s="43">
        <f t="shared" si="15"/>
        <v>10544</v>
      </c>
      <c r="X44">
        <v>3015</v>
      </c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  <c r="AO44" s="110"/>
      <c r="AP44" s="110"/>
      <c r="AQ44" s="110"/>
      <c r="AR44" s="110"/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0"/>
      <c r="BD44" s="110"/>
      <c r="BE44" s="110"/>
      <c r="BF44" s="110"/>
      <c r="BG44" s="110"/>
      <c r="BH44" s="110"/>
      <c r="BI44" s="110"/>
      <c r="BJ44" s="110"/>
      <c r="BK44" s="110"/>
      <c r="BL44" s="110"/>
      <c r="BM44" s="110"/>
      <c r="BN44" s="110"/>
      <c r="BO44" s="110"/>
      <c r="BP44" s="110"/>
      <c r="BQ44" s="110"/>
      <c r="BR44" s="110"/>
      <c r="BS44" s="110"/>
      <c r="BT44" s="110"/>
      <c r="BU44" s="110"/>
      <c r="BV44" s="110"/>
      <c r="BW44" s="110"/>
      <c r="BX44" s="110"/>
      <c r="BY44" s="110"/>
      <c r="BZ44" s="110"/>
      <c r="CA44" s="110"/>
      <c r="CB44" s="110"/>
      <c r="CC44" s="110"/>
      <c r="CD44" s="110"/>
      <c r="CE44" s="110"/>
      <c r="CF44" s="110"/>
    </row>
    <row r="45" spans="1:84" s="45" customFormat="1" x14ac:dyDescent="0.25">
      <c r="A45" t="str">
        <f>Funktional!A45</f>
        <v>Felben-Wellhausen</v>
      </c>
      <c r="B45" t="str">
        <f>Funktional!B45</f>
        <v>PSG</v>
      </c>
      <c r="C45">
        <v>6.5000000000000002E-2</v>
      </c>
      <c r="D45">
        <v>1.41E-2</v>
      </c>
      <c r="E45" s="26">
        <f t="shared" si="11"/>
        <v>4900320.3499999996</v>
      </c>
      <c r="F45">
        <v>2510100.6</v>
      </c>
      <c r="G45">
        <v>2390219.75</v>
      </c>
      <c r="H45">
        <v>65261.8</v>
      </c>
      <c r="I45" s="42">
        <f t="shared" si="12"/>
        <v>1.3317864004544112E-2</v>
      </c>
      <c r="J45" s="80">
        <f t="shared" si="13"/>
        <v>38652</v>
      </c>
      <c r="K45" s="43">
        <f>J45*'KiGa - PS'!L46</f>
        <v>32801.137857930727</v>
      </c>
      <c r="L45" s="42">
        <f>K45/Funktional!E45</f>
        <v>1.7307596723861618E-2</v>
      </c>
      <c r="M45">
        <v>50</v>
      </c>
      <c r="N45" s="43">
        <f>K45/Funktional!C45</f>
        <v>4100.1422322413409</v>
      </c>
      <c r="O45" s="44">
        <f>K45/Funktional!D45</f>
        <v>184.27605538163331</v>
      </c>
      <c r="P45">
        <v>6660</v>
      </c>
      <c r="Q45">
        <v>1500</v>
      </c>
      <c r="R45">
        <v>0</v>
      </c>
      <c r="S45" s="43">
        <f t="shared" si="14"/>
        <v>8160</v>
      </c>
      <c r="T45">
        <v>20228</v>
      </c>
      <c r="U45">
        <v>1500</v>
      </c>
      <c r="V45">
        <v>6000</v>
      </c>
      <c r="W45" s="43">
        <f t="shared" si="15"/>
        <v>27728</v>
      </c>
      <c r="X45">
        <v>2764</v>
      </c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  <c r="AO45" s="110"/>
      <c r="AP45" s="110"/>
      <c r="AQ45" s="110"/>
      <c r="AR45" s="110"/>
      <c r="AS45" s="110"/>
      <c r="AT45" s="110"/>
      <c r="AU45" s="110"/>
      <c r="AV45" s="110"/>
      <c r="AW45" s="110"/>
      <c r="AX45" s="110"/>
      <c r="AY45" s="110"/>
      <c r="AZ45" s="110"/>
      <c r="BA45" s="110"/>
      <c r="BB45" s="110"/>
      <c r="BC45" s="110"/>
      <c r="BD45" s="110"/>
      <c r="BE45" s="110"/>
      <c r="BF45" s="110"/>
      <c r="BG45" s="110"/>
      <c r="BH45" s="110"/>
      <c r="BI45" s="110"/>
      <c r="BJ45" s="110"/>
      <c r="BK45" s="110"/>
      <c r="BL45" s="110"/>
      <c r="BM45" s="110"/>
      <c r="BN45" s="110"/>
      <c r="BO45" s="110"/>
      <c r="BP45" s="110"/>
      <c r="BQ45" s="110"/>
      <c r="BR45" s="110"/>
      <c r="BS45" s="110"/>
      <c r="BT45" s="110"/>
      <c r="BU45" s="110"/>
      <c r="BV45" s="110"/>
      <c r="BW45" s="110"/>
      <c r="BX45" s="110"/>
      <c r="BY45" s="110"/>
      <c r="BZ45" s="110"/>
      <c r="CA45" s="110"/>
      <c r="CB45" s="110"/>
      <c r="CC45" s="110"/>
      <c r="CD45" s="110"/>
      <c r="CE45" s="110"/>
      <c r="CF45" s="110"/>
    </row>
    <row r="46" spans="1:84" s="45" customFormat="1" x14ac:dyDescent="0.25">
      <c r="A46" t="str">
        <f>Funktional!A46</f>
        <v>Fimmelsberg-Holzhäusern</v>
      </c>
      <c r="B46" t="str">
        <f>Funktional!B46</f>
        <v>PSG</v>
      </c>
      <c r="C46">
        <v>0.10780000000000001</v>
      </c>
      <c r="D46">
        <v>4.3299999999999998E-2</v>
      </c>
      <c r="E46" s="26">
        <f t="shared" si="11"/>
        <v>1170261.6499999999</v>
      </c>
      <c r="F46">
        <v>728373</v>
      </c>
      <c r="G46">
        <v>441888.65</v>
      </c>
      <c r="H46">
        <v>30544.1</v>
      </c>
      <c r="I46" s="42">
        <f t="shared" si="12"/>
        <v>2.6100231516601437E-2</v>
      </c>
      <c r="J46" s="80">
        <f t="shared" si="13"/>
        <v>10500</v>
      </c>
      <c r="K46" s="43">
        <f>J46*'KiGa - PS'!L47</f>
        <v>8357.2854534228227</v>
      </c>
      <c r="L46" s="42">
        <f>K46/Funktional!E46</f>
        <v>1.4763957226481803E-2</v>
      </c>
      <c r="M46">
        <v>50</v>
      </c>
      <c r="N46" s="43">
        <f>K46/Funktional!C46</f>
        <v>2785.7618178076077</v>
      </c>
      <c r="O46" s="44">
        <f>K46/Funktional!D46</f>
        <v>117.70824582285665</v>
      </c>
      <c r="P46">
        <v>1200</v>
      </c>
      <c r="Q46">
        <v>0</v>
      </c>
      <c r="R46">
        <v>300</v>
      </c>
      <c r="S46" s="43">
        <f t="shared" si="14"/>
        <v>1500</v>
      </c>
      <c r="T46">
        <v>8000</v>
      </c>
      <c r="U46">
        <v>0</v>
      </c>
      <c r="V46">
        <v>1000</v>
      </c>
      <c r="W46" s="43">
        <f t="shared" si="15"/>
        <v>9000</v>
      </c>
      <c r="X46">
        <v>0</v>
      </c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  <c r="AU46" s="110"/>
      <c r="AV46" s="110"/>
      <c r="AW46" s="110"/>
      <c r="AX46" s="110"/>
      <c r="AY46" s="110"/>
      <c r="AZ46" s="110"/>
      <c r="BA46" s="110"/>
      <c r="BB46" s="110"/>
      <c r="BC46" s="110"/>
      <c r="BD46" s="110"/>
      <c r="BE46" s="110"/>
      <c r="BF46" s="110"/>
      <c r="BG46" s="110"/>
      <c r="BH46" s="110"/>
      <c r="BI46" s="110"/>
      <c r="BJ46" s="110"/>
      <c r="BK46" s="110"/>
      <c r="BL46" s="110"/>
      <c r="BM46" s="110"/>
      <c r="BN46" s="110"/>
      <c r="BO46" s="110"/>
      <c r="BP46" s="110"/>
      <c r="BQ46" s="110"/>
      <c r="BR46" s="110"/>
      <c r="BS46" s="110"/>
      <c r="BT46" s="110"/>
      <c r="BU46" s="110"/>
      <c r="BV46" s="110"/>
      <c r="BW46" s="110"/>
      <c r="BX46" s="110"/>
      <c r="BY46" s="110"/>
      <c r="BZ46" s="110"/>
      <c r="CA46" s="110"/>
      <c r="CB46" s="110"/>
      <c r="CC46" s="110"/>
      <c r="CD46" s="110"/>
      <c r="CE46" s="110"/>
      <c r="CF46" s="110"/>
    </row>
    <row r="47" spans="1:84" s="45" customFormat="1" x14ac:dyDescent="0.25">
      <c r="A47" t="str">
        <f>Funktional!A47</f>
        <v>Fischingen</v>
      </c>
      <c r="B47" t="str">
        <f>Funktional!B47</f>
        <v>PSG</v>
      </c>
      <c r="C47">
        <v>2.53E-2</v>
      </c>
      <c r="D47">
        <v>2.9999999999999997E-4</v>
      </c>
      <c r="E47" s="26">
        <f t="shared" si="11"/>
        <v>337137.35000000003</v>
      </c>
      <c r="F47">
        <v>262240.90000000002</v>
      </c>
      <c r="G47">
        <v>74896.45</v>
      </c>
      <c r="H47">
        <v>19400.95</v>
      </c>
      <c r="I47" s="42">
        <f t="shared" si="12"/>
        <v>5.7546130679380372E-2</v>
      </c>
      <c r="J47" s="80">
        <f t="shared" si="13"/>
        <v>8625</v>
      </c>
      <c r="K47" s="43">
        <f>J47*'KiGa - PS'!L48</f>
        <v>6511.0918270810962</v>
      </c>
      <c r="L47" s="42">
        <f>K47/Funktional!E47</f>
        <v>1.3447026316804925E-2</v>
      </c>
      <c r="M47">
        <v>50</v>
      </c>
      <c r="N47" s="43">
        <f>K47/Funktional!C47</f>
        <v>3255.5459135405481</v>
      </c>
      <c r="O47" s="44">
        <f>K47/Funktional!D47</f>
        <v>166.95107248925888</v>
      </c>
      <c r="P47">
        <v>1210</v>
      </c>
      <c r="Q47">
        <v>250</v>
      </c>
      <c r="R47">
        <v>600</v>
      </c>
      <c r="S47" s="43">
        <f t="shared" si="14"/>
        <v>2060</v>
      </c>
      <c r="T47">
        <v>4700</v>
      </c>
      <c r="U47">
        <v>250</v>
      </c>
      <c r="V47">
        <v>1415</v>
      </c>
      <c r="W47" s="43">
        <f t="shared" si="15"/>
        <v>6365</v>
      </c>
      <c r="X47">
        <v>200</v>
      </c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  <c r="AO47" s="110"/>
      <c r="AP47" s="110"/>
      <c r="AQ47" s="110"/>
      <c r="AR47" s="110"/>
      <c r="AS47" s="110"/>
      <c r="AT47" s="110"/>
      <c r="AU47" s="110"/>
      <c r="AV47" s="110"/>
      <c r="AW47" s="110"/>
      <c r="AX47" s="110"/>
      <c r="AY47" s="110"/>
      <c r="AZ47" s="110"/>
      <c r="BA47" s="110"/>
      <c r="BB47" s="110"/>
      <c r="BC47" s="110"/>
      <c r="BD47" s="110"/>
      <c r="BE47" s="110"/>
      <c r="BF47" s="110"/>
      <c r="BG47" s="110"/>
      <c r="BH47" s="110"/>
      <c r="BI47" s="110"/>
      <c r="BJ47" s="110"/>
      <c r="BK47" s="110"/>
      <c r="BL47" s="110"/>
      <c r="BM47" s="110"/>
      <c r="BN47" s="110"/>
      <c r="BO47" s="110"/>
      <c r="BP47" s="110"/>
      <c r="BQ47" s="110"/>
      <c r="BR47" s="110"/>
      <c r="BS47" s="110"/>
      <c r="BT47" s="110"/>
      <c r="BU47" s="110"/>
      <c r="BV47" s="110"/>
      <c r="BW47" s="110"/>
      <c r="BX47" s="110"/>
      <c r="BY47" s="110"/>
      <c r="BZ47" s="110"/>
      <c r="CA47" s="110"/>
      <c r="CB47" s="110"/>
      <c r="CC47" s="110"/>
      <c r="CD47" s="110"/>
      <c r="CE47" s="110"/>
      <c r="CF47" s="110"/>
    </row>
    <row r="48" spans="1:84" s="45" customFormat="1" x14ac:dyDescent="0.25">
      <c r="A48" t="str">
        <f>Funktional!A48</f>
        <v>Frauenfeld</v>
      </c>
      <c r="B48" t="str">
        <f>Funktional!B48</f>
        <v>PSG</v>
      </c>
      <c r="C48">
        <v>0.10440000000000001</v>
      </c>
      <c r="D48">
        <v>4.4699999999999997E-2</v>
      </c>
      <c r="E48" s="26">
        <f t="shared" si="11"/>
        <v>35656382.899999999</v>
      </c>
      <c r="F48">
        <v>14815931.15</v>
      </c>
      <c r="G48">
        <v>20840451.75</v>
      </c>
      <c r="H48">
        <v>410096.6</v>
      </c>
      <c r="I48" s="42">
        <f t="shared" si="12"/>
        <v>1.150135169767879E-2</v>
      </c>
      <c r="J48" s="80">
        <f t="shared" si="13"/>
        <v>0</v>
      </c>
      <c r="K48" s="43">
        <f>J48*'KiGa - PS'!L49</f>
        <v>0</v>
      </c>
      <c r="L48" s="42">
        <f>K48/Funktional!E48</f>
        <v>0</v>
      </c>
      <c r="M48">
        <v>0</v>
      </c>
      <c r="N48" s="43">
        <f>K48/Funktional!C48</f>
        <v>0</v>
      </c>
      <c r="O48" s="44">
        <f>K48/Funktional!D48</f>
        <v>0</v>
      </c>
      <c r="P48">
        <v>0</v>
      </c>
      <c r="Q48">
        <v>0</v>
      </c>
      <c r="R48">
        <v>0</v>
      </c>
      <c r="S48" s="43">
        <f t="shared" si="14"/>
        <v>0</v>
      </c>
      <c r="T48">
        <v>0</v>
      </c>
      <c r="U48">
        <v>0</v>
      </c>
      <c r="V48">
        <v>0</v>
      </c>
      <c r="W48" s="43">
        <f t="shared" si="15"/>
        <v>0</v>
      </c>
      <c r="X48">
        <v>0</v>
      </c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  <c r="AO48" s="110"/>
      <c r="AP48" s="110"/>
      <c r="AQ48" s="110"/>
      <c r="AR48" s="110"/>
      <c r="AS48" s="110"/>
      <c r="AT48" s="110"/>
      <c r="AU48" s="110"/>
      <c r="AV48" s="110"/>
      <c r="AW48" s="110"/>
      <c r="AX48" s="110"/>
      <c r="AY48" s="110"/>
      <c r="AZ48" s="110"/>
      <c r="BA48" s="110"/>
      <c r="BB48" s="110"/>
      <c r="BC48" s="110"/>
      <c r="BD48" s="110"/>
      <c r="BE48" s="110"/>
      <c r="BF48" s="110"/>
      <c r="BG48" s="110"/>
      <c r="BH48" s="110"/>
      <c r="BI48" s="110"/>
      <c r="BJ48" s="110"/>
      <c r="BK48" s="110"/>
      <c r="BL48" s="110"/>
      <c r="BM48" s="110"/>
      <c r="BN48" s="110"/>
      <c r="BO48" s="110"/>
      <c r="BP48" s="110"/>
      <c r="BQ48" s="110"/>
      <c r="BR48" s="110"/>
      <c r="BS48" s="110"/>
      <c r="BT48" s="110"/>
      <c r="BU48" s="110"/>
      <c r="BV48" s="110"/>
      <c r="BW48" s="110"/>
      <c r="BX48" s="110"/>
      <c r="BY48" s="110"/>
      <c r="BZ48" s="110"/>
      <c r="CA48" s="110"/>
      <c r="CB48" s="110"/>
      <c r="CC48" s="110"/>
      <c r="CD48" s="110"/>
      <c r="CE48" s="110"/>
      <c r="CF48" s="110"/>
    </row>
    <row r="49" spans="1:84" s="45" customFormat="1" x14ac:dyDescent="0.25">
      <c r="A49" t="str">
        <f>Funktional!A49</f>
        <v>Friltschen</v>
      </c>
      <c r="B49" t="str">
        <f>Funktional!B49</f>
        <v>PSG</v>
      </c>
      <c r="C49">
        <v>0.18759999999999999</v>
      </c>
      <c r="D49">
        <v>8.09E-2</v>
      </c>
      <c r="E49" s="26">
        <f t="shared" ref="E49:E53" si="16">F49+G49</f>
        <v>1644208.3</v>
      </c>
      <c r="F49">
        <v>1102770</v>
      </c>
      <c r="G49">
        <v>541438.30000000005</v>
      </c>
      <c r="H49">
        <v>30854</v>
      </c>
      <c r="I49" s="42">
        <f t="shared" si="12"/>
        <v>1.8765262284590096E-2</v>
      </c>
      <c r="J49" s="80">
        <f t="shared" si="13"/>
        <v>8920.7999999999993</v>
      </c>
      <c r="K49" s="43">
        <f>J49*'KiGa - PS'!L50</f>
        <v>8920.7999999999993</v>
      </c>
      <c r="L49" s="42">
        <f>K49/Funktional!E49</f>
        <v>1.8821978512587281E-2</v>
      </c>
      <c r="M49">
        <v>55</v>
      </c>
      <c r="N49" s="43">
        <f>K49/Funktional!C49</f>
        <v>4460.3999999999996</v>
      </c>
      <c r="O49" s="44">
        <f>K49/Funktional!D49</f>
        <v>241.10270270270269</v>
      </c>
      <c r="P49">
        <v>2000</v>
      </c>
      <c r="Q49">
        <v>200</v>
      </c>
      <c r="R49">
        <v>500</v>
      </c>
      <c r="S49" s="43">
        <f t="shared" si="14"/>
        <v>2700</v>
      </c>
      <c r="T49">
        <v>4360.8</v>
      </c>
      <c r="U49">
        <v>200</v>
      </c>
      <c r="V49">
        <v>500</v>
      </c>
      <c r="W49" s="43">
        <f t="shared" si="15"/>
        <v>5060.8</v>
      </c>
      <c r="X49">
        <v>1160</v>
      </c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  <c r="AO49" s="110"/>
      <c r="AP49" s="110"/>
      <c r="AQ49" s="110"/>
      <c r="AR49" s="110"/>
      <c r="AS49" s="110"/>
      <c r="AT49" s="110"/>
      <c r="AU49" s="110"/>
      <c r="AV49" s="110"/>
      <c r="AW49" s="110"/>
      <c r="AX49" s="110"/>
      <c r="AY49" s="110"/>
      <c r="AZ49" s="110"/>
      <c r="BA49" s="110"/>
      <c r="BB49" s="110"/>
      <c r="BC49" s="110"/>
      <c r="BD49" s="110"/>
      <c r="BE49" s="110"/>
      <c r="BF49" s="110"/>
      <c r="BG49" s="110"/>
      <c r="BH49" s="110"/>
      <c r="BI49" s="110"/>
      <c r="BJ49" s="110"/>
      <c r="BK49" s="110"/>
      <c r="BL49" s="110"/>
      <c r="BM49" s="110"/>
      <c r="BN49" s="110"/>
      <c r="BO49" s="110"/>
      <c r="BP49" s="110"/>
      <c r="BQ49" s="110"/>
      <c r="BR49" s="110"/>
      <c r="BS49" s="110"/>
      <c r="BT49" s="110"/>
      <c r="BU49" s="110"/>
      <c r="BV49" s="110"/>
      <c r="BW49" s="110"/>
      <c r="BX49" s="110"/>
      <c r="BY49" s="110"/>
      <c r="BZ49" s="110"/>
      <c r="CA49" s="110"/>
      <c r="CB49" s="110"/>
      <c r="CC49" s="110"/>
      <c r="CD49" s="110"/>
      <c r="CE49" s="110"/>
      <c r="CF49" s="110"/>
    </row>
    <row r="50" spans="1:84" s="45" customFormat="1" x14ac:dyDescent="0.25">
      <c r="A50" t="str">
        <f>Funktional!A50</f>
        <v>Gachnang</v>
      </c>
      <c r="B50" t="str">
        <f>Funktional!B50</f>
        <v>PSG</v>
      </c>
      <c r="C50">
        <v>8.0100000000000005E-2</v>
      </c>
      <c r="D50">
        <v>3.5700000000000003E-2</v>
      </c>
      <c r="E50" s="26">
        <f t="shared" si="16"/>
        <v>6346550.6200000001</v>
      </c>
      <c r="F50">
        <v>3328771</v>
      </c>
      <c r="G50">
        <v>3017779.62</v>
      </c>
      <c r="H50">
        <v>95719.05</v>
      </c>
      <c r="I50" s="42">
        <f t="shared" si="12"/>
        <v>1.5082058858611925E-2</v>
      </c>
      <c r="J50" s="80">
        <f t="shared" si="13"/>
        <v>97000</v>
      </c>
      <c r="K50" s="43">
        <f>J50*'KiGa - PS'!L51</f>
        <v>80695.762675071339</v>
      </c>
      <c r="L50" s="42">
        <f>K50/Funktional!E50</f>
        <v>2.9523183841017962E-2</v>
      </c>
      <c r="M50">
        <v>70</v>
      </c>
      <c r="N50" s="43">
        <f>K50/Funktional!C50</f>
        <v>6724.6468895892785</v>
      </c>
      <c r="O50" s="44">
        <f>K50/Funktional!D50</f>
        <v>317.69985305146196</v>
      </c>
      <c r="P50">
        <v>21000</v>
      </c>
      <c r="Q50">
        <v>0</v>
      </c>
      <c r="R50">
        <v>7000</v>
      </c>
      <c r="S50" s="43">
        <f t="shared" si="14"/>
        <v>28000</v>
      </c>
      <c r="T50">
        <v>29000</v>
      </c>
      <c r="U50">
        <v>0</v>
      </c>
      <c r="V50">
        <v>13800</v>
      </c>
      <c r="W50" s="43">
        <f t="shared" si="15"/>
        <v>42800</v>
      </c>
      <c r="X50">
        <v>26200</v>
      </c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  <c r="AO50" s="110"/>
      <c r="AP50" s="110"/>
      <c r="AQ50" s="110"/>
      <c r="AR50" s="110"/>
      <c r="AS50" s="110"/>
      <c r="AT50" s="110"/>
      <c r="AU50" s="110"/>
      <c r="AV50" s="110"/>
      <c r="AW50" s="110"/>
      <c r="AX50" s="110"/>
      <c r="AY50" s="110"/>
      <c r="AZ50" s="110"/>
      <c r="BA50" s="110"/>
      <c r="BB50" s="110"/>
      <c r="BC50" s="110"/>
      <c r="BD50" s="110"/>
      <c r="BE50" s="110"/>
      <c r="BF50" s="110"/>
      <c r="BG50" s="110"/>
      <c r="BH50" s="110"/>
      <c r="BI50" s="110"/>
      <c r="BJ50" s="110"/>
      <c r="BK50" s="110"/>
      <c r="BL50" s="110"/>
      <c r="BM50" s="110"/>
      <c r="BN50" s="110"/>
      <c r="BO50" s="110"/>
      <c r="BP50" s="110"/>
      <c r="BQ50" s="110"/>
      <c r="BR50" s="110"/>
      <c r="BS50" s="110"/>
      <c r="BT50" s="110"/>
      <c r="BU50" s="110"/>
      <c r="BV50" s="110"/>
      <c r="BW50" s="110"/>
      <c r="BX50" s="110"/>
      <c r="BY50" s="110"/>
      <c r="BZ50" s="110"/>
      <c r="CA50" s="110"/>
      <c r="CB50" s="110"/>
      <c r="CC50" s="110"/>
      <c r="CD50" s="110"/>
      <c r="CE50" s="110"/>
      <c r="CF50" s="110"/>
    </row>
    <row r="51" spans="1:84" s="45" customFormat="1" x14ac:dyDescent="0.25">
      <c r="A51" t="str">
        <f>Funktional!A51</f>
        <v>Götighofen</v>
      </c>
      <c r="B51" t="str">
        <f>Funktional!B51</f>
        <v>PSG</v>
      </c>
      <c r="C51">
        <v>0.15479999999999999</v>
      </c>
      <c r="D51">
        <v>3.1699999999999999E-2</v>
      </c>
      <c r="E51" s="26">
        <f t="shared" si="16"/>
        <v>1898290.48</v>
      </c>
      <c r="F51">
        <v>1573844.9</v>
      </c>
      <c r="G51">
        <v>324445.58</v>
      </c>
      <c r="H51">
        <v>20028.55</v>
      </c>
      <c r="I51" s="42">
        <f t="shared" si="12"/>
        <v>1.0550835191461319E-2</v>
      </c>
      <c r="J51" s="80">
        <f t="shared" si="13"/>
        <v>13700</v>
      </c>
      <c r="K51" s="43">
        <f>J51*'KiGa - PS'!L52</f>
        <v>10924.777902191177</v>
      </c>
      <c r="L51" s="42">
        <f>K51/Funktional!E51</f>
        <v>1.6104147047084235E-2</v>
      </c>
      <c r="M51">
        <v>60</v>
      </c>
      <c r="N51" s="43">
        <f>K51/Funktional!C51</f>
        <v>3641.5926340637257</v>
      </c>
      <c r="O51" s="44">
        <f>K51/Funktional!D51</f>
        <v>156.06825574558826</v>
      </c>
      <c r="P51">
        <v>3000</v>
      </c>
      <c r="Q51">
        <v>0</v>
      </c>
      <c r="R51">
        <v>700</v>
      </c>
      <c r="S51" s="43">
        <f t="shared" si="14"/>
        <v>3700</v>
      </c>
      <c r="T51">
        <v>8500</v>
      </c>
      <c r="U51">
        <v>0</v>
      </c>
      <c r="V51">
        <v>1500</v>
      </c>
      <c r="W51" s="43">
        <f t="shared" si="15"/>
        <v>10000</v>
      </c>
      <c r="X51">
        <v>0</v>
      </c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  <c r="AO51" s="110"/>
      <c r="AP51" s="110"/>
      <c r="AQ51" s="110"/>
      <c r="AR51" s="110"/>
      <c r="AS51" s="110"/>
      <c r="AT51" s="110"/>
      <c r="AU51" s="110"/>
      <c r="AV51" s="110"/>
      <c r="AW51" s="110"/>
      <c r="AX51" s="110"/>
      <c r="AY51" s="110"/>
      <c r="AZ51" s="110"/>
      <c r="BA51" s="110"/>
      <c r="BB51" s="110"/>
      <c r="BC51" s="110"/>
      <c r="BD51" s="110"/>
      <c r="BE51" s="110"/>
      <c r="BF51" s="110"/>
      <c r="BG51" s="110"/>
      <c r="BH51" s="110"/>
      <c r="BI51" s="110"/>
      <c r="BJ51" s="110"/>
      <c r="BK51" s="110"/>
      <c r="BL51" s="110"/>
      <c r="BM51" s="110"/>
      <c r="BN51" s="110"/>
      <c r="BO51" s="110"/>
      <c r="BP51" s="110"/>
      <c r="BQ51" s="110"/>
      <c r="BR51" s="110"/>
      <c r="BS51" s="110"/>
      <c r="BT51" s="110"/>
      <c r="BU51" s="110"/>
      <c r="BV51" s="110"/>
      <c r="BW51" s="110"/>
      <c r="BX51" s="110"/>
      <c r="BY51" s="110"/>
      <c r="BZ51" s="110"/>
      <c r="CA51" s="110"/>
      <c r="CB51" s="110"/>
      <c r="CC51" s="110"/>
      <c r="CD51" s="110"/>
      <c r="CE51" s="110"/>
      <c r="CF51" s="110"/>
    </row>
    <row r="52" spans="1:84" s="45" customFormat="1" x14ac:dyDescent="0.25">
      <c r="A52" t="str">
        <f>Funktional!A52</f>
        <v>Gottlieben</v>
      </c>
      <c r="B52" t="str">
        <f>Funktional!B52</f>
        <v>PSG</v>
      </c>
      <c r="C52">
        <v>-8.1199999999999994E-2</v>
      </c>
      <c r="D52">
        <v>-0.11559999999999999</v>
      </c>
      <c r="E52" s="26">
        <f t="shared" si="16"/>
        <v>562427.85</v>
      </c>
      <c r="F52">
        <v>132879</v>
      </c>
      <c r="G52">
        <v>429548.85</v>
      </c>
      <c r="H52">
        <v>28600.95</v>
      </c>
      <c r="I52" s="42">
        <f t="shared" si="12"/>
        <v>5.0852656034013968E-2</v>
      </c>
      <c r="J52" s="80">
        <f t="shared" si="13"/>
        <v>3600</v>
      </c>
      <c r="K52" s="43">
        <f>J52*'KiGa - PS'!L53</f>
        <v>3600</v>
      </c>
      <c r="L52" s="42">
        <f>K52/Funktional!E52</f>
        <v>1.7876335976796515E-2</v>
      </c>
      <c r="M52">
        <v>50</v>
      </c>
      <c r="N52" s="43">
        <f>K52/Funktional!C52</f>
        <v>3600</v>
      </c>
      <c r="O52" s="44">
        <f>K52/Funktional!D52</f>
        <v>171.42857142857142</v>
      </c>
      <c r="P52">
        <v>1300</v>
      </c>
      <c r="Q52">
        <v>0</v>
      </c>
      <c r="R52">
        <v>0</v>
      </c>
      <c r="S52" s="43">
        <f t="shared" si="14"/>
        <v>1300</v>
      </c>
      <c r="T52">
        <v>2300</v>
      </c>
      <c r="U52">
        <v>0</v>
      </c>
      <c r="V52">
        <v>0</v>
      </c>
      <c r="W52" s="43">
        <f t="shared" si="15"/>
        <v>2300</v>
      </c>
      <c r="X52">
        <v>0</v>
      </c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  <c r="AO52" s="110"/>
      <c r="AP52" s="110"/>
      <c r="AQ52" s="110"/>
      <c r="AR52" s="110"/>
      <c r="AS52" s="110"/>
      <c r="AT52" s="110"/>
      <c r="AU52" s="110"/>
      <c r="AV52" s="110"/>
      <c r="AW52" s="110"/>
      <c r="AX52" s="110"/>
      <c r="AY52" s="110"/>
      <c r="AZ52" s="110"/>
      <c r="BA52" s="110"/>
      <c r="BB52" s="110"/>
      <c r="BC52" s="110"/>
      <c r="BD52" s="110"/>
      <c r="BE52" s="110"/>
      <c r="BF52" s="110"/>
      <c r="BG52" s="110"/>
      <c r="BH52" s="110"/>
      <c r="BI52" s="110"/>
      <c r="BJ52" s="110"/>
      <c r="BK52" s="110"/>
      <c r="BL52" s="110"/>
      <c r="BM52" s="110"/>
      <c r="BN52" s="110"/>
      <c r="BO52" s="110"/>
      <c r="BP52" s="110"/>
      <c r="BQ52" s="110"/>
      <c r="BR52" s="110"/>
      <c r="BS52" s="110"/>
      <c r="BT52" s="110"/>
      <c r="BU52" s="110"/>
      <c r="BV52" s="110"/>
      <c r="BW52" s="110"/>
      <c r="BX52" s="110"/>
      <c r="BY52" s="110"/>
      <c r="BZ52" s="110"/>
      <c r="CA52" s="110"/>
      <c r="CB52" s="110"/>
      <c r="CC52" s="110"/>
      <c r="CD52" s="110"/>
      <c r="CE52" s="110"/>
      <c r="CF52" s="110"/>
    </row>
    <row r="53" spans="1:84" s="45" customFormat="1" x14ac:dyDescent="0.25">
      <c r="A53" t="str">
        <f>Funktional!A53</f>
        <v>Gottshaus</v>
      </c>
      <c r="B53" t="str">
        <f>Funktional!B53</f>
        <v>PSG</v>
      </c>
      <c r="C53">
        <v>2.2000000000000001E-3</v>
      </c>
      <c r="D53">
        <v>-1.0699999999999999E-2</v>
      </c>
      <c r="E53" s="26">
        <f t="shared" si="16"/>
        <v>382999.5</v>
      </c>
      <c r="F53">
        <v>266020</v>
      </c>
      <c r="G53">
        <v>116979.5</v>
      </c>
      <c r="H53">
        <v>27501.1</v>
      </c>
      <c r="I53" s="42">
        <f t="shared" si="12"/>
        <v>7.1804532381896061E-2</v>
      </c>
      <c r="J53" s="80">
        <f t="shared" si="13"/>
        <v>23200</v>
      </c>
      <c r="K53" s="43">
        <f>J53*'KiGa - PS'!L54</f>
        <v>20122.079587461747</v>
      </c>
      <c r="L53" s="42">
        <f>K53/Funktional!E53</f>
        <v>2.4403647693163683E-2</v>
      </c>
      <c r="M53">
        <v>80</v>
      </c>
      <c r="N53" s="43">
        <f>K53/Funktional!C53</f>
        <v>4471.5732416581659</v>
      </c>
      <c r="O53" s="44">
        <f>K53/Funktional!D53</f>
        <v>257.97537932643263</v>
      </c>
      <c r="P53">
        <v>5000</v>
      </c>
      <c r="Q53">
        <v>500</v>
      </c>
      <c r="R53">
        <v>500</v>
      </c>
      <c r="S53" s="43">
        <f t="shared" si="14"/>
        <v>6000</v>
      </c>
      <c r="T53">
        <v>10000</v>
      </c>
      <c r="U53">
        <v>1000</v>
      </c>
      <c r="V53">
        <v>1000</v>
      </c>
      <c r="W53" s="43">
        <f t="shared" si="15"/>
        <v>12000</v>
      </c>
      <c r="X53">
        <v>5200</v>
      </c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/>
      <c r="BE53" s="110"/>
      <c r="BF53" s="110"/>
      <c r="BG53" s="110"/>
      <c r="BH53" s="110"/>
      <c r="BI53" s="110"/>
      <c r="BJ53" s="110"/>
      <c r="BK53" s="110"/>
      <c r="BL53" s="110"/>
      <c r="BM53" s="110"/>
      <c r="BN53" s="110"/>
      <c r="BO53" s="110"/>
      <c r="BP53" s="110"/>
      <c r="BQ53" s="110"/>
      <c r="BR53" s="110"/>
      <c r="BS53" s="110"/>
      <c r="BT53" s="110"/>
      <c r="BU53" s="110"/>
      <c r="BV53" s="110"/>
      <c r="BW53" s="110"/>
      <c r="BX53" s="110"/>
      <c r="BY53" s="110"/>
      <c r="BZ53" s="110"/>
      <c r="CA53" s="110"/>
      <c r="CB53" s="110"/>
      <c r="CC53" s="110"/>
      <c r="CD53" s="110"/>
      <c r="CE53" s="110"/>
      <c r="CF53" s="110"/>
    </row>
    <row r="54" spans="1:84" s="45" customFormat="1" x14ac:dyDescent="0.25">
      <c r="A54" t="str">
        <f>Funktional!A54</f>
        <v>Gündelhart-Hörhausen</v>
      </c>
      <c r="B54" t="str">
        <f>Funktional!B54</f>
        <v>PSG</v>
      </c>
      <c r="C54">
        <v>7.6899999999999996E-2</v>
      </c>
      <c r="D54">
        <v>0.03</v>
      </c>
      <c r="E54" s="26">
        <f t="shared" ref="E54:E64" si="17">F54+G54</f>
        <v>874530.65</v>
      </c>
      <c r="F54">
        <v>652840</v>
      </c>
      <c r="G54">
        <v>221690.65</v>
      </c>
      <c r="H54">
        <v>7895.15</v>
      </c>
      <c r="I54" s="42">
        <f t="shared" si="12"/>
        <v>9.027871121498143E-3</v>
      </c>
      <c r="J54" s="80">
        <f t="shared" si="13"/>
        <v>16165</v>
      </c>
      <c r="K54" s="43">
        <f>J54*'KiGa - PS'!L55</f>
        <v>14173.508190806944</v>
      </c>
      <c r="L54" s="42">
        <f>K54/Funktional!E54</f>
        <v>1.8755186972332704E-2</v>
      </c>
      <c r="M54">
        <v>53.5</v>
      </c>
      <c r="N54" s="43">
        <f>K54/Funktional!C54</f>
        <v>4724.5027302689814</v>
      </c>
      <c r="O54" s="44">
        <f>K54/Funktional!D54</f>
        <v>214.75012410313551</v>
      </c>
      <c r="P54">
        <v>2076</v>
      </c>
      <c r="Q54">
        <v>1040</v>
      </c>
      <c r="R54">
        <v>900</v>
      </c>
      <c r="S54" s="43">
        <f t="shared" si="14"/>
        <v>4016</v>
      </c>
      <c r="T54">
        <v>6260</v>
      </c>
      <c r="U54">
        <v>1200</v>
      </c>
      <c r="V54">
        <v>1800</v>
      </c>
      <c r="W54" s="43">
        <f t="shared" si="15"/>
        <v>9260</v>
      </c>
      <c r="X54">
        <v>2889</v>
      </c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/>
      <c r="BH54" s="110"/>
      <c r="BI54" s="110"/>
      <c r="BJ54" s="110"/>
      <c r="BK54" s="110"/>
      <c r="BL54" s="110"/>
      <c r="BM54" s="110"/>
      <c r="BN54" s="110"/>
      <c r="BO54" s="110"/>
      <c r="BP54" s="110"/>
      <c r="BQ54" s="110"/>
      <c r="BR54" s="110"/>
      <c r="BS54" s="110"/>
      <c r="BT54" s="110"/>
      <c r="BU54" s="110"/>
      <c r="BV54" s="110"/>
      <c r="BW54" s="110"/>
      <c r="BX54" s="110"/>
      <c r="BY54" s="110"/>
      <c r="BZ54" s="110"/>
      <c r="CA54" s="110"/>
      <c r="CB54" s="110"/>
      <c r="CC54" s="110"/>
      <c r="CD54" s="110"/>
      <c r="CE54" s="110"/>
      <c r="CF54" s="110"/>
    </row>
    <row r="55" spans="1:84" s="45" customFormat="1" x14ac:dyDescent="0.25">
      <c r="A55" t="str">
        <f>Funktional!A55</f>
        <v>Guntershausen</v>
      </c>
      <c r="B55" t="str">
        <f>Funktional!B55</f>
        <v>PSG</v>
      </c>
      <c r="C55">
        <v>0.25119999999999998</v>
      </c>
      <c r="D55">
        <v>0.1022</v>
      </c>
      <c r="E55" s="26">
        <f t="shared" si="17"/>
        <v>4093455.74</v>
      </c>
      <c r="F55">
        <v>3806762.2</v>
      </c>
      <c r="G55">
        <v>286693.53999999998</v>
      </c>
      <c r="H55">
        <v>26949.55</v>
      </c>
      <c r="I55" s="42">
        <f t="shared" si="12"/>
        <v>6.583569412185704E-3</v>
      </c>
      <c r="J55" s="80">
        <f t="shared" si="13"/>
        <v>18310</v>
      </c>
      <c r="K55" s="43">
        <f>J55*'KiGa - PS'!L56</f>
        <v>16226.380751189732</v>
      </c>
      <c r="L55" s="42">
        <f>K55/Funktional!E55</f>
        <v>1.0779319420617058E-2</v>
      </c>
      <c r="M55">
        <v>60</v>
      </c>
      <c r="N55" s="43">
        <f>K55/Funktional!C55</f>
        <v>2704.3967918649555</v>
      </c>
      <c r="O55" s="44">
        <f>K55/Funktional!D55</f>
        <v>122.00286279090024</v>
      </c>
      <c r="P55">
        <v>3350</v>
      </c>
      <c r="Q55">
        <v>200</v>
      </c>
      <c r="R55">
        <v>1500</v>
      </c>
      <c r="S55" s="43">
        <f t="shared" si="14"/>
        <v>5050</v>
      </c>
      <c r="T55">
        <v>5800</v>
      </c>
      <c r="U55">
        <v>200</v>
      </c>
      <c r="V55">
        <v>3500</v>
      </c>
      <c r="W55" s="43">
        <f t="shared" si="15"/>
        <v>9500</v>
      </c>
      <c r="X55">
        <v>3760</v>
      </c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/>
      <c r="AY55" s="110"/>
      <c r="AZ55" s="110"/>
      <c r="BA55" s="110"/>
      <c r="BB55" s="110"/>
      <c r="BC55" s="110"/>
      <c r="BD55" s="110"/>
      <c r="BE55" s="110"/>
      <c r="BF55" s="110"/>
      <c r="BG55" s="110"/>
      <c r="BH55" s="110"/>
      <c r="BI55" s="110"/>
      <c r="BJ55" s="110"/>
      <c r="BK55" s="110"/>
      <c r="BL55" s="110"/>
      <c r="BM55" s="110"/>
      <c r="BN55" s="110"/>
      <c r="BO55" s="110"/>
      <c r="BP55" s="110"/>
      <c r="BQ55" s="110"/>
      <c r="BR55" s="110"/>
      <c r="BS55" s="110"/>
      <c r="BT55" s="110"/>
      <c r="BU55" s="110"/>
      <c r="BV55" s="110"/>
      <c r="BW55" s="110"/>
      <c r="BX55" s="110"/>
      <c r="BY55" s="110"/>
      <c r="BZ55" s="110"/>
      <c r="CA55" s="110"/>
      <c r="CB55" s="110"/>
      <c r="CC55" s="110"/>
      <c r="CD55" s="110"/>
      <c r="CE55" s="110"/>
      <c r="CF55" s="110"/>
    </row>
    <row r="56" spans="1:84" s="45" customFormat="1" x14ac:dyDescent="0.25">
      <c r="A56" t="str">
        <f>Funktional!A56</f>
        <v>Güttingen</v>
      </c>
      <c r="B56" t="str">
        <f>Funktional!B56</f>
        <v>PSG</v>
      </c>
      <c r="C56">
        <v>2.63E-2</v>
      </c>
      <c r="D56">
        <v>2.63E-2</v>
      </c>
      <c r="E56" s="26">
        <f t="shared" si="17"/>
        <v>236667.65</v>
      </c>
      <c r="F56">
        <v>87319.5</v>
      </c>
      <c r="G56">
        <v>149348.15</v>
      </c>
      <c r="H56">
        <v>180</v>
      </c>
      <c r="I56" s="42">
        <f t="shared" si="12"/>
        <v>7.6056022020753577E-4</v>
      </c>
      <c r="J56" s="80">
        <f t="shared" si="13"/>
        <v>29911</v>
      </c>
      <c r="K56" s="43">
        <f>J56*'KiGa - PS'!L57</f>
        <v>25808.810674074113</v>
      </c>
      <c r="L56" s="42">
        <f>K56/Funktional!E56</f>
        <v>2.2199417431355735E-2</v>
      </c>
      <c r="M56">
        <v>60</v>
      </c>
      <c r="N56" s="43">
        <f>K56/Funktional!C56</f>
        <v>4692.5110316498385</v>
      </c>
      <c r="O56" s="44">
        <f>K56/Funktional!D56</f>
        <v>216.88076196700936</v>
      </c>
      <c r="P56">
        <v>10800</v>
      </c>
      <c r="Q56">
        <v>1500</v>
      </c>
      <c r="R56">
        <v>1000</v>
      </c>
      <c r="S56" s="43">
        <f t="shared" si="14"/>
        <v>13300</v>
      </c>
      <c r="T56">
        <v>7500</v>
      </c>
      <c r="U56">
        <v>1000</v>
      </c>
      <c r="V56">
        <v>1500</v>
      </c>
      <c r="W56" s="43">
        <f t="shared" si="15"/>
        <v>10000</v>
      </c>
      <c r="X56">
        <v>6611</v>
      </c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  <c r="AO56" s="110"/>
      <c r="AP56" s="110"/>
      <c r="AQ56" s="110"/>
      <c r="AR56" s="110"/>
      <c r="AS56" s="110"/>
      <c r="AT56" s="110"/>
      <c r="AU56" s="110"/>
      <c r="AV56" s="110"/>
      <c r="AW56" s="110"/>
      <c r="AX56" s="110"/>
      <c r="AY56" s="110"/>
      <c r="AZ56" s="110"/>
      <c r="BA56" s="110"/>
      <c r="BB56" s="110"/>
      <c r="BC56" s="110"/>
      <c r="BD56" s="110"/>
      <c r="BE56" s="110"/>
      <c r="BF56" s="110"/>
      <c r="BG56" s="110"/>
      <c r="BH56" s="110"/>
      <c r="BI56" s="110"/>
      <c r="BJ56" s="110"/>
      <c r="BK56" s="110"/>
      <c r="BL56" s="110"/>
      <c r="BM56" s="110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/>
      <c r="BZ56" s="110"/>
      <c r="CA56" s="110"/>
      <c r="CB56" s="110"/>
      <c r="CC56" s="110"/>
      <c r="CD56" s="110"/>
      <c r="CE56" s="110"/>
      <c r="CF56" s="110"/>
    </row>
    <row r="57" spans="1:84" s="45" customFormat="1" x14ac:dyDescent="0.25">
      <c r="A57" t="str">
        <f>Funktional!A57</f>
        <v>Halden-Kenzenau</v>
      </c>
      <c r="B57" t="str">
        <f>Funktional!B57</f>
        <v>PSG</v>
      </c>
      <c r="C57">
        <v>4.1399999999999999E-2</v>
      </c>
      <c r="D57">
        <v>-8.3999999999999995E-3</v>
      </c>
      <c r="E57" s="26">
        <f t="shared" si="17"/>
        <v>737715.42999999993</v>
      </c>
      <c r="F57">
        <v>593741.44999999995</v>
      </c>
      <c r="G57">
        <v>143973.98000000001</v>
      </c>
      <c r="H57">
        <v>28623.15</v>
      </c>
      <c r="I57" s="42">
        <f t="shared" ref="I57:I72" si="18">H57/E57</f>
        <v>3.8799717121275348E-2</v>
      </c>
      <c r="J57" s="80">
        <f t="shared" ref="J57:J72" si="19">S57+W57+X57</f>
        <v>12970</v>
      </c>
      <c r="K57" s="43">
        <f>J57*'KiGa - PS'!L58</f>
        <v>11291.364448778999</v>
      </c>
      <c r="L57" s="42">
        <f>K57/Funktional!E57</f>
        <v>1.7992515280112385E-2</v>
      </c>
      <c r="M57">
        <v>50</v>
      </c>
      <c r="N57" s="43">
        <f>K57/Funktional!C57</f>
        <v>3763.7881495929996</v>
      </c>
      <c r="O57" s="44">
        <f>K57/Funktional!D57</f>
        <v>191.37905845388133</v>
      </c>
      <c r="P57">
        <v>2000</v>
      </c>
      <c r="Q57">
        <v>0</v>
      </c>
      <c r="R57">
        <v>1000</v>
      </c>
      <c r="S57" s="43">
        <f t="shared" ref="S57:S72" si="20">P57+Q57+R57</f>
        <v>3000</v>
      </c>
      <c r="T57">
        <v>5500</v>
      </c>
      <c r="U57">
        <v>0</v>
      </c>
      <c r="V57">
        <v>1000</v>
      </c>
      <c r="W57" s="43">
        <f t="shared" ref="W57:W72" si="21">T57+U57+V57</f>
        <v>6500</v>
      </c>
      <c r="X57">
        <v>3470</v>
      </c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  <c r="AO57" s="110"/>
      <c r="AP57" s="110"/>
      <c r="AQ57" s="110"/>
      <c r="AR57" s="110"/>
      <c r="AS57" s="110"/>
      <c r="AT57" s="110"/>
      <c r="AU57" s="110"/>
      <c r="AV57" s="110"/>
      <c r="AW57" s="110"/>
      <c r="AX57" s="110"/>
      <c r="AY57" s="110"/>
      <c r="AZ57" s="110"/>
      <c r="BA57" s="110"/>
      <c r="BB57" s="110"/>
      <c r="BC57" s="110"/>
      <c r="BD57" s="110"/>
      <c r="BE57" s="110"/>
      <c r="BF57" s="110"/>
      <c r="BG57" s="110"/>
      <c r="BH57" s="110"/>
      <c r="BI57" s="110"/>
      <c r="BJ57" s="110"/>
      <c r="BK57" s="110"/>
      <c r="BL57" s="110"/>
      <c r="BM57" s="110"/>
      <c r="BN57" s="110"/>
      <c r="BO57" s="110"/>
      <c r="BP57" s="110"/>
      <c r="BQ57" s="110"/>
      <c r="BR57" s="110"/>
      <c r="BS57" s="110"/>
      <c r="BT57" s="110"/>
      <c r="BU57" s="110"/>
      <c r="BV57" s="110"/>
      <c r="BW57" s="110"/>
      <c r="BX57" s="110"/>
      <c r="BY57" s="110"/>
      <c r="BZ57" s="110"/>
      <c r="CA57" s="110"/>
      <c r="CB57" s="110"/>
      <c r="CC57" s="110"/>
      <c r="CD57" s="110"/>
      <c r="CE57" s="110"/>
      <c r="CF57" s="110"/>
    </row>
    <row r="58" spans="1:84" s="45" customFormat="1" x14ac:dyDescent="0.25">
      <c r="A58" t="str">
        <f>Funktional!A58</f>
        <v>Hauptwil</v>
      </c>
      <c r="B58" t="str">
        <f>Funktional!B58</f>
        <v>PSG</v>
      </c>
      <c r="C58">
        <v>0.1181</v>
      </c>
      <c r="D58">
        <v>0.1181</v>
      </c>
      <c r="E58" s="26">
        <f t="shared" si="17"/>
        <v>3090038.2399999998</v>
      </c>
      <c r="F58">
        <v>2660849.4</v>
      </c>
      <c r="G58">
        <v>429188.84</v>
      </c>
      <c r="H58">
        <v>8986.2000000000007</v>
      </c>
      <c r="I58" s="42">
        <f t="shared" si="18"/>
        <v>2.9081193506524379E-3</v>
      </c>
      <c r="J58" s="80">
        <f t="shared" si="19"/>
        <v>21921</v>
      </c>
      <c r="K58" s="43">
        <f>J58*'KiGa - PS'!L59</f>
        <v>19329.701398717028</v>
      </c>
      <c r="L58" s="42">
        <f>K58/Funktional!E58</f>
        <v>1.1531602619742759E-2</v>
      </c>
      <c r="M58">
        <v>80</v>
      </c>
      <c r="N58" s="43">
        <f>K58/Funktional!C58</f>
        <v>3514.4911634030959</v>
      </c>
      <c r="O58" s="44">
        <f>K58/Funktional!D58</f>
        <v>161.08084498930856</v>
      </c>
      <c r="P58">
        <v>6041</v>
      </c>
      <c r="Q58">
        <v>400</v>
      </c>
      <c r="R58">
        <v>1500</v>
      </c>
      <c r="S58" s="43">
        <f t="shared" si="20"/>
        <v>7941</v>
      </c>
      <c r="T58">
        <v>12080</v>
      </c>
      <c r="U58">
        <v>400</v>
      </c>
      <c r="V58">
        <v>1500</v>
      </c>
      <c r="W58" s="43">
        <f t="shared" si="21"/>
        <v>13980</v>
      </c>
      <c r="X58">
        <v>0</v>
      </c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110"/>
      <c r="BA58" s="110"/>
      <c r="BB58" s="110"/>
      <c r="BC58" s="110"/>
      <c r="BD58" s="110"/>
      <c r="BE58" s="110"/>
      <c r="BF58" s="110"/>
      <c r="BG58" s="110"/>
      <c r="BH58" s="110"/>
      <c r="BI58" s="110"/>
      <c r="BJ58" s="110"/>
      <c r="BK58" s="110"/>
      <c r="BL58" s="110"/>
      <c r="BM58" s="110"/>
      <c r="BN58" s="110"/>
      <c r="BO58" s="110"/>
      <c r="BP58" s="110"/>
      <c r="BQ58" s="110"/>
      <c r="BR58" s="110"/>
      <c r="BS58" s="110"/>
      <c r="BT58" s="110"/>
      <c r="BU58" s="110"/>
      <c r="BV58" s="110"/>
      <c r="BW58" s="110"/>
      <c r="BX58" s="110"/>
      <c r="BY58" s="110"/>
      <c r="BZ58" s="110"/>
      <c r="CA58" s="110"/>
      <c r="CB58" s="110"/>
      <c r="CC58" s="110"/>
      <c r="CD58" s="110"/>
      <c r="CE58" s="110"/>
      <c r="CF58" s="110"/>
    </row>
    <row r="59" spans="1:84" s="45" customFormat="1" x14ac:dyDescent="0.25">
      <c r="A59" t="str">
        <f>Funktional!A59</f>
        <v>Häuslenen-Aawangen</v>
      </c>
      <c r="B59" t="str">
        <f>Funktional!B59</f>
        <v>PSG</v>
      </c>
      <c r="C59">
        <v>0.1004</v>
      </c>
      <c r="D59">
        <v>3.3799999999999997E-2</v>
      </c>
      <c r="E59" s="26">
        <f t="shared" si="17"/>
        <v>1043702.35</v>
      </c>
      <c r="F59">
        <v>743430</v>
      </c>
      <c r="G59">
        <v>300272.34999999998</v>
      </c>
      <c r="H59">
        <v>20179.05</v>
      </c>
      <c r="I59" s="42">
        <f t="shared" si="18"/>
        <v>1.9334104210841339E-2</v>
      </c>
      <c r="J59" s="80">
        <f t="shared" si="19"/>
        <v>8850</v>
      </c>
      <c r="K59" s="43">
        <f>J59*'KiGa - PS'!L60</f>
        <v>7436.909423615507</v>
      </c>
      <c r="L59" s="42">
        <f>K59/Funktional!E59</f>
        <v>1.1818250530352341E-2</v>
      </c>
      <c r="M59">
        <v>50</v>
      </c>
      <c r="N59" s="43">
        <f>K59/Funktional!C59</f>
        <v>2478.9698078718357</v>
      </c>
      <c r="O59" s="44">
        <f>K59/Funktional!D59</f>
        <v>137.72054488176866</v>
      </c>
      <c r="P59">
        <v>2060</v>
      </c>
      <c r="Q59">
        <v>0</v>
      </c>
      <c r="R59">
        <v>500</v>
      </c>
      <c r="S59" s="43">
        <f t="shared" si="20"/>
        <v>2560</v>
      </c>
      <c r="T59">
        <v>5090</v>
      </c>
      <c r="U59">
        <v>0</v>
      </c>
      <c r="V59">
        <v>1000</v>
      </c>
      <c r="W59" s="43">
        <f t="shared" si="21"/>
        <v>6090</v>
      </c>
      <c r="X59">
        <v>200</v>
      </c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  <c r="AO59" s="110"/>
      <c r="AP59" s="110"/>
      <c r="AQ59" s="110"/>
      <c r="AR59" s="110"/>
      <c r="AS59" s="110"/>
      <c r="AT59" s="110"/>
      <c r="AU59" s="110"/>
      <c r="AV59" s="110"/>
      <c r="AW59" s="110"/>
      <c r="AX59" s="110"/>
      <c r="AY59" s="110"/>
      <c r="AZ59" s="110"/>
      <c r="BA59" s="110"/>
      <c r="BB59" s="110"/>
      <c r="BC59" s="110"/>
      <c r="BD59" s="110"/>
      <c r="BE59" s="110"/>
      <c r="BF59" s="110"/>
      <c r="BG59" s="110"/>
      <c r="BH59" s="110"/>
      <c r="BI59" s="110"/>
      <c r="BJ59" s="110"/>
      <c r="BK59" s="110"/>
      <c r="BL59" s="110"/>
      <c r="BM59" s="110"/>
      <c r="BN59" s="110"/>
      <c r="BO59" s="110"/>
      <c r="BP59" s="110"/>
      <c r="BQ59" s="110"/>
      <c r="BR59" s="110"/>
      <c r="BS59" s="110"/>
      <c r="BT59" s="110"/>
      <c r="BU59" s="110"/>
      <c r="BV59" s="110"/>
      <c r="BW59" s="110"/>
      <c r="BX59" s="110"/>
      <c r="BY59" s="110"/>
      <c r="BZ59" s="110"/>
      <c r="CA59" s="110"/>
      <c r="CB59" s="110"/>
      <c r="CC59" s="110"/>
      <c r="CD59" s="110"/>
      <c r="CE59" s="110"/>
      <c r="CF59" s="110"/>
    </row>
    <row r="60" spans="1:84" s="45" customFormat="1" x14ac:dyDescent="0.25">
      <c r="A60" t="str">
        <f>Funktional!A60</f>
        <v>Hefenhofen</v>
      </c>
      <c r="B60" t="str">
        <f>Funktional!B60</f>
        <v>PSG</v>
      </c>
      <c r="C60">
        <v>0.1103</v>
      </c>
      <c r="D60">
        <v>3.2199999999999999E-2</v>
      </c>
      <c r="E60" s="26">
        <f t="shared" si="17"/>
        <v>2600450.65</v>
      </c>
      <c r="F60">
        <v>2023190.25</v>
      </c>
      <c r="G60">
        <v>577260.4</v>
      </c>
      <c r="H60">
        <v>30272.95</v>
      </c>
      <c r="I60" s="42">
        <f t="shared" si="18"/>
        <v>1.1641424535397356E-2</v>
      </c>
      <c r="J60" s="80">
        <f t="shared" si="19"/>
        <v>25034</v>
      </c>
      <c r="K60" s="43">
        <f>J60*'KiGa - PS'!L61</f>
        <v>21570.708738270634</v>
      </c>
      <c r="L60" s="42">
        <f>K60/Funktional!E60</f>
        <v>1.7313178517757745E-2</v>
      </c>
      <c r="M60">
        <v>65</v>
      </c>
      <c r="N60" s="43">
        <f>K60/Funktional!C60</f>
        <v>3595.1181230451057</v>
      </c>
      <c r="O60" s="44">
        <f>K60/Funktional!D60</f>
        <v>171.19610109738599</v>
      </c>
      <c r="P60">
        <v>2700</v>
      </c>
      <c r="Q60">
        <v>500</v>
      </c>
      <c r="R60">
        <v>0</v>
      </c>
      <c r="S60" s="43">
        <f t="shared" si="20"/>
        <v>3200</v>
      </c>
      <c r="T60">
        <v>20350</v>
      </c>
      <c r="U60">
        <v>0</v>
      </c>
      <c r="V60">
        <v>1200</v>
      </c>
      <c r="W60" s="43">
        <f t="shared" si="21"/>
        <v>21550</v>
      </c>
      <c r="X60">
        <v>284</v>
      </c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  <c r="AO60" s="110"/>
      <c r="AP60" s="110"/>
      <c r="AQ60" s="110"/>
      <c r="AR60" s="110"/>
      <c r="AS60" s="110"/>
      <c r="AT60" s="110"/>
      <c r="AU60" s="110"/>
      <c r="AV60" s="110"/>
      <c r="AW60" s="110"/>
      <c r="AX60" s="110"/>
      <c r="AY60" s="110"/>
      <c r="AZ60" s="110"/>
      <c r="BA60" s="110"/>
      <c r="BB60" s="110"/>
      <c r="BC60" s="110"/>
      <c r="BD60" s="110"/>
      <c r="BE60" s="110"/>
      <c r="BF60" s="110"/>
      <c r="BG60" s="110"/>
      <c r="BH60" s="110"/>
      <c r="BI60" s="110"/>
      <c r="BJ60" s="110"/>
      <c r="BK60" s="110"/>
      <c r="BL60" s="110"/>
      <c r="BM60" s="110"/>
      <c r="BN60" s="110"/>
      <c r="BO60" s="110"/>
      <c r="BP60" s="110"/>
      <c r="BQ60" s="110"/>
      <c r="BR60" s="110"/>
      <c r="BS60" s="110"/>
      <c r="BT60" s="110"/>
      <c r="BU60" s="110"/>
      <c r="BV60" s="110"/>
      <c r="BW60" s="110"/>
      <c r="BX60" s="110"/>
      <c r="BY60" s="110"/>
      <c r="BZ60" s="110"/>
      <c r="CA60" s="110"/>
      <c r="CB60" s="110"/>
      <c r="CC60" s="110"/>
      <c r="CD60" s="110"/>
      <c r="CE60" s="110"/>
      <c r="CF60" s="110"/>
    </row>
    <row r="61" spans="1:84" s="45" customFormat="1" x14ac:dyDescent="0.25">
      <c r="A61" t="str">
        <f>Funktional!A61</f>
        <v>Hegi-Winden</v>
      </c>
      <c r="B61" t="str">
        <f>Funktional!B61</f>
        <v>PSG</v>
      </c>
      <c r="C61">
        <v>5.5500000000000001E-2</v>
      </c>
      <c r="D61">
        <v>-2E-3</v>
      </c>
      <c r="E61" s="26">
        <f t="shared" si="17"/>
        <v>649406</v>
      </c>
      <c r="F61">
        <v>478202</v>
      </c>
      <c r="G61">
        <v>171204</v>
      </c>
      <c r="H61">
        <v>26014.85</v>
      </c>
      <c r="I61" s="42">
        <f t="shared" si="18"/>
        <v>4.0059454332112727E-2</v>
      </c>
      <c r="J61" s="80">
        <f t="shared" si="19"/>
        <v>8000</v>
      </c>
      <c r="K61" s="43">
        <f>J61*'KiGa - PS'!L62</f>
        <v>6276.7626799386089</v>
      </c>
      <c r="L61" s="42">
        <f>K61/Funktional!E61</f>
        <v>1.4749889352783152E-2</v>
      </c>
      <c r="M61">
        <v>60</v>
      </c>
      <c r="N61" s="43">
        <f>K61/Funktional!C61</f>
        <v>3138.3813399693045</v>
      </c>
      <c r="O61" s="44">
        <f>K61/Funktional!D61</f>
        <v>133.54814212635338</v>
      </c>
      <c r="P61">
        <v>2500</v>
      </c>
      <c r="Q61">
        <v>0</v>
      </c>
      <c r="R61">
        <v>0</v>
      </c>
      <c r="S61" s="43">
        <f t="shared" si="20"/>
        <v>2500</v>
      </c>
      <c r="T61">
        <v>5500</v>
      </c>
      <c r="U61">
        <v>0</v>
      </c>
      <c r="V61">
        <v>0</v>
      </c>
      <c r="W61" s="43">
        <f t="shared" si="21"/>
        <v>5500</v>
      </c>
      <c r="X61">
        <v>0</v>
      </c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  <c r="AO61" s="110"/>
      <c r="AP61" s="110"/>
      <c r="AQ61" s="110"/>
      <c r="AR61" s="110"/>
      <c r="AS61" s="110"/>
      <c r="AT61" s="110"/>
      <c r="AU61" s="110"/>
      <c r="AV61" s="110"/>
      <c r="AW61" s="110"/>
      <c r="AX61" s="110"/>
      <c r="AY61" s="110"/>
      <c r="AZ61" s="110"/>
      <c r="BA61" s="110"/>
      <c r="BB61" s="110"/>
      <c r="BC61" s="110"/>
      <c r="BD61" s="110"/>
      <c r="BE61" s="110"/>
      <c r="BF61" s="110"/>
      <c r="BG61" s="110"/>
      <c r="BH61" s="110"/>
      <c r="BI61" s="110"/>
      <c r="BJ61" s="110"/>
      <c r="BK61" s="110"/>
      <c r="BL61" s="110"/>
      <c r="BM61" s="110"/>
      <c r="BN61" s="110"/>
      <c r="BO61" s="110"/>
      <c r="BP61" s="110"/>
      <c r="BQ61" s="110"/>
      <c r="BR61" s="110"/>
      <c r="BS61" s="110"/>
      <c r="BT61" s="110"/>
      <c r="BU61" s="110"/>
      <c r="BV61" s="110"/>
      <c r="BW61" s="110"/>
      <c r="BX61" s="110"/>
      <c r="BY61" s="110"/>
      <c r="BZ61" s="110"/>
      <c r="CA61" s="110"/>
      <c r="CB61" s="110"/>
      <c r="CC61" s="110"/>
      <c r="CD61" s="110"/>
      <c r="CE61" s="110"/>
      <c r="CF61" s="110"/>
    </row>
    <row r="62" spans="1:84" s="45" customFormat="1" x14ac:dyDescent="0.25">
      <c r="A62" t="str">
        <f>Funktional!A62</f>
        <v>Herdern</v>
      </c>
      <c r="B62" t="str">
        <f>Funktional!B62</f>
        <v>PSG</v>
      </c>
      <c r="C62">
        <v>5.1999999999999998E-3</v>
      </c>
      <c r="D62">
        <v>-1.9800000000000002E-2</v>
      </c>
      <c r="E62" s="26">
        <f t="shared" si="17"/>
        <v>696081.14</v>
      </c>
      <c r="F62">
        <v>276198</v>
      </c>
      <c r="G62">
        <v>419883.14</v>
      </c>
      <c r="H62">
        <v>34653.550000000003</v>
      </c>
      <c r="I62" s="42">
        <f t="shared" si="18"/>
        <v>4.9783779517428101E-2</v>
      </c>
      <c r="J62" s="80">
        <f t="shared" si="19"/>
        <v>14888</v>
      </c>
      <c r="K62" s="43">
        <f>J62*'KiGa - PS'!L63</f>
        <v>12717.603838081262</v>
      </c>
      <c r="L62" s="42">
        <f>K62/Funktional!E62</f>
        <v>2.2814812771575266E-2</v>
      </c>
      <c r="M62">
        <v>75</v>
      </c>
      <c r="N62" s="43">
        <f>K62/Funktional!C62</f>
        <v>6358.8019190406312</v>
      </c>
      <c r="O62" s="44">
        <f>K62/Funktional!D62</f>
        <v>254.35207676162526</v>
      </c>
      <c r="P62">
        <v>1600</v>
      </c>
      <c r="Q62">
        <v>1000</v>
      </c>
      <c r="R62">
        <v>500</v>
      </c>
      <c r="S62" s="43">
        <f t="shared" si="20"/>
        <v>3100</v>
      </c>
      <c r="T62">
        <v>9288</v>
      </c>
      <c r="U62">
        <v>0</v>
      </c>
      <c r="V62">
        <v>2500</v>
      </c>
      <c r="W62" s="43">
        <f t="shared" si="21"/>
        <v>11788</v>
      </c>
      <c r="X62">
        <v>0</v>
      </c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  <c r="AO62" s="110"/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110"/>
      <c r="BB62" s="110"/>
      <c r="BC62" s="110"/>
      <c r="BD62" s="110"/>
      <c r="BE62" s="110"/>
      <c r="BF62" s="110"/>
      <c r="BG62" s="110"/>
      <c r="BH62" s="110"/>
      <c r="BI62" s="110"/>
      <c r="BJ62" s="110"/>
      <c r="BK62" s="110"/>
      <c r="BL62" s="110"/>
      <c r="BM62" s="110"/>
      <c r="BN62" s="110"/>
      <c r="BO62" s="110"/>
      <c r="BP62" s="110"/>
      <c r="BQ62" s="110"/>
      <c r="BR62" s="110"/>
      <c r="BS62" s="110"/>
      <c r="BT62" s="110"/>
      <c r="BU62" s="110"/>
      <c r="BV62" s="110"/>
      <c r="BW62" s="110"/>
      <c r="BX62" s="110"/>
      <c r="BY62" s="110"/>
      <c r="BZ62" s="110"/>
      <c r="CA62" s="110"/>
      <c r="CB62" s="110"/>
      <c r="CC62" s="110"/>
      <c r="CD62" s="110"/>
      <c r="CE62" s="110"/>
      <c r="CF62" s="110"/>
    </row>
    <row r="63" spans="1:84" s="45" customFormat="1" x14ac:dyDescent="0.25">
      <c r="A63" t="str">
        <f>Funktional!A63</f>
        <v>Herrenhof-Langrickenbach</v>
      </c>
      <c r="B63" t="str">
        <f>Funktional!B63</f>
        <v>PSG</v>
      </c>
      <c r="C63">
        <v>7.9699999999999993E-2</v>
      </c>
      <c r="D63">
        <v>1.17E-2</v>
      </c>
      <c r="E63" s="26">
        <f t="shared" si="17"/>
        <v>762448.5</v>
      </c>
      <c r="F63">
        <v>346986.6</v>
      </c>
      <c r="G63">
        <v>415461.9</v>
      </c>
      <c r="H63">
        <v>20666.400000000001</v>
      </c>
      <c r="I63" s="42">
        <f t="shared" si="18"/>
        <v>2.7105306128872967E-2</v>
      </c>
      <c r="J63" s="80">
        <f t="shared" si="19"/>
        <v>11019</v>
      </c>
      <c r="K63" s="43">
        <f>J63*'KiGa - PS'!L64</f>
        <v>8577.1649778936462</v>
      </c>
      <c r="L63" s="42">
        <f>K63/Funktional!E63</f>
        <v>2.0598685396720981E-2</v>
      </c>
      <c r="M63">
        <v>60</v>
      </c>
      <c r="N63" s="43">
        <f>K63/Funktional!C63</f>
        <v>8577.1649778936462</v>
      </c>
      <c r="O63" s="44">
        <f>K63/Funktional!D63</f>
        <v>504.53911634668509</v>
      </c>
      <c r="P63">
        <v>2550</v>
      </c>
      <c r="Q63">
        <v>0</v>
      </c>
      <c r="R63">
        <v>0</v>
      </c>
      <c r="S63" s="43">
        <f t="shared" si="20"/>
        <v>2550</v>
      </c>
      <c r="T63">
        <v>7069</v>
      </c>
      <c r="U63">
        <v>0</v>
      </c>
      <c r="V63">
        <v>1400</v>
      </c>
      <c r="W63" s="43">
        <f t="shared" si="21"/>
        <v>8469</v>
      </c>
      <c r="X63">
        <v>0</v>
      </c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  <c r="AO63" s="110"/>
      <c r="AP63" s="110"/>
      <c r="AQ63" s="110"/>
      <c r="AR63" s="110"/>
      <c r="AS63" s="110"/>
      <c r="AT63" s="110"/>
      <c r="AU63" s="110"/>
      <c r="AV63" s="110"/>
      <c r="AW63" s="110"/>
      <c r="AX63" s="110"/>
      <c r="AY63" s="110"/>
      <c r="AZ63" s="110"/>
      <c r="BA63" s="110"/>
      <c r="BB63" s="110"/>
      <c r="BC63" s="110"/>
      <c r="BD63" s="110"/>
      <c r="BE63" s="110"/>
      <c r="BF63" s="110"/>
      <c r="BG63" s="110"/>
      <c r="BH63" s="110"/>
      <c r="BI63" s="110"/>
      <c r="BJ63" s="110"/>
      <c r="BK63" s="110"/>
      <c r="BL63" s="110"/>
      <c r="BM63" s="110"/>
      <c r="BN63" s="110"/>
      <c r="BO63" s="110"/>
      <c r="BP63" s="110"/>
      <c r="BQ63" s="110"/>
      <c r="BR63" s="110"/>
      <c r="BS63" s="110"/>
      <c r="BT63" s="110"/>
      <c r="BU63" s="110"/>
      <c r="BV63" s="110"/>
      <c r="BW63" s="110"/>
      <c r="BX63" s="110"/>
      <c r="BY63" s="110"/>
      <c r="BZ63" s="110"/>
      <c r="CA63" s="110"/>
      <c r="CB63" s="110"/>
      <c r="CC63" s="110"/>
      <c r="CD63" s="110"/>
      <c r="CE63" s="110"/>
      <c r="CF63" s="110"/>
    </row>
    <row r="64" spans="1:84" s="45" customFormat="1" x14ac:dyDescent="0.25">
      <c r="A64" t="str">
        <f>Funktional!A64</f>
        <v>Hohentannen</v>
      </c>
      <c r="B64" t="str">
        <f>Funktional!B64</f>
        <v>PSG</v>
      </c>
      <c r="C64">
        <v>0.1079</v>
      </c>
      <c r="D64">
        <v>5.8799999999999998E-2</v>
      </c>
      <c r="E64" s="26">
        <f t="shared" si="17"/>
        <v>657003.94999999995</v>
      </c>
      <c r="F64">
        <v>281808.7</v>
      </c>
      <c r="G64">
        <v>375195.25</v>
      </c>
      <c r="H64">
        <v>13630.6</v>
      </c>
      <c r="I64" s="42">
        <f t="shared" si="18"/>
        <v>2.0746602817228118E-2</v>
      </c>
      <c r="J64" s="80">
        <f t="shared" si="19"/>
        <v>14140</v>
      </c>
      <c r="K64" s="43">
        <f>J64*'KiGa - PS'!L65</f>
        <v>10180.322824241712</v>
      </c>
      <c r="L64" s="42">
        <f>K64/Funktional!E64</f>
        <v>2.4685232731640968E-2</v>
      </c>
      <c r="M64">
        <v>60</v>
      </c>
      <c r="N64" s="43">
        <f>K64/Funktional!C64</f>
        <v>5090.1614121208559</v>
      </c>
      <c r="O64" s="44">
        <f>K64/Funktional!D64</f>
        <v>236.75169358701655</v>
      </c>
      <c r="P64">
        <v>6000</v>
      </c>
      <c r="Q64">
        <v>500</v>
      </c>
      <c r="R64">
        <v>0</v>
      </c>
      <c r="S64" s="43">
        <f t="shared" si="20"/>
        <v>6500</v>
      </c>
      <c r="T64">
        <v>6640</v>
      </c>
      <c r="U64">
        <v>0</v>
      </c>
      <c r="V64">
        <v>1000</v>
      </c>
      <c r="W64" s="43">
        <f t="shared" si="21"/>
        <v>7640</v>
      </c>
      <c r="X64">
        <v>0</v>
      </c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  <c r="AO64" s="110"/>
      <c r="AP64" s="110"/>
      <c r="AQ64" s="110"/>
      <c r="AR64" s="110"/>
      <c r="AS64" s="110"/>
      <c r="AT64" s="110"/>
      <c r="AU64" s="110"/>
      <c r="AV64" s="110"/>
      <c r="AW64" s="110"/>
      <c r="AX64" s="110"/>
      <c r="AY64" s="110"/>
      <c r="AZ64" s="110"/>
      <c r="BA64" s="110"/>
      <c r="BB64" s="110"/>
      <c r="BC64" s="110"/>
      <c r="BD64" s="110"/>
      <c r="BE64" s="110"/>
      <c r="BF64" s="110"/>
      <c r="BG64" s="110"/>
      <c r="BH64" s="110"/>
      <c r="BI64" s="110"/>
      <c r="BJ64" s="110"/>
      <c r="BK64" s="110"/>
      <c r="BL64" s="110"/>
      <c r="BM64" s="110"/>
      <c r="BN64" s="110"/>
      <c r="BO64" s="110"/>
      <c r="BP64" s="110"/>
      <c r="BQ64" s="110"/>
      <c r="BR64" s="110"/>
      <c r="BS64" s="110"/>
      <c r="BT64" s="110"/>
      <c r="BU64" s="110"/>
      <c r="BV64" s="110"/>
      <c r="BW64" s="110"/>
      <c r="BX64" s="110"/>
      <c r="BY64" s="110"/>
      <c r="BZ64" s="110"/>
      <c r="CA64" s="110"/>
      <c r="CB64" s="110"/>
      <c r="CC64" s="110"/>
      <c r="CD64" s="110"/>
      <c r="CE64" s="110"/>
      <c r="CF64" s="110"/>
    </row>
    <row r="65" spans="1:84" s="45" customFormat="1" x14ac:dyDescent="0.25">
      <c r="A65" t="str">
        <f>Funktional!A65</f>
        <v>Homburg-Hörstetten</v>
      </c>
      <c r="B65" t="str">
        <f>Funktional!B65</f>
        <v>PSG</v>
      </c>
      <c r="C65">
        <v>0.1716</v>
      </c>
      <c r="D65">
        <v>5.7099999999999998E-2</v>
      </c>
      <c r="E65" s="26">
        <f t="shared" ref="E65:E68" si="22">F65+G65</f>
        <v>2440648.0499999998</v>
      </c>
      <c r="F65">
        <v>2139816</v>
      </c>
      <c r="G65">
        <v>300832.05</v>
      </c>
      <c r="H65">
        <v>36343.65</v>
      </c>
      <c r="I65" s="42">
        <f t="shared" si="18"/>
        <v>1.4890983564795426E-2</v>
      </c>
      <c r="J65" s="80">
        <f t="shared" si="19"/>
        <v>17257</v>
      </c>
      <c r="K65" s="43">
        <f>J65*'KiGa - PS'!L66</f>
        <v>14875.113963258764</v>
      </c>
      <c r="L65" s="42">
        <f>K65/Funktional!E65</f>
        <v>1.5086788813675448E-2</v>
      </c>
      <c r="M65">
        <v>70</v>
      </c>
      <c r="N65" s="43">
        <f>K65/Funktional!C65</f>
        <v>4958.3713210862543</v>
      </c>
      <c r="O65" s="44">
        <f>K65/Funktional!D65</f>
        <v>212.50162804655378</v>
      </c>
      <c r="P65">
        <v>2800</v>
      </c>
      <c r="Q65">
        <v>182</v>
      </c>
      <c r="R65">
        <v>500</v>
      </c>
      <c r="S65" s="43">
        <f t="shared" si="20"/>
        <v>3482</v>
      </c>
      <c r="T65">
        <v>11825</v>
      </c>
      <c r="U65">
        <v>0</v>
      </c>
      <c r="V65">
        <v>0</v>
      </c>
      <c r="W65" s="43">
        <f t="shared" si="21"/>
        <v>11825</v>
      </c>
      <c r="X65">
        <v>1950</v>
      </c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110"/>
      <c r="BB65" s="110"/>
      <c r="BC65" s="110"/>
      <c r="BD65" s="110"/>
      <c r="BE65" s="110"/>
      <c r="BF65" s="110"/>
      <c r="BG65" s="110"/>
      <c r="BH65" s="110"/>
      <c r="BI65" s="110"/>
      <c r="BJ65" s="110"/>
      <c r="BK65" s="110"/>
      <c r="BL65" s="110"/>
      <c r="BM65" s="110"/>
      <c r="BN65" s="110"/>
      <c r="BO65" s="110"/>
      <c r="BP65" s="110"/>
      <c r="BQ65" s="110"/>
      <c r="BR65" s="110"/>
      <c r="BS65" s="110"/>
      <c r="BT65" s="110"/>
      <c r="BU65" s="110"/>
      <c r="BV65" s="110"/>
      <c r="BW65" s="110"/>
      <c r="BX65" s="110"/>
      <c r="BY65" s="110"/>
      <c r="BZ65" s="110"/>
      <c r="CA65" s="110"/>
      <c r="CB65" s="110"/>
      <c r="CC65" s="110"/>
      <c r="CD65" s="110"/>
      <c r="CE65" s="110"/>
      <c r="CF65" s="110"/>
    </row>
    <row r="66" spans="1:84" s="45" customFormat="1" x14ac:dyDescent="0.25">
      <c r="A66" t="str">
        <f>Funktional!A66</f>
        <v>Hugelshofen-Lippoldswilen</v>
      </c>
      <c r="B66" t="str">
        <f>Funktional!B66</f>
        <v>PSG</v>
      </c>
      <c r="C66">
        <v>6.9800000000000001E-2</v>
      </c>
      <c r="D66">
        <v>3.7499999999999999E-2</v>
      </c>
      <c r="E66" s="26">
        <f t="shared" si="22"/>
        <v>1365912</v>
      </c>
      <c r="F66">
        <v>740164</v>
      </c>
      <c r="G66">
        <v>625748</v>
      </c>
      <c r="H66">
        <v>43676.75</v>
      </c>
      <c r="I66" s="42">
        <f t="shared" si="18"/>
        <v>3.1976254692835264E-2</v>
      </c>
      <c r="J66" s="80">
        <f t="shared" si="19"/>
        <v>14893</v>
      </c>
      <c r="K66" s="43">
        <f>J66*'KiGa - PS'!L67</f>
        <v>11186.807912952399</v>
      </c>
      <c r="L66" s="42">
        <f>K66/Funktional!E66</f>
        <v>1.707405321720883E-2</v>
      </c>
      <c r="M66">
        <v>60</v>
      </c>
      <c r="N66" s="43">
        <f>K66/Funktional!C66</f>
        <v>3728.9359709841333</v>
      </c>
      <c r="O66" s="44">
        <f>K66/Funktional!D66</f>
        <v>177.56837957067302</v>
      </c>
      <c r="P66">
        <v>3475</v>
      </c>
      <c r="Q66">
        <v>1500</v>
      </c>
      <c r="R66">
        <v>0</v>
      </c>
      <c r="S66" s="43">
        <f t="shared" si="20"/>
        <v>4975</v>
      </c>
      <c r="T66">
        <v>7768</v>
      </c>
      <c r="U66">
        <v>0</v>
      </c>
      <c r="V66">
        <v>1350</v>
      </c>
      <c r="W66" s="43">
        <f t="shared" si="21"/>
        <v>9118</v>
      </c>
      <c r="X66">
        <v>800</v>
      </c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  <c r="AO66" s="110"/>
      <c r="AP66" s="110"/>
      <c r="AQ66" s="110"/>
      <c r="AR66" s="110"/>
      <c r="AS66" s="110"/>
      <c r="AT66" s="110"/>
      <c r="AU66" s="110"/>
      <c r="AV66" s="110"/>
      <c r="AW66" s="110"/>
      <c r="AX66" s="110"/>
      <c r="AY66" s="110"/>
      <c r="AZ66" s="110"/>
      <c r="BA66" s="110"/>
      <c r="BB66" s="110"/>
      <c r="BC66" s="110"/>
      <c r="BD66" s="110"/>
      <c r="BE66" s="110"/>
      <c r="BF66" s="110"/>
      <c r="BG66" s="110"/>
      <c r="BH66" s="110"/>
      <c r="BI66" s="110"/>
      <c r="BJ66" s="110"/>
      <c r="BK66" s="110"/>
      <c r="BL66" s="110"/>
      <c r="BM66" s="110"/>
      <c r="BN66" s="110"/>
      <c r="BO66" s="110"/>
      <c r="BP66" s="110"/>
      <c r="BQ66" s="110"/>
      <c r="BR66" s="110"/>
      <c r="BS66" s="110"/>
      <c r="BT66" s="110"/>
      <c r="BU66" s="110"/>
      <c r="BV66" s="110"/>
      <c r="BW66" s="110"/>
      <c r="BX66" s="110"/>
      <c r="BY66" s="110"/>
      <c r="BZ66" s="110"/>
      <c r="CA66" s="110"/>
      <c r="CB66" s="110"/>
      <c r="CC66" s="110"/>
      <c r="CD66" s="110"/>
      <c r="CE66" s="110"/>
      <c r="CF66" s="110"/>
    </row>
    <row r="67" spans="1:84" s="45" customFormat="1" x14ac:dyDescent="0.25">
      <c r="A67" t="str">
        <f>Funktional!A67</f>
        <v>Hüttlingen</v>
      </c>
      <c r="B67" t="str">
        <f>Funktional!B67</f>
        <v>PSG</v>
      </c>
      <c r="C67">
        <v>6.1600000000000002E-2</v>
      </c>
      <c r="D67">
        <v>-1.46E-2</v>
      </c>
      <c r="E67" s="26">
        <f t="shared" si="22"/>
        <v>1411678</v>
      </c>
      <c r="F67">
        <v>939850</v>
      </c>
      <c r="G67">
        <v>471828</v>
      </c>
      <c r="H67">
        <v>28889.65</v>
      </c>
      <c r="I67" s="42">
        <f t="shared" si="18"/>
        <v>2.0464758960612832E-2</v>
      </c>
      <c r="J67" s="80">
        <f t="shared" si="19"/>
        <v>19380</v>
      </c>
      <c r="K67" s="43">
        <f>J67*'KiGa - PS'!L68</f>
        <v>15470.332829352668</v>
      </c>
      <c r="L67" s="42">
        <f>K67/Funktional!E67</f>
        <v>1.7827909343701123E-2</v>
      </c>
      <c r="M67">
        <v>60</v>
      </c>
      <c r="N67" s="43">
        <f>K67/Funktional!C67</f>
        <v>3867.5832073381671</v>
      </c>
      <c r="O67" s="44">
        <f>K67/Funktional!D67</f>
        <v>195.82699783990719</v>
      </c>
      <c r="P67">
        <v>3680</v>
      </c>
      <c r="Q67">
        <v>450</v>
      </c>
      <c r="R67">
        <v>3200</v>
      </c>
      <c r="S67" s="43">
        <f t="shared" si="20"/>
        <v>7330</v>
      </c>
      <c r="T67">
        <v>8400</v>
      </c>
      <c r="U67">
        <v>450</v>
      </c>
      <c r="V67">
        <v>3200</v>
      </c>
      <c r="W67" s="43">
        <f t="shared" si="21"/>
        <v>12050</v>
      </c>
      <c r="X67">
        <v>0</v>
      </c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  <c r="AO67" s="110"/>
      <c r="AP67" s="110"/>
      <c r="AQ67" s="110"/>
      <c r="AR67" s="110"/>
      <c r="AS67" s="110"/>
      <c r="AT67" s="110"/>
      <c r="AU67" s="110"/>
      <c r="AV67" s="110"/>
      <c r="AW67" s="110"/>
      <c r="AX67" s="110"/>
      <c r="AY67" s="110"/>
      <c r="AZ67" s="110"/>
      <c r="BA67" s="110"/>
      <c r="BB67" s="110"/>
      <c r="BC67" s="110"/>
      <c r="BD67" s="110"/>
      <c r="BE67" s="110"/>
      <c r="BF67" s="110"/>
      <c r="BG67" s="110"/>
      <c r="BH67" s="110"/>
      <c r="BI67" s="110"/>
      <c r="BJ67" s="110"/>
      <c r="BK67" s="110"/>
      <c r="BL67" s="110"/>
      <c r="BM67" s="110"/>
      <c r="BN67" s="110"/>
      <c r="BO67" s="110"/>
      <c r="BP67" s="110"/>
      <c r="BQ67" s="110"/>
      <c r="BR67" s="110"/>
      <c r="BS67" s="110"/>
      <c r="BT67" s="110"/>
      <c r="BU67" s="110"/>
      <c r="BV67" s="110"/>
      <c r="BW67" s="110"/>
      <c r="BX67" s="110"/>
      <c r="BY67" s="110"/>
      <c r="BZ67" s="110"/>
      <c r="CA67" s="110"/>
      <c r="CB67" s="110"/>
      <c r="CC67" s="110"/>
      <c r="CD67" s="110"/>
      <c r="CE67" s="110"/>
      <c r="CF67" s="110"/>
    </row>
    <row r="68" spans="1:84" s="45" customFormat="1" x14ac:dyDescent="0.25">
      <c r="A68" t="str">
        <f>Funktional!A68</f>
        <v>Hüttwilen</v>
      </c>
      <c r="B68" t="str">
        <f>Funktional!B68</f>
        <v>PSG</v>
      </c>
      <c r="C68">
        <v>0.13059999999999999</v>
      </c>
      <c r="D68">
        <v>3.8199999999999998E-2</v>
      </c>
      <c r="E68" s="26">
        <f t="shared" si="22"/>
        <v>2166139.15</v>
      </c>
      <c r="F68">
        <v>1792000</v>
      </c>
      <c r="G68">
        <v>374139.15</v>
      </c>
      <c r="H68">
        <v>18757.8</v>
      </c>
      <c r="I68" s="42">
        <f t="shared" si="18"/>
        <v>8.6595544889163743E-3</v>
      </c>
      <c r="J68" s="80">
        <f t="shared" si="19"/>
        <v>14600</v>
      </c>
      <c r="K68" s="43">
        <f>J68*'KiGa - PS'!L69</f>
        <v>12948.183586624273</v>
      </c>
      <c r="L68" s="42">
        <f>K68/Funktional!E68</f>
        <v>1.2231618600035958E-2</v>
      </c>
      <c r="M68">
        <v>70</v>
      </c>
      <c r="N68" s="43">
        <f>K68/Funktional!C68</f>
        <v>3237.0458966560682</v>
      </c>
      <c r="O68" s="44">
        <f>K68/Funktional!D68</f>
        <v>156.00221188703944</v>
      </c>
      <c r="P68">
        <v>3500</v>
      </c>
      <c r="Q68">
        <v>200</v>
      </c>
      <c r="R68">
        <v>1800</v>
      </c>
      <c r="S68" s="43">
        <f t="shared" si="20"/>
        <v>5500</v>
      </c>
      <c r="T68">
        <v>6500</v>
      </c>
      <c r="U68">
        <v>0</v>
      </c>
      <c r="V68">
        <v>1800</v>
      </c>
      <c r="W68" s="43">
        <f t="shared" si="21"/>
        <v>8300</v>
      </c>
      <c r="X68">
        <v>800</v>
      </c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  <c r="AO68" s="110"/>
      <c r="AP68" s="110"/>
      <c r="AQ68" s="110"/>
      <c r="AR68" s="110"/>
      <c r="AS68" s="110"/>
      <c r="AT68" s="110"/>
      <c r="AU68" s="110"/>
      <c r="AV68" s="110"/>
      <c r="AW68" s="110"/>
      <c r="AX68" s="110"/>
      <c r="AY68" s="110"/>
      <c r="AZ68" s="110"/>
      <c r="BA68" s="110"/>
      <c r="BB68" s="110"/>
      <c r="BC68" s="110"/>
      <c r="BD68" s="110"/>
      <c r="BE68" s="110"/>
      <c r="BF68" s="110"/>
      <c r="BG68" s="110"/>
      <c r="BH68" s="110"/>
      <c r="BI68" s="110"/>
      <c r="BJ68" s="110"/>
      <c r="BK68" s="110"/>
      <c r="BL68" s="110"/>
      <c r="BM68" s="110"/>
      <c r="BN68" s="110"/>
      <c r="BO68" s="110"/>
      <c r="BP68" s="110"/>
      <c r="BQ68" s="110"/>
      <c r="BR68" s="110"/>
      <c r="BS68" s="110"/>
      <c r="BT68" s="110"/>
      <c r="BU68" s="110"/>
      <c r="BV68" s="110"/>
      <c r="BW68" s="110"/>
      <c r="BX68" s="110"/>
      <c r="BY68" s="110"/>
      <c r="BZ68" s="110"/>
      <c r="CA68" s="110"/>
      <c r="CB68" s="110"/>
      <c r="CC68" s="110"/>
      <c r="CD68" s="110"/>
      <c r="CE68" s="110"/>
      <c r="CF68" s="110"/>
    </row>
    <row r="69" spans="1:84" s="45" customFormat="1" x14ac:dyDescent="0.25">
      <c r="A69" t="str">
        <f>Funktional!A69</f>
        <v>Illighausen</v>
      </c>
      <c r="B69" t="str">
        <f>Funktional!B69</f>
        <v>PSG</v>
      </c>
      <c r="C69">
        <v>0.52049999999999996</v>
      </c>
      <c r="D69">
        <v>0.1888</v>
      </c>
      <c r="E69" s="26">
        <f t="shared" ref="E69:E74" si="23">F69+G69</f>
        <v>2295998.06</v>
      </c>
      <c r="F69">
        <v>1766983.45</v>
      </c>
      <c r="G69">
        <v>529014.61</v>
      </c>
      <c r="H69">
        <v>14321.55</v>
      </c>
      <c r="I69" s="42">
        <f t="shared" si="18"/>
        <v>6.2376141554753746E-3</v>
      </c>
      <c r="J69" s="80">
        <f t="shared" si="19"/>
        <v>4833</v>
      </c>
      <c r="K69" s="43">
        <f>J69*'KiGa - PS'!L70</f>
        <v>4833</v>
      </c>
      <c r="L69" s="42">
        <f>K69/Funktional!E69</f>
        <v>1.1334846710094163E-2</v>
      </c>
      <c r="M69">
        <v>60</v>
      </c>
      <c r="N69" s="43">
        <f>K69/Funktional!C69</f>
        <v>4833</v>
      </c>
      <c r="O69" s="44">
        <f>K69/Funktional!D69</f>
        <v>193.32</v>
      </c>
      <c r="P69">
        <v>1500</v>
      </c>
      <c r="Q69">
        <v>0</v>
      </c>
      <c r="R69">
        <v>0</v>
      </c>
      <c r="S69" s="43">
        <f t="shared" si="20"/>
        <v>1500</v>
      </c>
      <c r="T69">
        <v>2500</v>
      </c>
      <c r="U69">
        <v>0</v>
      </c>
      <c r="V69">
        <v>0</v>
      </c>
      <c r="W69" s="43">
        <f t="shared" si="21"/>
        <v>2500</v>
      </c>
      <c r="X69">
        <v>833</v>
      </c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  <c r="AO69" s="110"/>
      <c r="AP69" s="110"/>
      <c r="AQ69" s="110"/>
      <c r="AR69" s="110"/>
      <c r="AS69" s="110"/>
      <c r="AT69" s="110"/>
      <c r="AU69" s="110"/>
      <c r="AV69" s="110"/>
      <c r="AW69" s="110"/>
      <c r="AX69" s="110"/>
      <c r="AY69" s="110"/>
      <c r="AZ69" s="110"/>
      <c r="BA69" s="110"/>
      <c r="BB69" s="110"/>
      <c r="BC69" s="110"/>
      <c r="BD69" s="110"/>
      <c r="BE69" s="110"/>
      <c r="BF69" s="110"/>
      <c r="BG69" s="110"/>
      <c r="BH69" s="110"/>
      <c r="BI69" s="110"/>
      <c r="BJ69" s="110"/>
      <c r="BK69" s="110"/>
      <c r="BL69" s="110"/>
      <c r="BM69" s="110"/>
      <c r="BN69" s="110"/>
      <c r="BO69" s="110"/>
      <c r="BP69" s="110"/>
      <c r="BQ69" s="110"/>
      <c r="BR69" s="110"/>
      <c r="BS69" s="110"/>
      <c r="BT69" s="110"/>
      <c r="BU69" s="110"/>
      <c r="BV69" s="110"/>
      <c r="BW69" s="110"/>
      <c r="BX69" s="110"/>
      <c r="BY69" s="110"/>
      <c r="BZ69" s="110"/>
      <c r="CA69" s="110"/>
      <c r="CB69" s="110"/>
      <c r="CC69" s="110"/>
      <c r="CD69" s="110"/>
      <c r="CE69" s="110"/>
      <c r="CF69" s="110"/>
    </row>
    <row r="70" spans="1:84" s="45" customFormat="1" x14ac:dyDescent="0.25">
      <c r="A70" t="str">
        <f>Funktional!A70</f>
        <v>Istighofen</v>
      </c>
      <c r="B70" t="str">
        <f>Funktional!B70</f>
        <v>PSG</v>
      </c>
      <c r="C70">
        <v>0.1847</v>
      </c>
      <c r="D70">
        <v>9.2899999999999996E-2</v>
      </c>
      <c r="E70" s="26">
        <f t="shared" si="23"/>
        <v>1645722.3</v>
      </c>
      <c r="F70">
        <v>834004</v>
      </c>
      <c r="G70">
        <v>811718.3</v>
      </c>
      <c r="H70">
        <v>43828.05</v>
      </c>
      <c r="I70" s="42">
        <f t="shared" si="18"/>
        <v>2.6631497914320054E-2</v>
      </c>
      <c r="J70" s="80">
        <f t="shared" si="19"/>
        <v>14650</v>
      </c>
      <c r="K70" s="43">
        <f>J70*'KiGa - PS'!L71</f>
        <v>11733.492208480016</v>
      </c>
      <c r="L70" s="42">
        <f>K70/Funktional!E70</f>
        <v>1.7023720317357011E-2</v>
      </c>
      <c r="M70">
        <v>60</v>
      </c>
      <c r="N70" s="43">
        <f>K70/Funktional!C70</f>
        <v>3911.164069493339</v>
      </c>
      <c r="O70" s="44">
        <f>K70/Funktional!D70</f>
        <v>221.38664544301918</v>
      </c>
      <c r="P70">
        <v>2850</v>
      </c>
      <c r="Q70">
        <v>0</v>
      </c>
      <c r="R70">
        <v>1000</v>
      </c>
      <c r="S70" s="43">
        <f t="shared" si="20"/>
        <v>3850</v>
      </c>
      <c r="T70">
        <v>6300</v>
      </c>
      <c r="U70">
        <v>0</v>
      </c>
      <c r="V70">
        <v>2500</v>
      </c>
      <c r="W70" s="43">
        <f t="shared" si="21"/>
        <v>8800</v>
      </c>
      <c r="X70">
        <v>2000</v>
      </c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  <c r="AO70" s="110"/>
      <c r="AP70" s="110"/>
      <c r="AQ70" s="110"/>
      <c r="AR70" s="110"/>
      <c r="AS70" s="110"/>
      <c r="AT70" s="110"/>
      <c r="AU70" s="110"/>
      <c r="AV70" s="110"/>
      <c r="AW70" s="110"/>
      <c r="AX70" s="110"/>
      <c r="AY70" s="110"/>
      <c r="AZ70" s="110"/>
      <c r="BA70" s="110"/>
      <c r="BB70" s="110"/>
      <c r="BC70" s="110"/>
      <c r="BD70" s="110"/>
      <c r="BE70" s="110"/>
      <c r="BF70" s="110"/>
      <c r="BG70" s="110"/>
      <c r="BH70" s="110"/>
      <c r="BI70" s="110"/>
      <c r="BJ70" s="110"/>
      <c r="BK70" s="110"/>
      <c r="BL70" s="110"/>
      <c r="BM70" s="110"/>
      <c r="BN70" s="110"/>
      <c r="BO70" s="110"/>
      <c r="BP70" s="110"/>
      <c r="BQ70" s="110"/>
      <c r="BR70" s="110"/>
      <c r="BS70" s="110"/>
      <c r="BT70" s="110"/>
      <c r="BU70" s="110"/>
      <c r="BV70" s="110"/>
      <c r="BW70" s="110"/>
      <c r="BX70" s="110"/>
      <c r="BY70" s="110"/>
      <c r="BZ70" s="110"/>
      <c r="CA70" s="110"/>
      <c r="CB70" s="110"/>
      <c r="CC70" s="110"/>
      <c r="CD70" s="110"/>
      <c r="CE70" s="110"/>
      <c r="CF70" s="110"/>
    </row>
    <row r="71" spans="1:84" s="45" customFormat="1" x14ac:dyDescent="0.25">
      <c r="A71" t="str">
        <f>Funktional!A71</f>
        <v>Kaltenbach</v>
      </c>
      <c r="B71" t="str">
        <f>Funktional!B71</f>
        <v>PSG</v>
      </c>
      <c r="C71">
        <v>1.11E-2</v>
      </c>
      <c r="D71">
        <v>-2.8E-3</v>
      </c>
      <c r="E71" s="26">
        <f t="shared" si="23"/>
        <v>548169.4</v>
      </c>
      <c r="F71">
        <v>189280.2</v>
      </c>
      <c r="G71">
        <v>358889.2</v>
      </c>
      <c r="H71">
        <v>10636.75</v>
      </c>
      <c r="I71" s="42">
        <f t="shared" si="18"/>
        <v>1.9404129453413486E-2</v>
      </c>
      <c r="J71" s="80">
        <f t="shared" si="19"/>
        <v>18600</v>
      </c>
      <c r="K71" s="43">
        <f>J71*'KiGa - PS'!L72</f>
        <v>15160.640709117457</v>
      </c>
      <c r="L71" s="42">
        <f>K71/Funktional!E71</f>
        <v>2.4850018116464818E-2</v>
      </c>
      <c r="M71">
        <v>50</v>
      </c>
      <c r="N71" s="43">
        <f>K71/Funktional!C71</f>
        <v>3790.1601772793642</v>
      </c>
      <c r="O71" s="44">
        <f>K71/Funktional!D71</f>
        <v>202.1418761215661</v>
      </c>
      <c r="P71">
        <v>5000</v>
      </c>
      <c r="Q71">
        <v>0</v>
      </c>
      <c r="R71">
        <v>1800</v>
      </c>
      <c r="S71" s="43">
        <f t="shared" si="20"/>
        <v>6800</v>
      </c>
      <c r="T71">
        <v>10000</v>
      </c>
      <c r="U71">
        <v>0</v>
      </c>
      <c r="V71">
        <v>1800</v>
      </c>
      <c r="W71" s="43">
        <f t="shared" si="21"/>
        <v>11800</v>
      </c>
      <c r="X71">
        <v>0</v>
      </c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  <c r="AO71" s="110"/>
      <c r="AP71" s="110"/>
      <c r="AQ71" s="110"/>
      <c r="AR71" s="110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D71" s="110"/>
      <c r="BE71" s="110"/>
      <c r="BF71" s="110"/>
      <c r="BG71" s="110"/>
      <c r="BH71" s="110"/>
      <c r="BI71" s="110"/>
      <c r="BJ71" s="110"/>
      <c r="BK71" s="110"/>
      <c r="BL71" s="110"/>
      <c r="BM71" s="110"/>
      <c r="BN71" s="110"/>
      <c r="BO71" s="110"/>
      <c r="BP71" s="110"/>
      <c r="BQ71" s="110"/>
      <c r="BR71" s="110"/>
      <c r="BS71" s="110"/>
      <c r="BT71" s="110"/>
      <c r="BU71" s="110"/>
      <c r="BV71" s="110"/>
      <c r="BW71" s="110"/>
      <c r="BX71" s="110"/>
      <c r="BY71" s="110"/>
      <c r="BZ71" s="110"/>
      <c r="CA71" s="110"/>
      <c r="CB71" s="110"/>
      <c r="CC71" s="110"/>
      <c r="CD71" s="110"/>
      <c r="CE71" s="110"/>
      <c r="CF71" s="110"/>
    </row>
    <row r="72" spans="1:84" s="45" customFormat="1" x14ac:dyDescent="0.25">
      <c r="A72" t="str">
        <f>Funktional!A72</f>
        <v>Kesswil</v>
      </c>
      <c r="B72" t="str">
        <f>Funktional!B72</f>
        <v>PSG</v>
      </c>
      <c r="C72">
        <v>0.1113</v>
      </c>
      <c r="D72">
        <v>0.05</v>
      </c>
      <c r="E72" s="26">
        <f t="shared" si="23"/>
        <v>1445731.3499999999</v>
      </c>
      <c r="F72">
        <v>1406653.4</v>
      </c>
      <c r="G72">
        <v>39077.949999999997</v>
      </c>
      <c r="H72">
        <v>30472.9</v>
      </c>
      <c r="I72" s="42">
        <f t="shared" si="18"/>
        <v>2.1077844096000272E-2</v>
      </c>
      <c r="J72" s="80">
        <f t="shared" si="19"/>
        <v>15100</v>
      </c>
      <c r="K72" s="43">
        <f>J72*'KiGa - PS'!L73</f>
        <v>13079.200100840708</v>
      </c>
      <c r="L72" s="42">
        <f>K72/Funktional!E72</f>
        <v>1.2188190176447863E-2</v>
      </c>
      <c r="M72">
        <v>60</v>
      </c>
      <c r="N72" s="43">
        <f>K72/Funktional!C72</f>
        <v>3269.800025210177</v>
      </c>
      <c r="O72" s="44">
        <f>K72/Funktional!D72</f>
        <v>179.16712466905079</v>
      </c>
      <c r="P72">
        <v>2500</v>
      </c>
      <c r="Q72">
        <v>0</v>
      </c>
      <c r="R72">
        <v>750</v>
      </c>
      <c r="S72" s="43">
        <f t="shared" si="20"/>
        <v>3250</v>
      </c>
      <c r="T72">
        <v>9500</v>
      </c>
      <c r="U72">
        <v>0</v>
      </c>
      <c r="V72">
        <v>1850</v>
      </c>
      <c r="W72" s="43">
        <f t="shared" si="21"/>
        <v>11350</v>
      </c>
      <c r="X72">
        <v>500</v>
      </c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  <c r="AO72" s="110"/>
      <c r="AP72" s="110"/>
      <c r="AQ72" s="110"/>
      <c r="AR72" s="110"/>
      <c r="AS72" s="110"/>
      <c r="AT72" s="110"/>
      <c r="AU72" s="110"/>
      <c r="AV72" s="110"/>
      <c r="AW72" s="110"/>
      <c r="AX72" s="110"/>
      <c r="AY72" s="110"/>
      <c r="AZ72" s="110"/>
      <c r="BA72" s="110"/>
      <c r="BB72" s="110"/>
      <c r="BC72" s="110"/>
      <c r="BD72" s="110"/>
      <c r="BE72" s="110"/>
      <c r="BF72" s="110"/>
      <c r="BG72" s="110"/>
      <c r="BH72" s="110"/>
      <c r="BI72" s="110"/>
      <c r="BJ72" s="110"/>
      <c r="BK72" s="110"/>
      <c r="BL72" s="110"/>
      <c r="BM72" s="110"/>
      <c r="BN72" s="110"/>
      <c r="BO72" s="110"/>
      <c r="BP72" s="110"/>
      <c r="BQ72" s="110"/>
      <c r="BR72" s="110"/>
      <c r="BS72" s="110"/>
      <c r="BT72" s="110"/>
      <c r="BU72" s="110"/>
      <c r="BV72" s="110"/>
      <c r="BW72" s="110"/>
      <c r="BX72" s="110"/>
      <c r="BY72" s="110"/>
      <c r="BZ72" s="110"/>
      <c r="CA72" s="110"/>
      <c r="CB72" s="110"/>
      <c r="CC72" s="110"/>
      <c r="CD72" s="110"/>
      <c r="CE72" s="110"/>
      <c r="CF72" s="110"/>
    </row>
    <row r="73" spans="1:84" s="45" customFormat="1" x14ac:dyDescent="0.25">
      <c r="A73" t="str">
        <f>Funktional!A73</f>
        <v>Kreuzlingen</v>
      </c>
      <c r="B73" t="str">
        <f>Funktional!B73</f>
        <v>PSG</v>
      </c>
      <c r="C73">
        <v>2.4400000000000002E-2</v>
      </c>
      <c r="D73">
        <v>2.5000000000000001E-3</v>
      </c>
      <c r="E73" s="26">
        <f t="shared" si="23"/>
        <v>16510252.52</v>
      </c>
      <c r="F73">
        <v>8572009</v>
      </c>
      <c r="G73">
        <v>7938243.5199999996</v>
      </c>
      <c r="H73">
        <v>270393.09999999998</v>
      </c>
      <c r="I73" s="42">
        <f t="shared" ref="I73:I88" si="24">H73/E73</f>
        <v>1.6377284337259792E-2</v>
      </c>
      <c r="J73" s="80">
        <f t="shared" ref="J73:J88" si="25">S73+W73+X73</f>
        <v>326543</v>
      </c>
      <c r="K73" s="43">
        <f>J73*'KiGa - PS'!L74</f>
        <v>277986.35830215714</v>
      </c>
      <c r="L73" s="42">
        <f>K73/Funktional!E73</f>
        <v>2.3043515698161578E-2</v>
      </c>
      <c r="M73">
        <v>74</v>
      </c>
      <c r="N73" s="43">
        <f>K73/Funktional!C73</f>
        <v>4520.1033870269457</v>
      </c>
      <c r="O73" s="44">
        <f>K73/Funktional!D73</f>
        <v>264.74891266872106</v>
      </c>
      <c r="P73">
        <v>93600</v>
      </c>
      <c r="Q73">
        <v>5040</v>
      </c>
      <c r="R73">
        <v>0</v>
      </c>
      <c r="S73" s="43">
        <f t="shared" ref="S73:S88" si="26">P73+Q73+R73</f>
        <v>98640</v>
      </c>
      <c r="T73">
        <v>218843</v>
      </c>
      <c r="U73">
        <v>2160</v>
      </c>
      <c r="V73">
        <v>0</v>
      </c>
      <c r="W73" s="43">
        <f t="shared" ref="W73:W88" si="27">T73+U73+V73</f>
        <v>221003</v>
      </c>
      <c r="X73">
        <v>6900</v>
      </c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  <c r="AO73" s="110"/>
      <c r="AP73" s="110"/>
      <c r="AQ73" s="110"/>
      <c r="AR73" s="110"/>
      <c r="AS73" s="110"/>
      <c r="AT73" s="110"/>
      <c r="AU73" s="110"/>
      <c r="AV73" s="110"/>
      <c r="AW73" s="110"/>
      <c r="AX73" s="110"/>
      <c r="AY73" s="110"/>
      <c r="AZ73" s="110"/>
      <c r="BA73" s="110"/>
      <c r="BB73" s="110"/>
      <c r="BC73" s="110"/>
      <c r="BD73" s="110"/>
      <c r="BE73" s="110"/>
      <c r="BF73" s="110"/>
      <c r="BG73" s="110"/>
      <c r="BH73" s="110"/>
      <c r="BI73" s="110"/>
      <c r="BJ73" s="110"/>
      <c r="BK73" s="110"/>
      <c r="BL73" s="110"/>
      <c r="BM73" s="110"/>
      <c r="BN73" s="110"/>
      <c r="BO73" s="110"/>
      <c r="BP73" s="110"/>
      <c r="BQ73" s="110"/>
      <c r="BR73" s="110"/>
      <c r="BS73" s="110"/>
      <c r="BT73" s="110"/>
      <c r="BU73" s="110"/>
      <c r="BV73" s="110"/>
      <c r="BW73" s="110"/>
      <c r="BX73" s="110"/>
      <c r="BY73" s="110"/>
      <c r="BZ73" s="110"/>
      <c r="CA73" s="110"/>
      <c r="CB73" s="110"/>
      <c r="CC73" s="110"/>
      <c r="CD73" s="110"/>
      <c r="CE73" s="110"/>
      <c r="CF73" s="110"/>
    </row>
    <row r="74" spans="1:84" s="45" customFormat="1" x14ac:dyDescent="0.25">
      <c r="A74" t="str">
        <f>Funktional!A74</f>
        <v>Landschlacht</v>
      </c>
      <c r="B74" t="str">
        <f>Funktional!B74</f>
        <v>PSG</v>
      </c>
      <c r="C74">
        <v>0.20569999999999999</v>
      </c>
      <c r="D74">
        <v>8.4500000000000006E-2</v>
      </c>
      <c r="E74" s="26">
        <f t="shared" si="23"/>
        <v>3466343.65</v>
      </c>
      <c r="F74">
        <v>3187081</v>
      </c>
      <c r="G74">
        <v>279262.65000000002</v>
      </c>
      <c r="H74">
        <v>17464.650000000001</v>
      </c>
      <c r="I74" s="42">
        <f t="shared" si="24"/>
        <v>5.0383492704192791E-3</v>
      </c>
      <c r="J74" s="80">
        <f t="shared" si="25"/>
        <v>19500</v>
      </c>
      <c r="K74" s="43">
        <f>J74*'KiGa - PS'!L75</f>
        <v>15963.590648730637</v>
      </c>
      <c r="L74" s="42">
        <f>K74/Funktional!E74</f>
        <v>1.4571071372021792E-2</v>
      </c>
      <c r="M74">
        <v>70</v>
      </c>
      <c r="N74" s="43">
        <f>K74/Funktional!C74</f>
        <v>3990.8976621826591</v>
      </c>
      <c r="O74" s="44">
        <f>K74/Funktional!D74</f>
        <v>197.08136603371156</v>
      </c>
      <c r="P74">
        <v>4000</v>
      </c>
      <c r="Q74">
        <v>1000</v>
      </c>
      <c r="R74">
        <v>1500</v>
      </c>
      <c r="S74" s="43">
        <f t="shared" si="26"/>
        <v>6500</v>
      </c>
      <c r="T74">
        <v>10000</v>
      </c>
      <c r="U74">
        <v>1500</v>
      </c>
      <c r="V74">
        <v>1500</v>
      </c>
      <c r="W74" s="43">
        <f t="shared" si="27"/>
        <v>13000</v>
      </c>
      <c r="X74">
        <v>0</v>
      </c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110"/>
      <c r="AS74" s="110"/>
      <c r="AT74" s="110"/>
      <c r="AU74" s="110"/>
      <c r="AV74" s="110"/>
      <c r="AW74" s="110"/>
      <c r="AX74" s="110"/>
      <c r="AY74" s="110"/>
      <c r="AZ74" s="110"/>
      <c r="BA74" s="110"/>
      <c r="BB74" s="110"/>
      <c r="BC74" s="110"/>
      <c r="BD74" s="110"/>
      <c r="BE74" s="110"/>
      <c r="BF74" s="110"/>
      <c r="BG74" s="110"/>
      <c r="BH74" s="110"/>
      <c r="BI74" s="110"/>
      <c r="BJ74" s="110"/>
      <c r="BK74" s="110"/>
      <c r="BL74" s="110"/>
      <c r="BM74" s="110"/>
      <c r="BN74" s="110"/>
      <c r="BO74" s="110"/>
      <c r="BP74" s="110"/>
      <c r="BQ74" s="110"/>
      <c r="BR74" s="110"/>
      <c r="BS74" s="110"/>
      <c r="BT74" s="110"/>
      <c r="BU74" s="110"/>
      <c r="BV74" s="110"/>
      <c r="BW74" s="110"/>
      <c r="BX74" s="110"/>
      <c r="BY74" s="110"/>
      <c r="BZ74" s="110"/>
      <c r="CA74" s="110"/>
      <c r="CB74" s="110"/>
      <c r="CC74" s="110"/>
      <c r="CD74" s="110"/>
      <c r="CE74" s="110"/>
      <c r="CF74" s="110"/>
    </row>
    <row r="75" spans="1:84" s="45" customFormat="1" x14ac:dyDescent="0.25">
      <c r="A75" t="str">
        <f>Funktional!A75</f>
        <v>Lanterswil</v>
      </c>
      <c r="B75" t="str">
        <f>Funktional!B75</f>
        <v>PSG</v>
      </c>
      <c r="C75">
        <v>5.0599999999999999E-2</v>
      </c>
      <c r="D75">
        <v>1.38E-2</v>
      </c>
      <c r="E75" s="26">
        <f t="shared" ref="E75:E83" si="28">F75+G75</f>
        <v>538240.44999999995</v>
      </c>
      <c r="F75">
        <v>422929</v>
      </c>
      <c r="G75">
        <v>115311.45</v>
      </c>
      <c r="H75">
        <v>12431.2</v>
      </c>
      <c r="I75" s="42">
        <f t="shared" si="24"/>
        <v>2.3095997337249555E-2</v>
      </c>
      <c r="J75" s="80">
        <f t="shared" si="25"/>
        <v>19500</v>
      </c>
      <c r="K75" s="43">
        <f>J75*'KiGa - PS'!L76</f>
        <v>19500</v>
      </c>
      <c r="L75" s="42">
        <f>K75/Funktional!E75</f>
        <v>7.4629678922071882E-2</v>
      </c>
      <c r="M75">
        <v>40</v>
      </c>
      <c r="N75" s="43">
        <f>K75/Funktional!C75</f>
        <v>19500</v>
      </c>
      <c r="O75" s="44">
        <f>K75/Funktional!D75</f>
        <v>812.5</v>
      </c>
      <c r="P75">
        <v>500</v>
      </c>
      <c r="Q75">
        <v>0</v>
      </c>
      <c r="R75">
        <v>0</v>
      </c>
      <c r="S75" s="43">
        <f t="shared" si="26"/>
        <v>500</v>
      </c>
      <c r="T75">
        <v>18000</v>
      </c>
      <c r="U75">
        <v>0</v>
      </c>
      <c r="V75">
        <v>1000</v>
      </c>
      <c r="W75" s="43">
        <f t="shared" si="27"/>
        <v>19000</v>
      </c>
      <c r="X75">
        <v>0</v>
      </c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  <c r="AU75" s="110"/>
      <c r="AV75" s="110"/>
      <c r="AW75" s="110"/>
      <c r="AX75" s="110"/>
      <c r="AY75" s="110"/>
      <c r="AZ75" s="110"/>
      <c r="BA75" s="110"/>
      <c r="BB75" s="110"/>
      <c r="BC75" s="110"/>
      <c r="BD75" s="110"/>
      <c r="BE75" s="110"/>
      <c r="BF75" s="110"/>
      <c r="BG75" s="110"/>
      <c r="BH75" s="110"/>
      <c r="BI75" s="110"/>
      <c r="BJ75" s="110"/>
      <c r="BK75" s="110"/>
      <c r="BL75" s="110"/>
      <c r="BM75" s="110"/>
      <c r="BN75" s="110"/>
      <c r="BO75" s="110"/>
      <c r="BP75" s="110"/>
      <c r="BQ75" s="110"/>
      <c r="BR75" s="110"/>
      <c r="BS75" s="110"/>
      <c r="BT75" s="110"/>
      <c r="BU75" s="110"/>
      <c r="BV75" s="110"/>
      <c r="BW75" s="110"/>
      <c r="BX75" s="110"/>
      <c r="BY75" s="110"/>
      <c r="BZ75" s="110"/>
      <c r="CA75" s="110"/>
      <c r="CB75" s="110"/>
      <c r="CC75" s="110"/>
      <c r="CD75" s="110"/>
      <c r="CE75" s="110"/>
      <c r="CF75" s="110"/>
    </row>
    <row r="76" spans="1:84" s="45" customFormat="1" x14ac:dyDescent="0.25">
      <c r="A76" t="str">
        <f>Funktional!A76</f>
        <v>Leimbach</v>
      </c>
      <c r="B76" t="str">
        <f>Funktional!B76</f>
        <v>PSG</v>
      </c>
      <c r="C76">
        <v>0.10630000000000001</v>
      </c>
      <c r="D76">
        <v>2.0899999999999998E-2</v>
      </c>
      <c r="E76" s="26">
        <f t="shared" si="28"/>
        <v>1409864.8</v>
      </c>
      <c r="F76">
        <v>1057039</v>
      </c>
      <c r="G76">
        <v>352825.8</v>
      </c>
      <c r="H76">
        <v>24453.1</v>
      </c>
      <c r="I76" s="42">
        <f t="shared" si="24"/>
        <v>1.7344287196900014E-2</v>
      </c>
      <c r="J76" s="80">
        <f t="shared" si="25"/>
        <v>14380</v>
      </c>
      <c r="K76" s="43">
        <f>J76*'KiGa - PS'!L77</f>
        <v>12473.215150164195</v>
      </c>
      <c r="L76" s="42">
        <f>K76/Funktional!E76</f>
        <v>2.0990044033842727E-2</v>
      </c>
      <c r="M76">
        <v>60</v>
      </c>
      <c r="N76" s="43">
        <f>K76/Funktional!C76</f>
        <v>6236.6075750820974</v>
      </c>
      <c r="O76" s="44">
        <f>K76/Funktional!D76</f>
        <v>290.07477093405106</v>
      </c>
      <c r="P76">
        <v>4000</v>
      </c>
      <c r="Q76">
        <v>0</v>
      </c>
      <c r="R76">
        <v>880</v>
      </c>
      <c r="S76" s="43">
        <f t="shared" si="26"/>
        <v>4880</v>
      </c>
      <c r="T76">
        <v>8300</v>
      </c>
      <c r="U76">
        <v>0</v>
      </c>
      <c r="V76">
        <v>1200</v>
      </c>
      <c r="W76" s="43">
        <f t="shared" si="27"/>
        <v>9500</v>
      </c>
      <c r="X76">
        <v>0</v>
      </c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  <c r="AO76" s="110"/>
      <c r="AP76" s="110"/>
      <c r="AQ76" s="110"/>
      <c r="AR76" s="110"/>
      <c r="AS76" s="110"/>
      <c r="AT76" s="110"/>
      <c r="AU76" s="110"/>
      <c r="AV76" s="110"/>
      <c r="AW76" s="110"/>
      <c r="AX76" s="110"/>
      <c r="AY76" s="110"/>
      <c r="AZ76" s="110"/>
      <c r="BA76" s="110"/>
      <c r="BB76" s="110"/>
      <c r="BC76" s="110"/>
      <c r="BD76" s="110"/>
      <c r="BE76" s="110"/>
      <c r="BF76" s="110"/>
      <c r="BG76" s="110"/>
      <c r="BH76" s="110"/>
      <c r="BI76" s="110"/>
      <c r="BJ76" s="110"/>
      <c r="BK76" s="110"/>
      <c r="BL76" s="110"/>
      <c r="BM76" s="110"/>
      <c r="BN76" s="110"/>
      <c r="BO76" s="110"/>
      <c r="BP76" s="110"/>
      <c r="BQ76" s="110"/>
      <c r="BR76" s="110"/>
      <c r="BS76" s="110"/>
      <c r="BT76" s="110"/>
      <c r="BU76" s="110"/>
      <c r="BV76" s="110"/>
      <c r="BW76" s="110"/>
      <c r="BX76" s="110"/>
      <c r="BY76" s="110"/>
      <c r="BZ76" s="110"/>
      <c r="CA76" s="110"/>
      <c r="CB76" s="110"/>
      <c r="CC76" s="110"/>
      <c r="CD76" s="110"/>
      <c r="CE76" s="110"/>
      <c r="CF76" s="110"/>
    </row>
    <row r="77" spans="1:84" s="45" customFormat="1" x14ac:dyDescent="0.25">
      <c r="A77" t="str">
        <f>Funktional!A77</f>
        <v>Lommis</v>
      </c>
      <c r="B77" t="str">
        <f>Funktional!B77</f>
        <v>PSG</v>
      </c>
      <c r="C77">
        <v>0.18179999999999999</v>
      </c>
      <c r="D77">
        <v>6.1899999999999997E-2</v>
      </c>
      <c r="E77" s="26">
        <f t="shared" si="28"/>
        <v>4381712.5</v>
      </c>
      <c r="F77">
        <v>3584225</v>
      </c>
      <c r="G77">
        <v>797487.5</v>
      </c>
      <c r="H77">
        <v>36791.1</v>
      </c>
      <c r="I77" s="42">
        <f t="shared" si="24"/>
        <v>8.3965116378584854E-3</v>
      </c>
      <c r="J77" s="80">
        <f t="shared" si="25"/>
        <v>28200</v>
      </c>
      <c r="K77" s="43">
        <f>J77*'KiGa - PS'!L78</f>
        <v>22886.8396601809</v>
      </c>
      <c r="L77" s="42">
        <f>K77/Funktional!E77</f>
        <v>1.9773846101417952E-2</v>
      </c>
      <c r="M77">
        <v>60</v>
      </c>
      <c r="N77" s="43">
        <f>K77/Funktional!C77</f>
        <v>4577.3679320361798</v>
      </c>
      <c r="O77" s="44">
        <f>K77/Funktional!D77</f>
        <v>202.53840407239736</v>
      </c>
      <c r="P77">
        <v>6500</v>
      </c>
      <c r="Q77">
        <v>2500</v>
      </c>
      <c r="R77">
        <v>0</v>
      </c>
      <c r="S77" s="43">
        <f t="shared" si="26"/>
        <v>9000</v>
      </c>
      <c r="T77">
        <v>9000</v>
      </c>
      <c r="U77">
        <v>1500</v>
      </c>
      <c r="V77">
        <v>0</v>
      </c>
      <c r="W77" s="43">
        <f t="shared" si="27"/>
        <v>10500</v>
      </c>
      <c r="X77">
        <v>8700</v>
      </c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  <c r="AO77" s="110"/>
      <c r="AP77" s="110"/>
      <c r="AQ77" s="110"/>
      <c r="AR77" s="110"/>
      <c r="AS77" s="110"/>
      <c r="AT77" s="110"/>
      <c r="AU77" s="110"/>
      <c r="AV77" s="110"/>
      <c r="AW77" s="110"/>
      <c r="AX77" s="110"/>
      <c r="AY77" s="110"/>
      <c r="AZ77" s="110"/>
      <c r="BA77" s="110"/>
      <c r="BB77" s="110"/>
      <c r="BC77" s="110"/>
      <c r="BD77" s="110"/>
      <c r="BE77" s="110"/>
      <c r="BF77" s="110"/>
      <c r="BG77" s="110"/>
      <c r="BH77" s="110"/>
      <c r="BI77" s="110"/>
      <c r="BJ77" s="110"/>
      <c r="BK77" s="110"/>
      <c r="BL77" s="110"/>
      <c r="BM77" s="110"/>
      <c r="BN77" s="110"/>
      <c r="BO77" s="110"/>
      <c r="BP77" s="110"/>
      <c r="BQ77" s="110"/>
      <c r="BR77" s="110"/>
      <c r="BS77" s="110"/>
      <c r="BT77" s="110"/>
      <c r="BU77" s="110"/>
      <c r="BV77" s="110"/>
      <c r="BW77" s="110"/>
      <c r="BX77" s="110"/>
      <c r="BY77" s="110"/>
      <c r="BZ77" s="110"/>
      <c r="CA77" s="110"/>
      <c r="CB77" s="110"/>
      <c r="CC77" s="110"/>
      <c r="CD77" s="110"/>
      <c r="CE77" s="110"/>
      <c r="CF77" s="110"/>
    </row>
    <row r="78" spans="1:84" s="45" customFormat="1" x14ac:dyDescent="0.25">
      <c r="A78" t="str">
        <f>Funktional!A78</f>
        <v>Mammern</v>
      </c>
      <c r="B78" t="str">
        <f>Funktional!B78</f>
        <v>PSG</v>
      </c>
      <c r="C78">
        <v>1.26E-2</v>
      </c>
      <c r="D78">
        <v>9.4999999999999998E-3</v>
      </c>
      <c r="E78" s="26">
        <f t="shared" si="28"/>
        <v>694221.15</v>
      </c>
      <c r="F78">
        <v>75000</v>
      </c>
      <c r="G78">
        <v>619221.15</v>
      </c>
      <c r="H78">
        <v>29345.5</v>
      </c>
      <c r="I78" s="42">
        <f t="shared" si="24"/>
        <v>4.2271112022444143E-2</v>
      </c>
      <c r="J78" s="80">
        <f t="shared" si="25"/>
        <v>9000</v>
      </c>
      <c r="K78" s="43">
        <f>J78*'KiGa - PS'!L79</f>
        <v>7373.624782860451</v>
      </c>
      <c r="L78" s="42">
        <f>K78/Funktional!E78</f>
        <v>1.5991420070085065E-2</v>
      </c>
      <c r="M78">
        <v>45</v>
      </c>
      <c r="N78" s="43">
        <f>K78/Funktional!C78</f>
        <v>2949.4499131441803</v>
      </c>
      <c r="O78" s="44">
        <f>K78/Funktional!D78</f>
        <v>139.12499590302738</v>
      </c>
      <c r="P78">
        <v>0</v>
      </c>
      <c r="Q78">
        <v>0</v>
      </c>
      <c r="R78">
        <v>0</v>
      </c>
      <c r="S78" s="43">
        <f t="shared" si="26"/>
        <v>0</v>
      </c>
      <c r="T78">
        <v>6000</v>
      </c>
      <c r="U78">
        <v>0</v>
      </c>
      <c r="V78">
        <v>1800</v>
      </c>
      <c r="W78" s="43">
        <f t="shared" si="27"/>
        <v>7800</v>
      </c>
      <c r="X78">
        <v>1200</v>
      </c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/>
      <c r="BJ78" s="110"/>
      <c r="BK78" s="110"/>
      <c r="BL78" s="110"/>
      <c r="BM78" s="110"/>
      <c r="BN78" s="110"/>
      <c r="BO78" s="110"/>
      <c r="BP78" s="110"/>
      <c r="BQ78" s="110"/>
      <c r="BR78" s="110"/>
      <c r="BS78" s="110"/>
      <c r="BT78" s="110"/>
      <c r="BU78" s="110"/>
      <c r="BV78" s="110"/>
      <c r="BW78" s="110"/>
      <c r="BX78" s="110"/>
      <c r="BY78" s="110"/>
      <c r="BZ78" s="110"/>
      <c r="CA78" s="110"/>
      <c r="CB78" s="110"/>
      <c r="CC78" s="110"/>
      <c r="CD78" s="110"/>
      <c r="CE78" s="110"/>
      <c r="CF78" s="110"/>
    </row>
    <row r="79" spans="1:84" s="45" customFormat="1" x14ac:dyDescent="0.25">
      <c r="A79" t="str">
        <f>Funktional!A79</f>
        <v>Märstetten</v>
      </c>
      <c r="B79" t="str">
        <f>Funktional!B79</f>
        <v>PSG</v>
      </c>
      <c r="C79">
        <v>6.2300000000000001E-2</v>
      </c>
      <c r="D79">
        <v>2.12E-2</v>
      </c>
      <c r="E79" s="26">
        <f t="shared" si="28"/>
        <v>3090213.9</v>
      </c>
      <c r="F79">
        <v>1675104</v>
      </c>
      <c r="G79">
        <v>1415109.9</v>
      </c>
      <c r="H79">
        <v>34863.599999999999</v>
      </c>
      <c r="I79" s="42">
        <f t="shared" si="24"/>
        <v>1.1281937473648669E-2</v>
      </c>
      <c r="J79" s="80">
        <f t="shared" si="25"/>
        <v>47312</v>
      </c>
      <c r="K79" s="43">
        <f>J79*'KiGa - PS'!L80</f>
        <v>42133.059590626341</v>
      </c>
      <c r="L79" s="42">
        <f>K79/Funktional!E79</f>
        <v>2.300595243522251E-2</v>
      </c>
      <c r="M79">
        <v>60</v>
      </c>
      <c r="N79" s="43">
        <f>K79/Funktional!C79</f>
        <v>6019.0085129466197</v>
      </c>
      <c r="O79" s="44">
        <f>K79/Funktional!D79</f>
        <v>263.33162244141465</v>
      </c>
      <c r="P79">
        <v>6105</v>
      </c>
      <c r="Q79">
        <v>885</v>
      </c>
      <c r="R79">
        <v>1450</v>
      </c>
      <c r="S79" s="43">
        <f t="shared" si="26"/>
        <v>8440</v>
      </c>
      <c r="T79">
        <v>27482</v>
      </c>
      <c r="U79">
        <v>840</v>
      </c>
      <c r="V79">
        <v>4550</v>
      </c>
      <c r="W79" s="43">
        <f t="shared" si="27"/>
        <v>32872</v>
      </c>
      <c r="X79">
        <v>6000</v>
      </c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  <c r="AO79" s="110"/>
      <c r="AP79" s="110"/>
      <c r="AQ79" s="110"/>
      <c r="AR79" s="110"/>
      <c r="AS79" s="110"/>
      <c r="AT79" s="110"/>
      <c r="AU79" s="110"/>
      <c r="AV79" s="110"/>
      <c r="AW79" s="110"/>
      <c r="AX79" s="110"/>
      <c r="AY79" s="110"/>
      <c r="AZ79" s="110"/>
      <c r="BA79" s="110"/>
      <c r="BB79" s="110"/>
      <c r="BC79" s="110"/>
      <c r="BD79" s="110"/>
      <c r="BE79" s="110"/>
      <c r="BF79" s="110"/>
      <c r="BG79" s="110"/>
      <c r="BH79" s="110"/>
      <c r="BI79" s="110"/>
      <c r="BJ79" s="110"/>
      <c r="BK79" s="110"/>
      <c r="BL79" s="110"/>
      <c r="BM79" s="110"/>
      <c r="BN79" s="110"/>
      <c r="BO79" s="110"/>
      <c r="BP79" s="110"/>
      <c r="BQ79" s="110"/>
      <c r="BR79" s="110"/>
      <c r="BS79" s="110"/>
      <c r="BT79" s="110"/>
      <c r="BU79" s="110"/>
      <c r="BV79" s="110"/>
      <c r="BW79" s="110"/>
      <c r="BX79" s="110"/>
      <c r="BY79" s="110"/>
      <c r="BZ79" s="110"/>
      <c r="CA79" s="110"/>
      <c r="CB79" s="110"/>
      <c r="CC79" s="110"/>
      <c r="CD79" s="110"/>
      <c r="CE79" s="110"/>
      <c r="CF79" s="110"/>
    </row>
    <row r="80" spans="1:84" s="45" customFormat="1" x14ac:dyDescent="0.25">
      <c r="A80" t="str">
        <f>Funktional!A80</f>
        <v>Märwil</v>
      </c>
      <c r="B80" t="str">
        <f>Funktional!B80</f>
        <v>PSG</v>
      </c>
      <c r="C80">
        <v>0.12640000000000001</v>
      </c>
      <c r="D80">
        <v>3.78E-2</v>
      </c>
      <c r="E80" s="26">
        <f t="shared" si="28"/>
        <v>3034713.88</v>
      </c>
      <c r="F80">
        <v>1720901</v>
      </c>
      <c r="G80">
        <v>1313812.8799999999</v>
      </c>
      <c r="H80">
        <v>3040.65</v>
      </c>
      <c r="I80" s="42">
        <f t="shared" si="24"/>
        <v>1.0019560723793835E-3</v>
      </c>
      <c r="J80" s="80">
        <f t="shared" si="25"/>
        <v>19915</v>
      </c>
      <c r="K80" s="43">
        <f>J80*'KiGa - PS'!L81</f>
        <v>14307.806944967555</v>
      </c>
      <c r="L80" s="42">
        <f>K80/Funktional!E80</f>
        <v>1.5541851897147387E-2</v>
      </c>
      <c r="M80">
        <v>70</v>
      </c>
      <c r="N80" s="43">
        <f>K80/Funktional!C80</f>
        <v>3576.9517362418887</v>
      </c>
      <c r="O80" s="44">
        <f>K80/Funktional!D80</f>
        <v>134.97931080158071</v>
      </c>
      <c r="P80">
        <v>5193</v>
      </c>
      <c r="Q80">
        <v>0</v>
      </c>
      <c r="R80">
        <v>1526</v>
      </c>
      <c r="S80" s="43">
        <f t="shared" si="26"/>
        <v>6719</v>
      </c>
      <c r="T80">
        <v>8830</v>
      </c>
      <c r="U80">
        <v>0</v>
      </c>
      <c r="V80">
        <v>4366</v>
      </c>
      <c r="W80" s="43">
        <f t="shared" si="27"/>
        <v>13196</v>
      </c>
      <c r="X80">
        <v>0</v>
      </c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  <c r="AO80" s="110"/>
      <c r="AP80" s="110"/>
      <c r="AQ80" s="110"/>
      <c r="AR80" s="110"/>
      <c r="AS80" s="110"/>
      <c r="AT80" s="110"/>
      <c r="AU80" s="110"/>
      <c r="AV80" s="110"/>
      <c r="AW80" s="110"/>
      <c r="AX80" s="110"/>
      <c r="AY80" s="110"/>
      <c r="AZ80" s="110"/>
      <c r="BA80" s="110"/>
      <c r="BB80" s="110"/>
      <c r="BC80" s="110"/>
      <c r="BD80" s="110"/>
      <c r="BE80" s="110"/>
      <c r="BF80" s="110"/>
      <c r="BG80" s="110"/>
      <c r="BH80" s="110"/>
      <c r="BI80" s="110"/>
      <c r="BJ80" s="110"/>
      <c r="BK80" s="110"/>
      <c r="BL80" s="110"/>
      <c r="BM80" s="110"/>
      <c r="BN80" s="110"/>
      <c r="BO80" s="110"/>
      <c r="BP80" s="110"/>
      <c r="BQ80" s="110"/>
      <c r="BR80" s="110"/>
      <c r="BS80" s="110"/>
      <c r="BT80" s="110"/>
      <c r="BU80" s="110"/>
      <c r="BV80" s="110"/>
      <c r="BW80" s="110"/>
      <c r="BX80" s="110"/>
      <c r="BY80" s="110"/>
      <c r="BZ80" s="110"/>
      <c r="CA80" s="110"/>
      <c r="CB80" s="110"/>
      <c r="CC80" s="110"/>
      <c r="CD80" s="110"/>
      <c r="CE80" s="110"/>
      <c r="CF80" s="110"/>
    </row>
    <row r="81" spans="1:84" s="45" customFormat="1" x14ac:dyDescent="0.25">
      <c r="A81" t="str">
        <f>Funktional!A81</f>
        <v>Mattwil-Birwinken-Happerswil</v>
      </c>
      <c r="B81" t="str">
        <f>Funktional!B81</f>
        <v>PSG</v>
      </c>
      <c r="C81">
        <v>1.6400000000000001E-2</v>
      </c>
      <c r="D81">
        <v>-5.1999999999999998E-3</v>
      </c>
      <c r="E81" s="26">
        <f t="shared" si="28"/>
        <v>738026.54999999993</v>
      </c>
      <c r="F81">
        <v>555678.94999999995</v>
      </c>
      <c r="G81">
        <v>182347.6</v>
      </c>
      <c r="H81">
        <v>19289</v>
      </c>
      <c r="I81" s="42">
        <f t="shared" si="24"/>
        <v>2.6135916113044989E-2</v>
      </c>
      <c r="J81" s="80">
        <f t="shared" si="25"/>
        <v>15956</v>
      </c>
      <c r="K81" s="43">
        <f>J81*'KiGa - PS'!L82</f>
        <v>14213.233582688734</v>
      </c>
      <c r="L81" s="42">
        <f>K81/Funktional!E81</f>
        <v>1.9907842012882954E-2</v>
      </c>
      <c r="M81">
        <v>40</v>
      </c>
      <c r="N81" s="43">
        <f>K81/Funktional!C81</f>
        <v>3553.3083956721835</v>
      </c>
      <c r="O81" s="44">
        <f>K81/Funktional!D81</f>
        <v>173.33211686205772</v>
      </c>
      <c r="P81">
        <v>4000</v>
      </c>
      <c r="Q81">
        <v>0</v>
      </c>
      <c r="R81">
        <v>2000</v>
      </c>
      <c r="S81" s="43">
        <f t="shared" si="26"/>
        <v>6000</v>
      </c>
      <c r="T81">
        <v>7226</v>
      </c>
      <c r="U81">
        <v>0</v>
      </c>
      <c r="V81">
        <v>2230</v>
      </c>
      <c r="W81" s="43">
        <f t="shared" si="27"/>
        <v>9456</v>
      </c>
      <c r="X81">
        <v>500</v>
      </c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  <c r="AO81" s="110"/>
      <c r="AP81" s="110"/>
      <c r="AQ81" s="110"/>
      <c r="AR81" s="110"/>
      <c r="AS81" s="110"/>
      <c r="AT81" s="110"/>
      <c r="AU81" s="110"/>
      <c r="AV81" s="110"/>
      <c r="AW81" s="110"/>
      <c r="AX81" s="110"/>
      <c r="AY81" s="110"/>
      <c r="AZ81" s="110"/>
      <c r="BA81" s="110"/>
      <c r="BB81" s="110"/>
      <c r="BC81" s="110"/>
      <c r="BD81" s="110"/>
      <c r="BE81" s="110"/>
      <c r="BF81" s="110"/>
      <c r="BG81" s="110"/>
      <c r="BH81" s="110"/>
      <c r="BI81" s="110"/>
      <c r="BJ81" s="110"/>
      <c r="BK81" s="110"/>
      <c r="BL81" s="110"/>
      <c r="BM81" s="110"/>
      <c r="BN81" s="110"/>
      <c r="BO81" s="110"/>
      <c r="BP81" s="110"/>
      <c r="BQ81" s="110"/>
      <c r="BR81" s="110"/>
      <c r="BS81" s="110"/>
      <c r="BT81" s="110"/>
      <c r="BU81" s="110"/>
      <c r="BV81" s="110"/>
      <c r="BW81" s="110"/>
      <c r="BX81" s="110"/>
      <c r="BY81" s="110"/>
      <c r="BZ81" s="110"/>
      <c r="CA81" s="110"/>
      <c r="CB81" s="110"/>
      <c r="CC81" s="110"/>
      <c r="CD81" s="110"/>
      <c r="CE81" s="110"/>
      <c r="CF81" s="110"/>
    </row>
    <row r="82" spans="1:84" s="45" customFormat="1" x14ac:dyDescent="0.25">
      <c r="A82" t="str">
        <f>Funktional!A82</f>
        <v>Matzingen</v>
      </c>
      <c r="B82" t="str">
        <f>Funktional!B82</f>
        <v>PSG</v>
      </c>
      <c r="C82">
        <v>9.1600000000000001E-2</v>
      </c>
      <c r="D82">
        <v>9.7199999999999995E-2</v>
      </c>
      <c r="E82" s="26">
        <f t="shared" si="28"/>
        <v>12960320.5</v>
      </c>
      <c r="F82">
        <v>10891281.1</v>
      </c>
      <c r="G82">
        <v>2069039.4</v>
      </c>
      <c r="H82">
        <v>81739.5</v>
      </c>
      <c r="I82" s="42">
        <f t="shared" si="24"/>
        <v>6.3069042158332431E-3</v>
      </c>
      <c r="J82" s="80">
        <f t="shared" si="25"/>
        <v>60200</v>
      </c>
      <c r="K82" s="43">
        <f>J82*'KiGa - PS'!L83</f>
        <v>47272.238753716316</v>
      </c>
      <c r="L82" s="42">
        <f>K82/Funktional!E82</f>
        <v>2.2040469303832005E-2</v>
      </c>
      <c r="M82">
        <v>70</v>
      </c>
      <c r="N82" s="43">
        <f>K82/Funktional!C82</f>
        <v>4297.476250337847</v>
      </c>
      <c r="O82" s="44">
        <f>K82/Funktional!D82</f>
        <v>217.84441821989085</v>
      </c>
      <c r="P82">
        <v>13000</v>
      </c>
      <c r="Q82">
        <v>0</v>
      </c>
      <c r="R82">
        <v>1800</v>
      </c>
      <c r="S82" s="43">
        <f t="shared" si="26"/>
        <v>14800</v>
      </c>
      <c r="T82">
        <v>27000</v>
      </c>
      <c r="U82">
        <v>0</v>
      </c>
      <c r="V82">
        <v>2400</v>
      </c>
      <c r="W82" s="43">
        <f t="shared" si="27"/>
        <v>29400</v>
      </c>
      <c r="X82">
        <v>16000</v>
      </c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  <c r="AO82" s="110"/>
      <c r="AP82" s="110"/>
      <c r="AQ82" s="110"/>
      <c r="AR82" s="110"/>
      <c r="AS82" s="110"/>
      <c r="AT82" s="110"/>
      <c r="AU82" s="110"/>
      <c r="AV82" s="110"/>
      <c r="AW82" s="110"/>
      <c r="AX82" s="110"/>
      <c r="AY82" s="110"/>
      <c r="AZ82" s="110"/>
      <c r="BA82" s="110"/>
      <c r="BB82" s="110"/>
      <c r="BC82" s="110"/>
      <c r="BD82" s="110"/>
      <c r="BE82" s="110"/>
      <c r="BF82" s="110"/>
      <c r="BG82" s="110"/>
      <c r="BH82" s="110"/>
      <c r="BI82" s="110"/>
      <c r="BJ82" s="110"/>
      <c r="BK82" s="110"/>
      <c r="BL82" s="110"/>
      <c r="BM82" s="110"/>
      <c r="BN82" s="110"/>
      <c r="BO82" s="110"/>
      <c r="BP82" s="110"/>
      <c r="BQ82" s="110"/>
      <c r="BR82" s="110"/>
      <c r="BS82" s="110"/>
      <c r="BT82" s="110"/>
      <c r="BU82" s="110"/>
      <c r="BV82" s="110"/>
      <c r="BW82" s="110"/>
      <c r="BX82" s="110"/>
      <c r="BY82" s="110"/>
      <c r="BZ82" s="110"/>
      <c r="CA82" s="110"/>
      <c r="CB82" s="110"/>
      <c r="CC82" s="110"/>
      <c r="CD82" s="110"/>
      <c r="CE82" s="110"/>
      <c r="CF82" s="110"/>
    </row>
    <row r="83" spans="1:84" s="45" customFormat="1" x14ac:dyDescent="0.25">
      <c r="A83" t="str">
        <f>Funktional!A83</f>
        <v>Mauren</v>
      </c>
      <c r="B83" t="str">
        <f>Funktional!B83</f>
        <v>PSG</v>
      </c>
      <c r="C83">
        <v>0.17580000000000001</v>
      </c>
      <c r="D83">
        <v>5.5E-2</v>
      </c>
      <c r="E83" s="26">
        <f t="shared" si="28"/>
        <v>2536954.1</v>
      </c>
      <c r="F83">
        <v>2025745</v>
      </c>
      <c r="G83">
        <v>511209.1</v>
      </c>
      <c r="H83">
        <v>13670.8</v>
      </c>
      <c r="I83" s="42">
        <f t="shared" si="24"/>
        <v>5.3886666692156545E-3</v>
      </c>
      <c r="J83" s="80">
        <f t="shared" si="25"/>
        <v>13500</v>
      </c>
      <c r="K83" s="43">
        <f>J83*'KiGa - PS'!L84</f>
        <v>11716.769200848381</v>
      </c>
      <c r="L83" s="42">
        <f>K83/Funktional!E83</f>
        <v>1.4794786448764669E-2</v>
      </c>
      <c r="M83">
        <v>50</v>
      </c>
      <c r="N83" s="43">
        <f>K83/Funktional!C83</f>
        <v>3905.589733616127</v>
      </c>
      <c r="O83" s="44">
        <f>K83/Funktional!D83</f>
        <v>205.55735440084879</v>
      </c>
      <c r="P83">
        <v>2000</v>
      </c>
      <c r="Q83">
        <v>500</v>
      </c>
      <c r="R83">
        <v>0</v>
      </c>
      <c r="S83" s="43">
        <f t="shared" si="26"/>
        <v>2500</v>
      </c>
      <c r="T83">
        <v>8000</v>
      </c>
      <c r="U83">
        <v>2000</v>
      </c>
      <c r="V83">
        <v>0</v>
      </c>
      <c r="W83" s="43">
        <f t="shared" si="27"/>
        <v>10000</v>
      </c>
      <c r="X83">
        <v>1000</v>
      </c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  <c r="AO83" s="110"/>
      <c r="AP83" s="110"/>
      <c r="AQ83" s="110"/>
      <c r="AR83" s="110"/>
      <c r="AS83" s="110"/>
      <c r="AT83" s="110"/>
      <c r="AU83" s="110"/>
      <c r="AV83" s="110"/>
      <c r="AW83" s="110"/>
      <c r="AX83" s="110"/>
      <c r="AY83" s="110"/>
      <c r="AZ83" s="110"/>
      <c r="BA83" s="110"/>
      <c r="BB83" s="110"/>
      <c r="BC83" s="110"/>
      <c r="BD83" s="110"/>
      <c r="BE83" s="110"/>
      <c r="BF83" s="110"/>
      <c r="BG83" s="110"/>
      <c r="BH83" s="110"/>
      <c r="BI83" s="110"/>
      <c r="BJ83" s="110"/>
      <c r="BK83" s="110"/>
      <c r="BL83" s="110"/>
      <c r="BM83" s="110"/>
      <c r="BN83" s="110"/>
      <c r="BO83" s="110"/>
      <c r="BP83" s="110"/>
      <c r="BQ83" s="110"/>
      <c r="BR83" s="110"/>
      <c r="BS83" s="110"/>
      <c r="BT83" s="110"/>
      <c r="BU83" s="110"/>
      <c r="BV83" s="110"/>
      <c r="BW83" s="110"/>
      <c r="BX83" s="110"/>
      <c r="BY83" s="110"/>
      <c r="BZ83" s="110"/>
      <c r="CA83" s="110"/>
      <c r="CB83" s="110"/>
      <c r="CC83" s="110"/>
      <c r="CD83" s="110"/>
      <c r="CE83" s="110"/>
      <c r="CF83" s="110"/>
    </row>
    <row r="84" spans="1:84" s="45" customFormat="1" x14ac:dyDescent="0.25">
      <c r="A84" t="str">
        <f>Funktional!A84</f>
        <v>Mettlen</v>
      </c>
      <c r="B84" t="str">
        <f>Funktional!B84</f>
        <v>PSG</v>
      </c>
      <c r="C84">
        <v>0.13600000000000001</v>
      </c>
      <c r="D84">
        <v>0.06</v>
      </c>
      <c r="E84" s="26">
        <f t="shared" ref="E84:E87" si="29">F84+G84</f>
        <v>1790606.7</v>
      </c>
      <c r="F84">
        <v>1333035.45</v>
      </c>
      <c r="G84">
        <v>457571.25</v>
      </c>
      <c r="H84">
        <v>21472.6</v>
      </c>
      <c r="I84" s="42">
        <f t="shared" si="24"/>
        <v>1.1991801438026563E-2</v>
      </c>
      <c r="J84" s="80">
        <f t="shared" si="25"/>
        <v>16050</v>
      </c>
      <c r="K84" s="43">
        <f>J84*'KiGa - PS'!L85</f>
        <v>13405.805166227043</v>
      </c>
      <c r="L84" s="42">
        <f>K84/Funktional!E84</f>
        <v>2.0621326344438206E-2</v>
      </c>
      <c r="M84">
        <v>50</v>
      </c>
      <c r="N84" s="43">
        <f>K84/Funktional!C84</f>
        <v>6702.9025831135214</v>
      </c>
      <c r="O84" s="44">
        <f>K84/Funktional!D84</f>
        <v>291.43054709189221</v>
      </c>
      <c r="P84">
        <v>2700</v>
      </c>
      <c r="Q84">
        <v>0</v>
      </c>
      <c r="R84">
        <v>1600</v>
      </c>
      <c r="S84" s="43">
        <f t="shared" si="26"/>
        <v>4300</v>
      </c>
      <c r="T84">
        <v>6400</v>
      </c>
      <c r="U84">
        <v>0</v>
      </c>
      <c r="V84">
        <v>1500</v>
      </c>
      <c r="W84" s="43">
        <f t="shared" si="27"/>
        <v>7900</v>
      </c>
      <c r="X84">
        <v>3850</v>
      </c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  <c r="AO84" s="110"/>
      <c r="AP84" s="110"/>
      <c r="AQ84" s="110"/>
      <c r="AR84" s="110"/>
      <c r="AS84" s="110"/>
      <c r="AT84" s="110"/>
      <c r="AU84" s="110"/>
      <c r="AV84" s="110"/>
      <c r="AW84" s="110"/>
      <c r="AX84" s="110"/>
      <c r="AY84" s="110"/>
      <c r="AZ84" s="110"/>
      <c r="BA84" s="110"/>
      <c r="BB84" s="110"/>
      <c r="BC84" s="110"/>
      <c r="BD84" s="110"/>
      <c r="BE84" s="110"/>
      <c r="BF84" s="110"/>
      <c r="BG84" s="110"/>
      <c r="BH84" s="110"/>
      <c r="BI84" s="110"/>
      <c r="BJ84" s="110"/>
      <c r="BK84" s="110"/>
      <c r="BL84" s="110"/>
      <c r="BM84" s="110"/>
      <c r="BN84" s="110"/>
      <c r="BO84" s="110"/>
      <c r="BP84" s="110"/>
      <c r="BQ84" s="110"/>
      <c r="BR84" s="110"/>
      <c r="BS84" s="110"/>
      <c r="BT84" s="110"/>
      <c r="BU84" s="110"/>
      <c r="BV84" s="110"/>
      <c r="BW84" s="110"/>
      <c r="BX84" s="110"/>
      <c r="BY84" s="110"/>
      <c r="BZ84" s="110"/>
      <c r="CA84" s="110"/>
      <c r="CB84" s="110"/>
      <c r="CC84" s="110"/>
      <c r="CD84" s="110"/>
      <c r="CE84" s="110"/>
      <c r="CF84" s="110"/>
    </row>
    <row r="85" spans="1:84" s="45" customFormat="1" x14ac:dyDescent="0.25">
      <c r="A85" t="str">
        <f>Funktional!A85</f>
        <v>Müllheim</v>
      </c>
      <c r="B85" t="str">
        <f>Funktional!B85</f>
        <v>PSG</v>
      </c>
      <c r="C85">
        <v>6.1600000000000002E-2</v>
      </c>
      <c r="D85">
        <v>5.4300000000000001E-2</v>
      </c>
      <c r="E85" s="26">
        <f t="shared" si="29"/>
        <v>4440231.3</v>
      </c>
      <c r="F85">
        <v>1861311.5</v>
      </c>
      <c r="G85">
        <v>2578919.7999999998</v>
      </c>
      <c r="H85">
        <v>122639.75</v>
      </c>
      <c r="I85" s="42">
        <f t="shared" si="24"/>
        <v>2.7620126456024938E-2</v>
      </c>
      <c r="J85" s="80">
        <f t="shared" si="25"/>
        <v>62525</v>
      </c>
      <c r="K85" s="43">
        <f>J85*'KiGa - PS'!L86</f>
        <v>53728.374377212778</v>
      </c>
      <c r="L85" s="42">
        <f>K85/Funktional!E85</f>
        <v>2.5807625972893846E-2</v>
      </c>
      <c r="M85">
        <v>70</v>
      </c>
      <c r="N85" s="43">
        <f>K85/Funktional!C85</f>
        <v>4477.3645314343985</v>
      </c>
      <c r="O85" s="44">
        <f>K85/Funktional!D85</f>
        <v>222.93931276851777</v>
      </c>
      <c r="P85">
        <v>9600</v>
      </c>
      <c r="Q85">
        <v>1000</v>
      </c>
      <c r="R85">
        <v>2400</v>
      </c>
      <c r="S85" s="43">
        <f t="shared" si="26"/>
        <v>13000</v>
      </c>
      <c r="T85">
        <v>39775</v>
      </c>
      <c r="U85">
        <v>1000</v>
      </c>
      <c r="V85">
        <v>2000</v>
      </c>
      <c r="W85" s="43">
        <f t="shared" si="27"/>
        <v>42775</v>
      </c>
      <c r="X85">
        <v>6750</v>
      </c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  <c r="AO85" s="110"/>
      <c r="AP85" s="110"/>
      <c r="AQ85" s="110"/>
      <c r="AR85" s="110"/>
      <c r="AS85" s="110"/>
      <c r="AT85" s="110"/>
      <c r="AU85" s="110"/>
      <c r="AV85" s="110"/>
      <c r="AW85" s="110"/>
      <c r="AX85" s="110"/>
      <c r="AY85" s="110"/>
      <c r="AZ85" s="110"/>
      <c r="BA85" s="110"/>
      <c r="BB85" s="110"/>
      <c r="BC85" s="110"/>
      <c r="BD85" s="110"/>
      <c r="BE85" s="110"/>
      <c r="BF85" s="110"/>
      <c r="BG85" s="110"/>
      <c r="BH85" s="110"/>
      <c r="BI85" s="110"/>
      <c r="BJ85" s="110"/>
      <c r="BK85" s="110"/>
      <c r="BL85" s="110"/>
      <c r="BM85" s="110"/>
      <c r="BN85" s="110"/>
      <c r="BO85" s="110"/>
      <c r="BP85" s="110"/>
      <c r="BQ85" s="110"/>
      <c r="BR85" s="110"/>
      <c r="BS85" s="110"/>
      <c r="BT85" s="110"/>
      <c r="BU85" s="110"/>
      <c r="BV85" s="110"/>
      <c r="BW85" s="110"/>
      <c r="BX85" s="110"/>
      <c r="BY85" s="110"/>
      <c r="BZ85" s="110"/>
      <c r="CA85" s="110"/>
      <c r="CB85" s="110"/>
      <c r="CC85" s="110"/>
      <c r="CD85" s="110"/>
      <c r="CE85" s="110"/>
      <c r="CF85" s="110"/>
    </row>
    <row r="86" spans="1:84" s="45" customFormat="1" x14ac:dyDescent="0.25">
      <c r="A86" t="str">
        <f>Funktional!A86</f>
        <v>Neukirch-Egnach</v>
      </c>
      <c r="B86" t="str">
        <f>Funktional!B86</f>
        <v>PSG</v>
      </c>
      <c r="C86">
        <v>0.1855</v>
      </c>
      <c r="D86">
        <v>7.17E-2</v>
      </c>
      <c r="E86" s="26">
        <f t="shared" si="29"/>
        <v>2607935.15</v>
      </c>
      <c r="F86">
        <v>2693653</v>
      </c>
      <c r="G86">
        <v>-85717.85</v>
      </c>
      <c r="H86">
        <v>28659.95</v>
      </c>
      <c r="I86" s="42">
        <f t="shared" si="24"/>
        <v>1.0989517895028948E-2</v>
      </c>
      <c r="J86" s="80">
        <f t="shared" si="25"/>
        <v>26850</v>
      </c>
      <c r="K86" s="43">
        <f>J86*'KiGa - PS'!L87</f>
        <v>20924.190738106176</v>
      </c>
      <c r="L86" s="42">
        <f>K86/Funktional!E86</f>
        <v>1.8515802254542007E-2</v>
      </c>
      <c r="M86">
        <v>60</v>
      </c>
      <c r="N86" s="43">
        <f>K86/Funktional!C86</f>
        <v>4184.8381476212353</v>
      </c>
      <c r="O86" s="44">
        <f>K86/Funktional!D86</f>
        <v>205.13912488339389</v>
      </c>
      <c r="P86">
        <v>5250</v>
      </c>
      <c r="Q86">
        <v>1500</v>
      </c>
      <c r="R86">
        <v>1000</v>
      </c>
      <c r="S86" s="43">
        <f t="shared" si="26"/>
        <v>7750</v>
      </c>
      <c r="T86">
        <v>12000</v>
      </c>
      <c r="U86">
        <v>1000</v>
      </c>
      <c r="V86">
        <v>2000</v>
      </c>
      <c r="W86" s="43">
        <f t="shared" si="27"/>
        <v>15000</v>
      </c>
      <c r="X86">
        <v>4100</v>
      </c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  <c r="AO86" s="110"/>
      <c r="AP86" s="110"/>
      <c r="AQ86" s="110"/>
      <c r="AR86" s="110"/>
      <c r="AS86" s="110"/>
      <c r="AT86" s="110"/>
      <c r="AU86" s="110"/>
      <c r="AV86" s="110"/>
      <c r="AW86" s="110"/>
      <c r="AX86" s="110"/>
      <c r="AY86" s="110"/>
      <c r="AZ86" s="110"/>
      <c r="BA86" s="110"/>
      <c r="BB86" s="110"/>
      <c r="BC86" s="110"/>
      <c r="BD86" s="110"/>
      <c r="BE86" s="110"/>
      <c r="BF86" s="110"/>
      <c r="BG86" s="110"/>
      <c r="BH86" s="110"/>
      <c r="BI86" s="110"/>
      <c r="BJ86" s="110"/>
      <c r="BK86" s="110"/>
      <c r="BL86" s="110"/>
      <c r="BM86" s="110"/>
      <c r="BN86" s="110"/>
      <c r="BO86" s="110"/>
      <c r="BP86" s="110"/>
      <c r="BQ86" s="110"/>
      <c r="BR86" s="110"/>
      <c r="BS86" s="110"/>
      <c r="BT86" s="110"/>
      <c r="BU86" s="110"/>
      <c r="BV86" s="110"/>
      <c r="BW86" s="110"/>
      <c r="BX86" s="110"/>
      <c r="BY86" s="110"/>
      <c r="BZ86" s="110"/>
      <c r="CA86" s="110"/>
      <c r="CB86" s="110"/>
      <c r="CC86" s="110"/>
      <c r="CD86" s="110"/>
      <c r="CE86" s="110"/>
      <c r="CF86" s="110"/>
    </row>
    <row r="87" spans="1:84" s="45" customFormat="1" x14ac:dyDescent="0.25">
      <c r="A87" t="str">
        <f>Funktional!A87</f>
        <v>Neuwilen</v>
      </c>
      <c r="B87" t="str">
        <f>Funktional!B87</f>
        <v>PSG</v>
      </c>
      <c r="C87">
        <v>8.7099999999999997E-2</v>
      </c>
      <c r="D87">
        <v>5.5599999999999997E-2</v>
      </c>
      <c r="E87" s="26">
        <f t="shared" si="29"/>
        <v>852342.2</v>
      </c>
      <c r="F87">
        <v>511590</v>
      </c>
      <c r="G87">
        <v>340752.2</v>
      </c>
      <c r="H87">
        <v>7927.05</v>
      </c>
      <c r="I87" s="42">
        <f t="shared" si="24"/>
        <v>9.3003138880135231E-3</v>
      </c>
      <c r="J87" s="80">
        <f t="shared" si="25"/>
        <v>16200</v>
      </c>
      <c r="K87" s="43">
        <f>J87*'KiGa - PS'!L88</f>
        <v>10785.642346236837</v>
      </c>
      <c r="L87" s="42">
        <f>K87/Funktional!E87</f>
        <v>1.8107109588921668E-2</v>
      </c>
      <c r="M87">
        <v>60</v>
      </c>
      <c r="N87" s="43">
        <f>K87/Funktional!C87</f>
        <v>3595.2141154122787</v>
      </c>
      <c r="O87" s="44">
        <f>K87/Funktional!D87</f>
        <v>147.74852529091558</v>
      </c>
      <c r="P87">
        <v>2400</v>
      </c>
      <c r="Q87">
        <v>600</v>
      </c>
      <c r="R87">
        <v>600</v>
      </c>
      <c r="S87" s="43">
        <f t="shared" si="26"/>
        <v>3600</v>
      </c>
      <c r="T87">
        <v>11000</v>
      </c>
      <c r="U87">
        <v>0</v>
      </c>
      <c r="V87">
        <v>600</v>
      </c>
      <c r="W87" s="43">
        <f t="shared" si="27"/>
        <v>11600</v>
      </c>
      <c r="X87">
        <v>1000</v>
      </c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  <c r="AO87" s="110"/>
      <c r="AP87" s="110"/>
      <c r="AQ87" s="110"/>
      <c r="AR87" s="110"/>
      <c r="AS87" s="110"/>
      <c r="AT87" s="110"/>
      <c r="AU87" s="110"/>
      <c r="AV87" s="110"/>
      <c r="AW87" s="110"/>
      <c r="AX87" s="110"/>
      <c r="AY87" s="110"/>
      <c r="AZ87" s="110"/>
      <c r="BA87" s="110"/>
      <c r="BB87" s="110"/>
      <c r="BC87" s="110"/>
      <c r="BD87" s="110"/>
      <c r="BE87" s="110"/>
      <c r="BF87" s="110"/>
      <c r="BG87" s="110"/>
      <c r="BH87" s="110"/>
      <c r="BI87" s="110"/>
      <c r="BJ87" s="110"/>
      <c r="BK87" s="110"/>
      <c r="BL87" s="110"/>
      <c r="BM87" s="110"/>
      <c r="BN87" s="110"/>
      <c r="BO87" s="110"/>
      <c r="BP87" s="110"/>
      <c r="BQ87" s="110"/>
      <c r="BR87" s="110"/>
      <c r="BS87" s="110"/>
      <c r="BT87" s="110"/>
      <c r="BU87" s="110"/>
      <c r="BV87" s="110"/>
      <c r="BW87" s="110"/>
      <c r="BX87" s="110"/>
      <c r="BY87" s="110"/>
      <c r="BZ87" s="110"/>
      <c r="CA87" s="110"/>
      <c r="CB87" s="110"/>
      <c r="CC87" s="110"/>
      <c r="CD87" s="110"/>
      <c r="CE87" s="110"/>
      <c r="CF87" s="110"/>
    </row>
    <row r="88" spans="1:84" s="45" customFormat="1" x14ac:dyDescent="0.25">
      <c r="A88" t="str">
        <f>Funktional!A88</f>
        <v>Nussbaumen</v>
      </c>
      <c r="B88" t="str">
        <f>Funktional!B88</f>
        <v>PSG</v>
      </c>
      <c r="C88">
        <v>0.24440000000000001</v>
      </c>
      <c r="D88">
        <v>0.1011</v>
      </c>
      <c r="E88" s="26">
        <f t="shared" ref="E88:E93" si="30">F88+G88</f>
        <v>3615628.34</v>
      </c>
      <c r="F88">
        <v>1977965</v>
      </c>
      <c r="G88">
        <v>1637663.34</v>
      </c>
      <c r="H88">
        <v>35206.400000000001</v>
      </c>
      <c r="I88" s="42">
        <f t="shared" si="24"/>
        <v>9.7372840041407577E-3</v>
      </c>
      <c r="J88" s="80">
        <f t="shared" si="25"/>
        <v>8850</v>
      </c>
      <c r="K88" s="43">
        <f>J88*'KiGa - PS'!L89</f>
        <v>7321.1208712721264</v>
      </c>
      <c r="L88" s="42">
        <f>K88/Funktional!E88</f>
        <v>1.1013276847460082E-2</v>
      </c>
      <c r="M88">
        <v>70</v>
      </c>
      <c r="N88" s="43">
        <f>K88/Funktional!C88</f>
        <v>2928.4483485088504</v>
      </c>
      <c r="O88" s="44">
        <f>K88/Funktional!D88</f>
        <v>135.57631243096532</v>
      </c>
      <c r="P88">
        <v>2000</v>
      </c>
      <c r="Q88">
        <v>0</v>
      </c>
      <c r="R88">
        <v>300</v>
      </c>
      <c r="S88" s="43">
        <f t="shared" si="26"/>
        <v>2300</v>
      </c>
      <c r="T88">
        <v>5000</v>
      </c>
      <c r="U88">
        <v>0</v>
      </c>
      <c r="V88">
        <v>300</v>
      </c>
      <c r="W88" s="43">
        <f t="shared" si="27"/>
        <v>5300</v>
      </c>
      <c r="X88">
        <v>1250</v>
      </c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  <c r="AO88" s="110"/>
      <c r="AP88" s="110"/>
      <c r="AQ88" s="110"/>
      <c r="AR88" s="110"/>
      <c r="AS88" s="110"/>
      <c r="AT88" s="110"/>
      <c r="AU88" s="110"/>
      <c r="AV88" s="110"/>
      <c r="AW88" s="110"/>
      <c r="AX88" s="110"/>
      <c r="AY88" s="110"/>
      <c r="AZ88" s="110"/>
      <c r="BA88" s="110"/>
      <c r="BB88" s="110"/>
      <c r="BC88" s="110"/>
      <c r="BD88" s="110"/>
      <c r="BE88" s="110"/>
      <c r="BF88" s="110"/>
      <c r="BG88" s="110"/>
      <c r="BH88" s="110"/>
      <c r="BI88" s="110"/>
      <c r="BJ88" s="110"/>
      <c r="BK88" s="110"/>
      <c r="BL88" s="110"/>
      <c r="BM88" s="110"/>
      <c r="BN88" s="110"/>
      <c r="BO88" s="110"/>
      <c r="BP88" s="110"/>
      <c r="BQ88" s="110"/>
      <c r="BR88" s="110"/>
      <c r="BS88" s="110"/>
      <c r="BT88" s="110"/>
      <c r="BU88" s="110"/>
      <c r="BV88" s="110"/>
      <c r="BW88" s="110"/>
      <c r="BX88" s="110"/>
      <c r="BY88" s="110"/>
      <c r="BZ88" s="110"/>
      <c r="CA88" s="110"/>
      <c r="CB88" s="110"/>
      <c r="CC88" s="110"/>
      <c r="CD88" s="110"/>
      <c r="CE88" s="110"/>
      <c r="CF88" s="110"/>
    </row>
    <row r="89" spans="1:84" s="45" customFormat="1" x14ac:dyDescent="0.25">
      <c r="A89" t="str">
        <f>Funktional!A89</f>
        <v>Oberhofen-Lengwil</v>
      </c>
      <c r="B89" t="str">
        <f>Funktional!B89</f>
        <v>PSG</v>
      </c>
      <c r="C89">
        <v>0.18970000000000001</v>
      </c>
      <c r="D89">
        <v>0.1008</v>
      </c>
      <c r="E89" s="26">
        <f t="shared" si="30"/>
        <v>3158668.9</v>
      </c>
      <c r="F89">
        <v>1772400</v>
      </c>
      <c r="G89">
        <v>1386268.9</v>
      </c>
      <c r="H89">
        <v>31802.15</v>
      </c>
      <c r="I89" s="42">
        <f t="shared" ref="I89:I104" si="31">H89/E89</f>
        <v>1.0068212594235503E-2</v>
      </c>
      <c r="J89" s="80">
        <f t="shared" ref="J89:J104" si="32">S89+W89+X89</f>
        <v>12000</v>
      </c>
      <c r="K89" s="43">
        <f>J89*'KiGa - PS'!L90</f>
        <v>9273.0071104337439</v>
      </c>
      <c r="L89" s="42">
        <f>K89/Funktional!E89</f>
        <v>1.0760884668469922E-2</v>
      </c>
      <c r="M89">
        <v>40</v>
      </c>
      <c r="N89" s="43">
        <f>K89/Funktional!C89</f>
        <v>3091.0023701445812</v>
      </c>
      <c r="O89" s="44">
        <f>K89/Funktional!D89</f>
        <v>140.5001077338446</v>
      </c>
      <c r="P89">
        <v>3600</v>
      </c>
      <c r="Q89">
        <v>600</v>
      </c>
      <c r="R89">
        <v>1800</v>
      </c>
      <c r="S89" s="43">
        <f t="shared" ref="S89:S104" si="33">P89+Q89+R89</f>
        <v>6000</v>
      </c>
      <c r="T89">
        <v>3600</v>
      </c>
      <c r="U89">
        <v>600</v>
      </c>
      <c r="V89">
        <v>1800</v>
      </c>
      <c r="W89" s="43">
        <f t="shared" ref="W89:W104" si="34">T89+U89+V89</f>
        <v>6000</v>
      </c>
      <c r="X89">
        <v>0</v>
      </c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  <c r="AO89" s="110"/>
      <c r="AP89" s="110"/>
      <c r="AQ89" s="110"/>
      <c r="AR89" s="110"/>
      <c r="AS89" s="110"/>
      <c r="AT89" s="110"/>
      <c r="AU89" s="110"/>
      <c r="AV89" s="110"/>
      <c r="AW89" s="110"/>
      <c r="AX89" s="110"/>
      <c r="AY89" s="110"/>
      <c r="AZ89" s="110"/>
      <c r="BA89" s="110"/>
      <c r="BB89" s="110"/>
      <c r="BC89" s="110"/>
      <c r="BD89" s="110"/>
      <c r="BE89" s="110"/>
      <c r="BF89" s="110"/>
      <c r="BG89" s="110"/>
      <c r="BH89" s="110"/>
      <c r="BI89" s="110"/>
      <c r="BJ89" s="110"/>
      <c r="BK89" s="110"/>
      <c r="BL89" s="110"/>
      <c r="BM89" s="110"/>
      <c r="BN89" s="110"/>
      <c r="BO89" s="110"/>
      <c r="BP89" s="110"/>
      <c r="BQ89" s="110"/>
      <c r="BR89" s="110"/>
      <c r="BS89" s="110"/>
      <c r="BT89" s="110"/>
      <c r="BU89" s="110"/>
      <c r="BV89" s="110"/>
      <c r="BW89" s="110"/>
      <c r="BX89" s="110"/>
      <c r="BY89" s="110"/>
      <c r="BZ89" s="110"/>
      <c r="CA89" s="110"/>
      <c r="CB89" s="110"/>
      <c r="CC89" s="110"/>
      <c r="CD89" s="110"/>
      <c r="CE89" s="110"/>
      <c r="CF89" s="110"/>
    </row>
    <row r="90" spans="1:84" s="45" customFormat="1" x14ac:dyDescent="0.25">
      <c r="A90" t="str">
        <f>Funktional!A90</f>
        <v>Ottoberg</v>
      </c>
      <c r="B90" t="str">
        <f>Funktional!B90</f>
        <v>PSG</v>
      </c>
      <c r="C90">
        <v>0.37259999999999999</v>
      </c>
      <c r="D90">
        <v>0.15129999999999999</v>
      </c>
      <c r="E90" s="26">
        <f t="shared" si="30"/>
        <v>4770055.62</v>
      </c>
      <c r="F90">
        <v>3774150.85</v>
      </c>
      <c r="G90">
        <v>995904.77</v>
      </c>
      <c r="H90">
        <v>31923.8</v>
      </c>
      <c r="I90" s="42">
        <f t="shared" si="31"/>
        <v>6.6925425075022495E-3</v>
      </c>
      <c r="J90" s="80">
        <f t="shared" si="32"/>
        <v>13628</v>
      </c>
      <c r="K90" s="43">
        <f>J90*'KiGa - PS'!L91</f>
        <v>10801.218862867503</v>
      </c>
      <c r="L90" s="42">
        <f>K90/Funktional!E90</f>
        <v>1.3846855786795405E-2</v>
      </c>
      <c r="M90">
        <v>35</v>
      </c>
      <c r="N90" s="43">
        <f>K90/Funktional!C90</f>
        <v>4320.4875451470016</v>
      </c>
      <c r="O90" s="44">
        <f>K90/Funktional!D90</f>
        <v>196.38579750668188</v>
      </c>
      <c r="P90">
        <v>3000</v>
      </c>
      <c r="Q90">
        <v>0</v>
      </c>
      <c r="R90">
        <v>1000</v>
      </c>
      <c r="S90" s="43">
        <f t="shared" si="33"/>
        <v>4000</v>
      </c>
      <c r="T90">
        <v>8128</v>
      </c>
      <c r="U90">
        <v>0</v>
      </c>
      <c r="V90">
        <v>1000</v>
      </c>
      <c r="W90" s="43">
        <f t="shared" si="34"/>
        <v>9128</v>
      </c>
      <c r="X90">
        <v>500</v>
      </c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  <c r="AO90" s="110"/>
      <c r="AP90" s="110"/>
      <c r="AQ90" s="110"/>
      <c r="AR90" s="110"/>
      <c r="AS90" s="110"/>
      <c r="AT90" s="110"/>
      <c r="AU90" s="110"/>
      <c r="AV90" s="110"/>
      <c r="AW90" s="110"/>
      <c r="AX90" s="110"/>
      <c r="AY90" s="110"/>
      <c r="AZ90" s="110"/>
      <c r="BA90" s="110"/>
      <c r="BB90" s="110"/>
      <c r="BC90" s="110"/>
      <c r="BD90" s="110"/>
      <c r="BE90" s="110"/>
      <c r="BF90" s="110"/>
      <c r="BG90" s="110"/>
      <c r="BH90" s="110"/>
      <c r="BI90" s="110"/>
      <c r="BJ90" s="110"/>
      <c r="BK90" s="110"/>
      <c r="BL90" s="110"/>
      <c r="BM90" s="110"/>
      <c r="BN90" s="110"/>
      <c r="BO90" s="110"/>
      <c r="BP90" s="110"/>
      <c r="BQ90" s="110"/>
      <c r="BR90" s="110"/>
      <c r="BS90" s="110"/>
      <c r="BT90" s="110"/>
      <c r="BU90" s="110"/>
      <c r="BV90" s="110"/>
      <c r="BW90" s="110"/>
      <c r="BX90" s="110"/>
      <c r="BY90" s="110"/>
      <c r="BZ90" s="110"/>
      <c r="CA90" s="110"/>
      <c r="CB90" s="110"/>
      <c r="CC90" s="110"/>
      <c r="CD90" s="110"/>
      <c r="CE90" s="110"/>
      <c r="CF90" s="110"/>
    </row>
    <row r="91" spans="1:84" s="45" customFormat="1" x14ac:dyDescent="0.25">
      <c r="A91" t="str">
        <f>Funktional!A91</f>
        <v>Pfyn</v>
      </c>
      <c r="B91" t="str">
        <f>Funktional!B91</f>
        <v>PSG</v>
      </c>
      <c r="C91">
        <v>0.1012</v>
      </c>
      <c r="D91">
        <v>5.8099999999999999E-2</v>
      </c>
      <c r="E91" s="26">
        <f t="shared" si="30"/>
        <v>4426975.0999999996</v>
      </c>
      <c r="F91">
        <v>2421438.35</v>
      </c>
      <c r="G91">
        <v>2005536.75</v>
      </c>
      <c r="H91">
        <v>90640.65</v>
      </c>
      <c r="I91" s="42">
        <f t="shared" si="31"/>
        <v>2.0474623857721721E-2</v>
      </c>
      <c r="J91" s="80">
        <f t="shared" si="32"/>
        <v>63647</v>
      </c>
      <c r="K91" s="43">
        <f>J91*'KiGa - PS'!L92</f>
        <v>57593.291745785413</v>
      </c>
      <c r="L91" s="42">
        <f>K91/Funktional!E91</f>
        <v>2.9514080734947771E-2</v>
      </c>
      <c r="M91">
        <v>60</v>
      </c>
      <c r="N91" s="43">
        <f>K91/Funktional!C91</f>
        <v>6399.2546384206016</v>
      </c>
      <c r="O91" s="44">
        <f>K91/Funktional!D91</f>
        <v>351.17860820600862</v>
      </c>
      <c r="P91">
        <v>8592</v>
      </c>
      <c r="Q91">
        <v>3000</v>
      </c>
      <c r="R91">
        <v>3685.2</v>
      </c>
      <c r="S91" s="43">
        <f t="shared" si="33"/>
        <v>15277.2</v>
      </c>
      <c r="T91">
        <v>29999.4</v>
      </c>
      <c r="U91">
        <v>3000</v>
      </c>
      <c r="V91">
        <v>7370.4</v>
      </c>
      <c r="W91" s="43">
        <f t="shared" si="34"/>
        <v>40369.800000000003</v>
      </c>
      <c r="X91">
        <v>8000</v>
      </c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  <c r="AO91" s="110"/>
      <c r="AP91" s="110"/>
      <c r="AQ91" s="110"/>
      <c r="AR91" s="110"/>
      <c r="AS91" s="110"/>
      <c r="AT91" s="110"/>
      <c r="AU91" s="110"/>
      <c r="AV91" s="110"/>
      <c r="AW91" s="110"/>
      <c r="AX91" s="110"/>
      <c r="AY91" s="110"/>
      <c r="AZ91" s="110"/>
      <c r="BA91" s="110"/>
      <c r="BB91" s="110"/>
      <c r="BC91" s="110"/>
      <c r="BD91" s="110"/>
      <c r="BE91" s="110"/>
      <c r="BF91" s="110"/>
      <c r="BG91" s="110"/>
      <c r="BH91" s="110"/>
      <c r="BI91" s="110"/>
      <c r="BJ91" s="110"/>
      <c r="BK91" s="110"/>
      <c r="BL91" s="110"/>
      <c r="BM91" s="110"/>
      <c r="BN91" s="110"/>
      <c r="BO91" s="110"/>
      <c r="BP91" s="110"/>
      <c r="BQ91" s="110"/>
      <c r="BR91" s="110"/>
      <c r="BS91" s="110"/>
      <c r="BT91" s="110"/>
      <c r="BU91" s="110"/>
      <c r="BV91" s="110"/>
      <c r="BW91" s="110"/>
      <c r="BX91" s="110"/>
      <c r="BY91" s="110"/>
      <c r="BZ91" s="110"/>
      <c r="CA91" s="110"/>
      <c r="CB91" s="110"/>
      <c r="CC91" s="110"/>
      <c r="CD91" s="110"/>
      <c r="CE91" s="110"/>
      <c r="CF91" s="110"/>
    </row>
    <row r="92" spans="1:84" s="45" customFormat="1" x14ac:dyDescent="0.25">
      <c r="A92" t="str">
        <f>Funktional!A92</f>
        <v>Raperswilen-Illhart</v>
      </c>
      <c r="B92" t="str">
        <f>Funktional!B92</f>
        <v>PSG</v>
      </c>
      <c r="C92">
        <v>9.7600000000000006E-2</v>
      </c>
      <c r="D92">
        <v>1.8700000000000001E-2</v>
      </c>
      <c r="E92" s="26">
        <f t="shared" si="30"/>
        <v>1833953.3499999999</v>
      </c>
      <c r="F92">
        <v>1190659.3999999999</v>
      </c>
      <c r="G92">
        <v>643293.94999999995</v>
      </c>
      <c r="H92">
        <v>43726.2</v>
      </c>
      <c r="I92" s="42">
        <f t="shared" si="31"/>
        <v>2.3842591197862258E-2</v>
      </c>
      <c r="J92" s="80">
        <f t="shared" si="32"/>
        <v>9200</v>
      </c>
      <c r="K92" s="43">
        <f>J92*'KiGa - PS'!L93</f>
        <v>7257.6266288636989</v>
      </c>
      <c r="L92" s="42">
        <f>K92/Funktional!E92</f>
        <v>1.3049727760692959E-2</v>
      </c>
      <c r="M92">
        <v>70</v>
      </c>
      <c r="N92" s="43">
        <f>K92/Funktional!C92</f>
        <v>2419.2088762878998</v>
      </c>
      <c r="O92" s="44">
        <f>K92/Funktional!D92</f>
        <v>102.22009336427745</v>
      </c>
      <c r="P92">
        <v>1500</v>
      </c>
      <c r="Q92">
        <v>0</v>
      </c>
      <c r="R92">
        <v>500</v>
      </c>
      <c r="S92" s="43">
        <f t="shared" si="33"/>
        <v>2000</v>
      </c>
      <c r="T92">
        <v>5000</v>
      </c>
      <c r="U92">
        <v>0</v>
      </c>
      <c r="V92">
        <v>1500</v>
      </c>
      <c r="W92" s="43">
        <f t="shared" si="34"/>
        <v>6500</v>
      </c>
      <c r="X92">
        <v>700</v>
      </c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  <c r="AO92" s="110"/>
      <c r="AP92" s="110"/>
      <c r="AQ92" s="110"/>
      <c r="AR92" s="110"/>
      <c r="AS92" s="110"/>
      <c r="AT92" s="110"/>
      <c r="AU92" s="110"/>
      <c r="AV92" s="110"/>
      <c r="AW92" s="110"/>
      <c r="AX92" s="110"/>
      <c r="AY92" s="110"/>
      <c r="AZ92" s="110"/>
      <c r="BA92" s="110"/>
      <c r="BB92" s="110"/>
      <c r="BC92" s="110"/>
      <c r="BD92" s="110"/>
      <c r="BE92" s="110"/>
      <c r="BF92" s="110"/>
      <c r="BG92" s="110"/>
      <c r="BH92" s="110"/>
      <c r="BI92" s="110"/>
      <c r="BJ92" s="110"/>
      <c r="BK92" s="110"/>
      <c r="BL92" s="110"/>
      <c r="BM92" s="110"/>
      <c r="BN92" s="110"/>
      <c r="BO92" s="110"/>
      <c r="BP92" s="110"/>
      <c r="BQ92" s="110"/>
      <c r="BR92" s="110"/>
      <c r="BS92" s="110"/>
      <c r="BT92" s="110"/>
      <c r="BU92" s="110"/>
      <c r="BV92" s="110"/>
      <c r="BW92" s="110"/>
      <c r="BX92" s="110"/>
      <c r="BY92" s="110"/>
      <c r="BZ92" s="110"/>
      <c r="CA92" s="110"/>
      <c r="CB92" s="110"/>
      <c r="CC92" s="110"/>
      <c r="CD92" s="110"/>
      <c r="CE92" s="110"/>
      <c r="CF92" s="110"/>
    </row>
    <row r="93" spans="1:84" s="45" customFormat="1" x14ac:dyDescent="0.25">
      <c r="A93" t="str">
        <f>Funktional!A93</f>
        <v>Rickenbach</v>
      </c>
      <c r="B93" t="str">
        <f>Funktional!B93</f>
        <v>PSG</v>
      </c>
      <c r="C93">
        <v>5.57E-2</v>
      </c>
      <c r="D93">
        <v>1.2500000000000001E-2</v>
      </c>
      <c r="E93" s="26">
        <f t="shared" si="30"/>
        <v>2466454.42</v>
      </c>
      <c r="F93">
        <v>1645506</v>
      </c>
      <c r="G93">
        <v>820948.42</v>
      </c>
      <c r="H93">
        <v>32811.75</v>
      </c>
      <c r="I93" s="42">
        <f t="shared" si="31"/>
        <v>1.3303205497711974E-2</v>
      </c>
      <c r="J93" s="80">
        <f t="shared" si="32"/>
        <v>48206</v>
      </c>
      <c r="K93" s="43">
        <f>J93*'KiGa - PS'!L94</f>
        <v>40469.111107063072</v>
      </c>
      <c r="L93" s="42">
        <f>K93/Funktional!E93</f>
        <v>2.1071188388842407E-2</v>
      </c>
      <c r="M93">
        <v>75</v>
      </c>
      <c r="N93" s="43">
        <f>K93/Funktional!C93</f>
        <v>3679.0101006420973</v>
      </c>
      <c r="O93" s="44">
        <f>K93/Funktional!D93</f>
        <v>209.68451350809883</v>
      </c>
      <c r="P93">
        <v>11243</v>
      </c>
      <c r="Q93">
        <v>2400</v>
      </c>
      <c r="R93">
        <v>3900</v>
      </c>
      <c r="S93" s="43">
        <f t="shared" si="33"/>
        <v>17543</v>
      </c>
      <c r="T93">
        <v>15126</v>
      </c>
      <c r="U93">
        <v>2000</v>
      </c>
      <c r="V93">
        <v>3500</v>
      </c>
      <c r="W93" s="43">
        <f t="shared" si="34"/>
        <v>20626</v>
      </c>
      <c r="X93">
        <v>10037</v>
      </c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  <c r="AO93" s="110"/>
      <c r="AP93" s="110"/>
      <c r="AQ93" s="110"/>
      <c r="AR93" s="110"/>
      <c r="AS93" s="110"/>
      <c r="AT93" s="110"/>
      <c r="AU93" s="110"/>
      <c r="AV93" s="110"/>
      <c r="AW93" s="110"/>
      <c r="AX93" s="110"/>
      <c r="AY93" s="110"/>
      <c r="AZ93" s="110"/>
      <c r="BA93" s="110"/>
      <c r="BB93" s="110"/>
      <c r="BC93" s="110"/>
      <c r="BD93" s="110"/>
      <c r="BE93" s="110"/>
      <c r="BF93" s="110"/>
      <c r="BG93" s="110"/>
      <c r="BH93" s="110"/>
      <c r="BI93" s="110"/>
      <c r="BJ93" s="110"/>
      <c r="BK93" s="110"/>
      <c r="BL93" s="110"/>
      <c r="BM93" s="110"/>
      <c r="BN93" s="110"/>
      <c r="BO93" s="110"/>
      <c r="BP93" s="110"/>
      <c r="BQ93" s="110"/>
      <c r="BR93" s="110"/>
      <c r="BS93" s="110"/>
      <c r="BT93" s="110"/>
      <c r="BU93" s="110"/>
      <c r="BV93" s="110"/>
      <c r="BW93" s="110"/>
      <c r="BX93" s="110"/>
      <c r="BY93" s="110"/>
      <c r="BZ93" s="110"/>
      <c r="CA93" s="110"/>
      <c r="CB93" s="110"/>
      <c r="CC93" s="110"/>
      <c r="CD93" s="110"/>
      <c r="CE93" s="110"/>
      <c r="CF93" s="110"/>
    </row>
    <row r="94" spans="1:84" s="45" customFormat="1" x14ac:dyDescent="0.25">
      <c r="A94" t="str">
        <f>Funktional!A94</f>
        <v>Ringenzeichen</v>
      </c>
      <c r="B94" t="str">
        <f>Funktional!B94</f>
        <v>PSG</v>
      </c>
      <c r="C94">
        <v>3.0999999999999999E-3</v>
      </c>
      <c r="D94">
        <v>1.2999999999999999E-2</v>
      </c>
      <c r="E94" s="26">
        <f t="shared" ref="E94:E95" si="35">F94+G94</f>
        <v>685102.6</v>
      </c>
      <c r="F94">
        <v>129400</v>
      </c>
      <c r="G94">
        <v>555702.6</v>
      </c>
      <c r="H94">
        <v>32762.25</v>
      </c>
      <c r="I94" s="42">
        <f t="shared" si="31"/>
        <v>4.7820939520591514E-2</v>
      </c>
      <c r="J94" s="80">
        <f t="shared" si="32"/>
        <v>7500</v>
      </c>
      <c r="K94" s="43">
        <f>J94*'KiGa - PS'!L95</f>
        <v>7500</v>
      </c>
      <c r="L94" s="42">
        <f>K94/Funktional!E94</f>
        <v>1.9149012766263834E-2</v>
      </c>
      <c r="M94">
        <v>50</v>
      </c>
      <c r="N94" s="43">
        <f>K94/Funktional!C94</f>
        <v>3750</v>
      </c>
      <c r="O94" s="44">
        <f>K94/Funktional!D94</f>
        <v>187.5</v>
      </c>
      <c r="P94">
        <v>1000</v>
      </c>
      <c r="Q94">
        <v>0</v>
      </c>
      <c r="R94">
        <v>0</v>
      </c>
      <c r="S94" s="43">
        <f t="shared" si="33"/>
        <v>1000</v>
      </c>
      <c r="T94">
        <v>5500</v>
      </c>
      <c r="U94">
        <v>0</v>
      </c>
      <c r="V94">
        <v>1000</v>
      </c>
      <c r="W94" s="43">
        <f t="shared" si="34"/>
        <v>6500</v>
      </c>
      <c r="X94">
        <v>0</v>
      </c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  <c r="AO94" s="110"/>
      <c r="AP94" s="110"/>
      <c r="AQ94" s="110"/>
      <c r="AR94" s="110"/>
      <c r="AS94" s="110"/>
      <c r="AT94" s="110"/>
      <c r="AU94" s="110"/>
      <c r="AV94" s="110"/>
      <c r="AW94" s="110"/>
      <c r="AX94" s="110"/>
      <c r="AY94" s="110"/>
      <c r="AZ94" s="110"/>
      <c r="BA94" s="110"/>
      <c r="BB94" s="110"/>
      <c r="BC94" s="110"/>
      <c r="BD94" s="110"/>
      <c r="BE94" s="110"/>
      <c r="BF94" s="110"/>
      <c r="BG94" s="110"/>
      <c r="BH94" s="110"/>
      <c r="BI94" s="110"/>
      <c r="BJ94" s="110"/>
      <c r="BK94" s="110"/>
      <c r="BL94" s="110"/>
      <c r="BM94" s="110"/>
      <c r="BN94" s="110"/>
      <c r="BO94" s="110"/>
      <c r="BP94" s="110"/>
      <c r="BQ94" s="110"/>
      <c r="BR94" s="110"/>
      <c r="BS94" s="110"/>
      <c r="BT94" s="110"/>
      <c r="BU94" s="110"/>
      <c r="BV94" s="110"/>
      <c r="BW94" s="110"/>
      <c r="BX94" s="110"/>
      <c r="BY94" s="110"/>
      <c r="BZ94" s="110"/>
      <c r="CA94" s="110"/>
      <c r="CB94" s="110"/>
      <c r="CC94" s="110"/>
      <c r="CD94" s="110"/>
      <c r="CE94" s="110"/>
      <c r="CF94" s="110"/>
    </row>
    <row r="95" spans="1:84" s="45" customFormat="1" x14ac:dyDescent="0.25">
      <c r="A95" t="str">
        <f>Funktional!A95</f>
        <v>Romanshorn</v>
      </c>
      <c r="B95" t="str">
        <f>Funktional!B95</f>
        <v>PSG</v>
      </c>
      <c r="C95">
        <v>8.1500000000000003E-2</v>
      </c>
      <c r="D95">
        <v>3.4000000000000002E-2</v>
      </c>
      <c r="E95" s="26">
        <f t="shared" si="35"/>
        <v>10315589.23</v>
      </c>
      <c r="F95">
        <v>6623097.0999999996</v>
      </c>
      <c r="G95">
        <v>3692492.13</v>
      </c>
      <c r="H95">
        <v>119159.45</v>
      </c>
      <c r="I95" s="42">
        <f t="shared" si="31"/>
        <v>1.1551395401966775E-2</v>
      </c>
      <c r="J95" s="80">
        <f t="shared" si="32"/>
        <v>175028</v>
      </c>
      <c r="K95" s="43">
        <f>J95*'KiGa - PS'!L96</f>
        <v>154186.66106888946</v>
      </c>
      <c r="L95" s="42">
        <f>K95/Funktional!E95</f>
        <v>2.2991968893495498E-2</v>
      </c>
      <c r="M95">
        <v>100</v>
      </c>
      <c r="N95" s="43">
        <f>K95/Funktional!C95</f>
        <v>4224.292084079163</v>
      </c>
      <c r="O95" s="44">
        <f>K95/Funktional!D95</f>
        <v>206.13189982471852</v>
      </c>
      <c r="P95">
        <v>46636</v>
      </c>
      <c r="Q95">
        <v>4000</v>
      </c>
      <c r="R95">
        <v>4000</v>
      </c>
      <c r="S95" s="43">
        <f t="shared" si="33"/>
        <v>54636</v>
      </c>
      <c r="T95">
        <v>116392</v>
      </c>
      <c r="U95">
        <v>4000</v>
      </c>
      <c r="V95">
        <v>0</v>
      </c>
      <c r="W95" s="43">
        <f t="shared" si="34"/>
        <v>120392</v>
      </c>
      <c r="X95">
        <v>0</v>
      </c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  <c r="AO95" s="110"/>
      <c r="AP95" s="110"/>
      <c r="AQ95" s="110"/>
      <c r="AR95" s="110"/>
      <c r="AS95" s="110"/>
      <c r="AT95" s="110"/>
      <c r="AU95" s="110"/>
      <c r="AV95" s="110"/>
      <c r="AW95" s="110"/>
      <c r="AX95" s="110"/>
      <c r="AY95" s="110"/>
      <c r="AZ95" s="110"/>
      <c r="BA95" s="110"/>
      <c r="BB95" s="110"/>
      <c r="BC95" s="110"/>
      <c r="BD95" s="110"/>
      <c r="BE95" s="110"/>
      <c r="BF95" s="110"/>
      <c r="BG95" s="110"/>
      <c r="BH95" s="110"/>
      <c r="BI95" s="110"/>
      <c r="BJ95" s="110"/>
      <c r="BK95" s="110"/>
      <c r="BL95" s="110"/>
      <c r="BM95" s="110"/>
      <c r="BN95" s="110"/>
      <c r="BO95" s="110"/>
      <c r="BP95" s="110"/>
      <c r="BQ95" s="110"/>
      <c r="BR95" s="110"/>
      <c r="BS95" s="110"/>
      <c r="BT95" s="110"/>
      <c r="BU95" s="110"/>
      <c r="BV95" s="110"/>
      <c r="BW95" s="110"/>
      <c r="BX95" s="110"/>
      <c r="BY95" s="110"/>
      <c r="BZ95" s="110"/>
      <c r="CA95" s="110"/>
      <c r="CB95" s="110"/>
      <c r="CC95" s="110"/>
      <c r="CD95" s="110"/>
      <c r="CE95" s="110"/>
      <c r="CF95" s="110"/>
    </row>
    <row r="96" spans="1:84" s="45" customFormat="1" x14ac:dyDescent="0.25">
      <c r="A96" t="str">
        <f>Funktional!A96</f>
        <v>Salenstein</v>
      </c>
      <c r="B96" t="str">
        <f>Funktional!B96</f>
        <v>PSG</v>
      </c>
      <c r="C96">
        <v>0.32540000000000002</v>
      </c>
      <c r="D96">
        <v>7.4200000000000002E-2</v>
      </c>
      <c r="E96" s="26">
        <f t="shared" ref="E96:E108" si="36">F96+G96</f>
        <v>6492617.5800000001</v>
      </c>
      <c r="F96">
        <v>5521143.7999999998</v>
      </c>
      <c r="G96">
        <v>971473.78</v>
      </c>
      <c r="H96">
        <v>44649.25</v>
      </c>
      <c r="I96" s="42">
        <f t="shared" si="31"/>
        <v>6.876925900816724E-3</v>
      </c>
      <c r="J96" s="80">
        <f t="shared" si="32"/>
        <v>19500</v>
      </c>
      <c r="K96" s="43">
        <f>J96*'KiGa - PS'!L97</f>
        <v>16901.619761860893</v>
      </c>
      <c r="L96" s="42">
        <f>K96/Funktional!E96</f>
        <v>1.3111029000957408E-2</v>
      </c>
      <c r="M96">
        <v>70</v>
      </c>
      <c r="N96" s="43">
        <f>K96/Funktional!C96</f>
        <v>4225.4049404652233</v>
      </c>
      <c r="O96" s="44">
        <f>K96/Funktional!D96</f>
        <v>244.95101104146221</v>
      </c>
      <c r="P96">
        <v>6000</v>
      </c>
      <c r="Q96">
        <v>0</v>
      </c>
      <c r="R96">
        <v>250</v>
      </c>
      <c r="S96" s="43">
        <f t="shared" si="33"/>
        <v>6250</v>
      </c>
      <c r="T96">
        <v>8000</v>
      </c>
      <c r="U96">
        <v>0</v>
      </c>
      <c r="V96">
        <v>250</v>
      </c>
      <c r="W96" s="43">
        <f t="shared" si="34"/>
        <v>8250</v>
      </c>
      <c r="X96">
        <v>5000</v>
      </c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110"/>
      <c r="BA96" s="110"/>
      <c r="BB96" s="110"/>
      <c r="BC96" s="110"/>
      <c r="BD96" s="110"/>
      <c r="BE96" s="110"/>
      <c r="BF96" s="110"/>
      <c r="BG96" s="110"/>
      <c r="BH96" s="110"/>
      <c r="BI96" s="110"/>
      <c r="BJ96" s="110"/>
      <c r="BK96" s="110"/>
      <c r="BL96" s="110"/>
      <c r="BM96" s="110"/>
      <c r="BN96" s="110"/>
      <c r="BO96" s="110"/>
      <c r="BP96" s="110"/>
      <c r="BQ96" s="110"/>
      <c r="BR96" s="110"/>
      <c r="BS96" s="110"/>
      <c r="BT96" s="110"/>
      <c r="BU96" s="110"/>
      <c r="BV96" s="110"/>
      <c r="BW96" s="110"/>
      <c r="BX96" s="110"/>
      <c r="BY96" s="110"/>
      <c r="BZ96" s="110"/>
      <c r="CA96" s="110"/>
      <c r="CB96" s="110"/>
      <c r="CC96" s="110"/>
      <c r="CD96" s="110"/>
      <c r="CE96" s="110"/>
      <c r="CF96" s="110"/>
    </row>
    <row r="97" spans="1:84" s="45" customFormat="1" x14ac:dyDescent="0.25">
      <c r="A97" t="str">
        <f>Funktional!A97</f>
        <v>Salmsach-Hungerbühl</v>
      </c>
      <c r="B97" t="str">
        <f>Funktional!B97</f>
        <v>PSG</v>
      </c>
      <c r="C97">
        <v>0.109</v>
      </c>
      <c r="D97">
        <v>6.4600000000000005E-2</v>
      </c>
      <c r="E97" s="26">
        <f t="shared" si="36"/>
        <v>3250905.1500000004</v>
      </c>
      <c r="F97">
        <v>1391897.85</v>
      </c>
      <c r="G97">
        <v>1859007.3</v>
      </c>
      <c r="H97">
        <v>89054.2</v>
      </c>
      <c r="I97" s="42">
        <f t="shared" si="31"/>
        <v>2.7393662961836946E-2</v>
      </c>
      <c r="J97" s="80">
        <f t="shared" si="32"/>
        <v>27270</v>
      </c>
      <c r="K97" s="43">
        <f>J97*'KiGa - PS'!L98</f>
        <v>21768.519072684503</v>
      </c>
      <c r="L97" s="42">
        <f>K97/Funktional!E97</f>
        <v>1.8833289783796659E-2</v>
      </c>
      <c r="M97">
        <v>70</v>
      </c>
      <c r="N97" s="43">
        <f>K97/Funktional!C97</f>
        <v>4353.7038145369006</v>
      </c>
      <c r="O97" s="44">
        <f>K97/Funktional!D97</f>
        <v>203.44410348303273</v>
      </c>
      <c r="P97">
        <v>7000</v>
      </c>
      <c r="Q97">
        <v>1500</v>
      </c>
      <c r="R97">
        <v>0</v>
      </c>
      <c r="S97" s="43">
        <f t="shared" si="33"/>
        <v>8500</v>
      </c>
      <c r="T97">
        <v>12500</v>
      </c>
      <c r="U97">
        <v>120</v>
      </c>
      <c r="V97">
        <v>1800</v>
      </c>
      <c r="W97" s="43">
        <f t="shared" si="34"/>
        <v>14420</v>
      </c>
      <c r="X97">
        <v>4350</v>
      </c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  <c r="AO97" s="110"/>
      <c r="AP97" s="110"/>
      <c r="AQ97" s="110"/>
      <c r="AR97" s="110"/>
      <c r="AS97" s="110"/>
      <c r="AT97" s="110"/>
      <c r="AU97" s="110"/>
      <c r="AV97" s="110"/>
      <c r="AW97" s="110"/>
      <c r="AX97" s="110"/>
      <c r="AY97" s="110"/>
      <c r="AZ97" s="110"/>
      <c r="BA97" s="110"/>
      <c r="BB97" s="110"/>
      <c r="BC97" s="110"/>
      <c r="BD97" s="110"/>
      <c r="BE97" s="110"/>
      <c r="BF97" s="110"/>
      <c r="BG97" s="110"/>
      <c r="BH97" s="110"/>
      <c r="BI97" s="110"/>
      <c r="BJ97" s="110"/>
      <c r="BK97" s="110"/>
      <c r="BL97" s="110"/>
      <c r="BM97" s="110"/>
      <c r="BN97" s="110"/>
      <c r="BO97" s="110"/>
      <c r="BP97" s="110"/>
      <c r="BQ97" s="110"/>
      <c r="BR97" s="110"/>
      <c r="BS97" s="110"/>
      <c r="BT97" s="110"/>
      <c r="BU97" s="110"/>
      <c r="BV97" s="110"/>
      <c r="BW97" s="110"/>
      <c r="BX97" s="110"/>
      <c r="BY97" s="110"/>
      <c r="BZ97" s="110"/>
      <c r="CA97" s="110"/>
      <c r="CB97" s="110"/>
      <c r="CC97" s="110"/>
      <c r="CD97" s="110"/>
      <c r="CE97" s="110"/>
      <c r="CF97" s="110"/>
    </row>
    <row r="98" spans="1:84" s="45" customFormat="1" x14ac:dyDescent="0.25">
      <c r="A98" t="str">
        <f>Funktional!A98</f>
        <v>Scherzingen</v>
      </c>
      <c r="B98" t="str">
        <f>Funktional!B98</f>
        <v>PSG</v>
      </c>
      <c r="C98">
        <v>0.1004</v>
      </c>
      <c r="D98">
        <v>5.0599999999999999E-2</v>
      </c>
      <c r="E98" s="26">
        <f t="shared" si="36"/>
        <v>2787712.05</v>
      </c>
      <c r="F98">
        <v>1487701.2</v>
      </c>
      <c r="G98">
        <v>1300010.8500000001</v>
      </c>
      <c r="H98">
        <v>6619.95</v>
      </c>
      <c r="I98" s="42">
        <f t="shared" si="31"/>
        <v>2.3746893083882174E-3</v>
      </c>
      <c r="J98" s="80">
        <f t="shared" si="32"/>
        <v>19350</v>
      </c>
      <c r="K98" s="43">
        <f>J98*'KiGa - PS'!L99</f>
        <v>16482.458484578437</v>
      </c>
      <c r="L98" s="42">
        <f>K98/Funktional!E98</f>
        <v>1.2483695793300963E-2</v>
      </c>
      <c r="M98">
        <v>60</v>
      </c>
      <c r="N98" s="43">
        <f>K98/Funktional!C98</f>
        <v>2535.7628437812982</v>
      </c>
      <c r="O98" s="44">
        <f>K98/Funktional!D98</f>
        <v>147.16480789802176</v>
      </c>
      <c r="P98">
        <v>6000</v>
      </c>
      <c r="Q98">
        <v>0</v>
      </c>
      <c r="R98">
        <v>0</v>
      </c>
      <c r="S98" s="43">
        <f t="shared" si="33"/>
        <v>6000</v>
      </c>
      <c r="T98">
        <v>10000</v>
      </c>
      <c r="U98">
        <v>0</v>
      </c>
      <c r="V98">
        <v>600</v>
      </c>
      <c r="W98" s="43">
        <f t="shared" si="34"/>
        <v>10600</v>
      </c>
      <c r="X98">
        <v>2750</v>
      </c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  <c r="AO98" s="110"/>
      <c r="AP98" s="110"/>
      <c r="AQ98" s="110"/>
      <c r="AR98" s="110"/>
      <c r="AS98" s="110"/>
      <c r="AT98" s="110"/>
      <c r="AU98" s="110"/>
      <c r="AV98" s="110"/>
      <c r="AW98" s="110"/>
      <c r="AX98" s="110"/>
      <c r="AY98" s="110"/>
      <c r="AZ98" s="110"/>
      <c r="BA98" s="110"/>
      <c r="BB98" s="110"/>
      <c r="BC98" s="110"/>
      <c r="BD98" s="110"/>
      <c r="BE98" s="110"/>
      <c r="BF98" s="110"/>
      <c r="BG98" s="110"/>
      <c r="BH98" s="110"/>
      <c r="BI98" s="110"/>
      <c r="BJ98" s="110"/>
      <c r="BK98" s="110"/>
      <c r="BL98" s="110"/>
      <c r="BM98" s="110"/>
      <c r="BN98" s="110"/>
      <c r="BO98" s="110"/>
      <c r="BP98" s="110"/>
      <c r="BQ98" s="110"/>
      <c r="BR98" s="110"/>
      <c r="BS98" s="110"/>
      <c r="BT98" s="110"/>
      <c r="BU98" s="110"/>
      <c r="BV98" s="110"/>
      <c r="BW98" s="110"/>
      <c r="BX98" s="110"/>
      <c r="BY98" s="110"/>
      <c r="BZ98" s="110"/>
      <c r="CA98" s="110"/>
      <c r="CB98" s="110"/>
      <c r="CC98" s="110"/>
      <c r="CD98" s="110"/>
      <c r="CE98" s="110"/>
      <c r="CF98" s="110"/>
    </row>
    <row r="99" spans="1:84" s="45" customFormat="1" x14ac:dyDescent="0.25">
      <c r="A99" t="str">
        <f>Funktional!A99</f>
        <v>Schlatt</v>
      </c>
      <c r="B99" t="str">
        <f>Funktional!B99</f>
        <v>PSG</v>
      </c>
      <c r="C99">
        <v>0.1736</v>
      </c>
      <c r="D99">
        <v>5.6000000000000001E-2</v>
      </c>
      <c r="E99" s="26">
        <f t="shared" si="36"/>
        <v>4536604.07</v>
      </c>
      <c r="F99">
        <v>3473601</v>
      </c>
      <c r="G99">
        <v>1063003.07</v>
      </c>
      <c r="H99">
        <v>13521.8</v>
      </c>
      <c r="I99" s="42">
        <f t="shared" si="31"/>
        <v>2.9805995390732873E-3</v>
      </c>
      <c r="J99" s="80">
        <f t="shared" si="32"/>
        <v>24300</v>
      </c>
      <c r="K99" s="43">
        <f>J99*'KiGa - PS'!L100</f>
        <v>18647.909625971846</v>
      </c>
      <c r="L99" s="42">
        <f>K99/Funktional!E99</f>
        <v>1.2845052536397023E-2</v>
      </c>
      <c r="M99">
        <v>60</v>
      </c>
      <c r="N99" s="43">
        <f>K99/Funktional!C99</f>
        <v>3107.9849376619745</v>
      </c>
      <c r="O99" s="44">
        <f>K99/Funktional!D99</f>
        <v>150.38636795138586</v>
      </c>
      <c r="P99">
        <v>4300</v>
      </c>
      <c r="Q99">
        <v>600</v>
      </c>
      <c r="R99">
        <v>800</v>
      </c>
      <c r="S99" s="43">
        <f t="shared" si="33"/>
        <v>5700</v>
      </c>
      <c r="T99">
        <v>13000</v>
      </c>
      <c r="U99">
        <v>2500</v>
      </c>
      <c r="V99">
        <v>1500</v>
      </c>
      <c r="W99" s="43">
        <f t="shared" si="34"/>
        <v>17000</v>
      </c>
      <c r="X99">
        <v>1600</v>
      </c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  <c r="AO99" s="110"/>
      <c r="AP99" s="110"/>
      <c r="AQ99" s="110"/>
      <c r="AR99" s="110"/>
      <c r="AS99" s="110"/>
      <c r="AT99" s="110"/>
      <c r="AU99" s="110"/>
      <c r="AV99" s="110"/>
      <c r="AW99" s="110"/>
      <c r="AX99" s="110"/>
      <c r="AY99" s="110"/>
      <c r="AZ99" s="110"/>
      <c r="BA99" s="110"/>
      <c r="BB99" s="110"/>
      <c r="BC99" s="110"/>
      <c r="BD99" s="110"/>
      <c r="BE99" s="110"/>
      <c r="BF99" s="110"/>
      <c r="BG99" s="110"/>
      <c r="BH99" s="110"/>
      <c r="BI99" s="110"/>
      <c r="BJ99" s="110"/>
      <c r="BK99" s="110"/>
      <c r="BL99" s="110"/>
      <c r="BM99" s="110"/>
      <c r="BN99" s="110"/>
      <c r="BO99" s="110"/>
      <c r="BP99" s="110"/>
      <c r="BQ99" s="110"/>
      <c r="BR99" s="110"/>
      <c r="BS99" s="110"/>
      <c r="BT99" s="110"/>
      <c r="BU99" s="110"/>
      <c r="BV99" s="110"/>
      <c r="BW99" s="110"/>
      <c r="BX99" s="110"/>
      <c r="BY99" s="110"/>
      <c r="BZ99" s="110"/>
      <c r="CA99" s="110"/>
      <c r="CB99" s="110"/>
      <c r="CC99" s="110"/>
      <c r="CD99" s="110"/>
      <c r="CE99" s="110"/>
      <c r="CF99" s="110"/>
    </row>
    <row r="100" spans="1:84" s="45" customFormat="1" x14ac:dyDescent="0.25">
      <c r="A100" t="str">
        <f>Funktional!A100</f>
        <v>Schlattingen</v>
      </c>
      <c r="B100" t="str">
        <f>Funktional!B100</f>
        <v>PSG</v>
      </c>
      <c r="C100">
        <v>0.10829999999999999</v>
      </c>
      <c r="D100">
        <v>5.0299999999999997E-2</v>
      </c>
      <c r="E100" s="26">
        <f t="shared" si="36"/>
        <v>1672388.5</v>
      </c>
      <c r="F100">
        <v>915826.1</v>
      </c>
      <c r="G100">
        <v>756562.4</v>
      </c>
      <c r="H100">
        <v>24963.45</v>
      </c>
      <c r="I100" s="42">
        <f t="shared" si="31"/>
        <v>1.4926824718060427E-2</v>
      </c>
      <c r="J100" s="80">
        <f t="shared" si="32"/>
        <v>13900</v>
      </c>
      <c r="K100" s="43">
        <f>J100*'KiGa - PS'!L101</f>
        <v>11474.906087238765</v>
      </c>
      <c r="L100" s="42">
        <f>K100/Funktional!E100</f>
        <v>1.777059567292388E-2</v>
      </c>
      <c r="M100">
        <v>60</v>
      </c>
      <c r="N100" s="43">
        <f>K100/Funktional!C100</f>
        <v>4589.9624348955058</v>
      </c>
      <c r="O100" s="44">
        <f>K100/Funktional!D100</f>
        <v>212.49826087479195</v>
      </c>
      <c r="P100">
        <v>2500</v>
      </c>
      <c r="Q100">
        <v>200</v>
      </c>
      <c r="R100">
        <v>1000</v>
      </c>
      <c r="S100" s="43">
        <f t="shared" si="33"/>
        <v>3700</v>
      </c>
      <c r="T100">
        <v>6500</v>
      </c>
      <c r="U100">
        <v>600</v>
      </c>
      <c r="V100">
        <v>1100</v>
      </c>
      <c r="W100" s="43">
        <f t="shared" si="34"/>
        <v>8200</v>
      </c>
      <c r="X100">
        <v>2000</v>
      </c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  <c r="AO100" s="110"/>
      <c r="AP100" s="110"/>
      <c r="AQ100" s="110"/>
      <c r="AR100" s="110"/>
      <c r="AS100" s="110"/>
      <c r="AT100" s="110"/>
      <c r="AU100" s="110"/>
      <c r="AV100" s="110"/>
      <c r="AW100" s="110"/>
      <c r="AX100" s="110"/>
      <c r="AY100" s="110"/>
      <c r="AZ100" s="110"/>
      <c r="BA100" s="110"/>
      <c r="BB100" s="110"/>
      <c r="BC100" s="110"/>
      <c r="BD100" s="110"/>
      <c r="BE100" s="110"/>
      <c r="BF100" s="110"/>
      <c r="BG100" s="110"/>
      <c r="BH100" s="110"/>
      <c r="BI100" s="110"/>
      <c r="BJ100" s="110"/>
      <c r="BK100" s="110"/>
      <c r="BL100" s="110"/>
      <c r="BM100" s="110"/>
      <c r="BN100" s="110"/>
      <c r="BO100" s="110"/>
      <c r="BP100" s="110"/>
      <c r="BQ100" s="110"/>
      <c r="BR100" s="110"/>
      <c r="BS100" s="110"/>
      <c r="BT100" s="110"/>
      <c r="BU100" s="110"/>
      <c r="BV100" s="110"/>
      <c r="BW100" s="110"/>
      <c r="BX100" s="110"/>
      <c r="BY100" s="110"/>
      <c r="BZ100" s="110"/>
      <c r="CA100" s="110"/>
      <c r="CB100" s="110"/>
      <c r="CC100" s="110"/>
      <c r="CD100" s="110"/>
      <c r="CE100" s="110"/>
      <c r="CF100" s="110"/>
    </row>
    <row r="101" spans="1:84" s="45" customFormat="1" x14ac:dyDescent="0.25">
      <c r="A101" t="str">
        <f>Funktional!A101</f>
        <v>Schmidshof</v>
      </c>
      <c r="B101" t="str">
        <f>Funktional!B101</f>
        <v>PSG</v>
      </c>
      <c r="C101">
        <v>0.1633</v>
      </c>
      <c r="D101">
        <v>4.6699999999999998E-2</v>
      </c>
      <c r="E101" s="26">
        <f t="shared" si="36"/>
        <v>809505.6</v>
      </c>
      <c r="F101">
        <v>690519</v>
      </c>
      <c r="G101">
        <v>118986.6</v>
      </c>
      <c r="H101">
        <v>19100</v>
      </c>
      <c r="I101" s="42">
        <f t="shared" si="31"/>
        <v>2.3594648387855501E-2</v>
      </c>
      <c r="J101" s="80">
        <f t="shared" si="32"/>
        <v>3714</v>
      </c>
      <c r="K101" s="43">
        <f>J101*'KiGa - PS'!L102</f>
        <v>3714</v>
      </c>
      <c r="L101" s="42">
        <f>K101/Funktional!E101</f>
        <v>1.1634168368406559E-2</v>
      </c>
      <c r="M101">
        <v>50</v>
      </c>
      <c r="N101" s="43">
        <f>K101/Funktional!C101</f>
        <v>3714</v>
      </c>
      <c r="O101" s="44">
        <f>K101/Funktional!D101</f>
        <v>176.85714285714286</v>
      </c>
      <c r="P101">
        <v>1000</v>
      </c>
      <c r="Q101">
        <v>0</v>
      </c>
      <c r="R101">
        <v>0</v>
      </c>
      <c r="S101" s="43">
        <f t="shared" si="33"/>
        <v>1000</v>
      </c>
      <c r="T101">
        <v>1800</v>
      </c>
      <c r="U101">
        <v>0</v>
      </c>
      <c r="V101">
        <v>500</v>
      </c>
      <c r="W101" s="43">
        <f t="shared" si="34"/>
        <v>2300</v>
      </c>
      <c r="X101">
        <v>414</v>
      </c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  <c r="AO101" s="110"/>
      <c r="AP101" s="110"/>
      <c r="AQ101" s="110"/>
      <c r="AR101" s="110"/>
      <c r="AS101" s="110"/>
      <c r="AT101" s="110"/>
      <c r="AU101" s="110"/>
      <c r="AV101" s="110"/>
      <c r="AW101" s="110"/>
      <c r="AX101" s="110"/>
      <c r="AY101" s="110"/>
      <c r="AZ101" s="110"/>
      <c r="BA101" s="110"/>
      <c r="BB101" s="110"/>
      <c r="BC101" s="110"/>
      <c r="BD101" s="110"/>
      <c r="BE101" s="110"/>
      <c r="BF101" s="110"/>
      <c r="BG101" s="110"/>
      <c r="BH101" s="110"/>
      <c r="BI101" s="110"/>
      <c r="BJ101" s="110"/>
      <c r="BK101" s="110"/>
      <c r="BL101" s="110"/>
      <c r="BM101" s="110"/>
      <c r="BN101" s="110"/>
      <c r="BO101" s="110"/>
      <c r="BP101" s="110"/>
      <c r="BQ101" s="110"/>
      <c r="BR101" s="110"/>
      <c r="BS101" s="110"/>
      <c r="BT101" s="110"/>
      <c r="BU101" s="110"/>
      <c r="BV101" s="110"/>
      <c r="BW101" s="110"/>
      <c r="BX101" s="110"/>
      <c r="BY101" s="110"/>
      <c r="BZ101" s="110"/>
      <c r="CA101" s="110"/>
      <c r="CB101" s="110"/>
      <c r="CC101" s="110"/>
      <c r="CD101" s="110"/>
      <c r="CE101" s="110"/>
      <c r="CF101" s="110"/>
    </row>
    <row r="102" spans="1:84" s="45" customFormat="1" x14ac:dyDescent="0.25">
      <c r="A102" t="str">
        <f>Funktional!A102</f>
        <v>Schönenberg-Kradolf</v>
      </c>
      <c r="B102" t="str">
        <f>Funktional!B102</f>
        <v>PSG</v>
      </c>
      <c r="C102">
        <v>0.1202</v>
      </c>
      <c r="D102">
        <v>3.2800000000000003E-2</v>
      </c>
      <c r="E102" s="26">
        <f t="shared" si="36"/>
        <v>6794915.3499999996</v>
      </c>
      <c r="F102">
        <v>4797899.2</v>
      </c>
      <c r="G102">
        <v>1997016.15</v>
      </c>
      <c r="H102">
        <v>122276.85</v>
      </c>
      <c r="I102" s="42">
        <f t="shared" si="31"/>
        <v>1.7995345593230974E-2</v>
      </c>
      <c r="J102" s="80">
        <f t="shared" si="32"/>
        <v>71064</v>
      </c>
      <c r="K102" s="43">
        <f>J102*'KiGa - PS'!L103</f>
        <v>60384.971204059082</v>
      </c>
      <c r="L102" s="42">
        <f>K102/Funktional!E102</f>
        <v>1.9284308574336988E-2</v>
      </c>
      <c r="M102">
        <v>70</v>
      </c>
      <c r="N102" s="43">
        <f>K102/Funktional!C102</f>
        <v>4644.997784927622</v>
      </c>
      <c r="O102" s="44">
        <f>K102/Funktional!D102</f>
        <v>243.48778711314145</v>
      </c>
      <c r="P102">
        <v>18893</v>
      </c>
      <c r="Q102">
        <v>2500</v>
      </c>
      <c r="R102">
        <v>2500</v>
      </c>
      <c r="S102" s="43">
        <f t="shared" si="33"/>
        <v>23893</v>
      </c>
      <c r="T102">
        <v>35171</v>
      </c>
      <c r="U102">
        <v>3000</v>
      </c>
      <c r="V102">
        <v>2500</v>
      </c>
      <c r="W102" s="43">
        <f t="shared" si="34"/>
        <v>40671</v>
      </c>
      <c r="X102">
        <v>6500</v>
      </c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  <c r="AO102" s="110"/>
      <c r="AP102" s="110"/>
      <c r="AQ102" s="110"/>
      <c r="AR102" s="110"/>
      <c r="AS102" s="110"/>
      <c r="AT102" s="110"/>
      <c r="AU102" s="110"/>
      <c r="AV102" s="110"/>
      <c r="AW102" s="110"/>
      <c r="AX102" s="110"/>
      <c r="AY102" s="110"/>
      <c r="AZ102" s="110"/>
      <c r="BA102" s="110"/>
      <c r="BB102" s="110"/>
      <c r="BC102" s="110"/>
      <c r="BD102" s="110"/>
      <c r="BE102" s="110"/>
      <c r="BF102" s="110"/>
      <c r="BG102" s="110"/>
      <c r="BH102" s="110"/>
      <c r="BI102" s="110"/>
      <c r="BJ102" s="110"/>
      <c r="BK102" s="110"/>
      <c r="BL102" s="110"/>
      <c r="BM102" s="110"/>
      <c r="BN102" s="110"/>
      <c r="BO102" s="110"/>
      <c r="BP102" s="110"/>
      <c r="BQ102" s="110"/>
      <c r="BR102" s="110"/>
      <c r="BS102" s="110"/>
      <c r="BT102" s="110"/>
      <c r="BU102" s="110"/>
      <c r="BV102" s="110"/>
      <c r="BW102" s="110"/>
      <c r="BX102" s="110"/>
      <c r="BY102" s="110"/>
      <c r="BZ102" s="110"/>
      <c r="CA102" s="110"/>
      <c r="CB102" s="110"/>
      <c r="CC102" s="110"/>
      <c r="CD102" s="110"/>
      <c r="CE102" s="110"/>
      <c r="CF102" s="110"/>
    </row>
    <row r="103" spans="1:84" s="45" customFormat="1" x14ac:dyDescent="0.25">
      <c r="A103" t="str">
        <f>Funktional!A103</f>
        <v>Schönholzerswilen</v>
      </c>
      <c r="B103" t="str">
        <f>Funktional!B103</f>
        <v>PSG</v>
      </c>
      <c r="C103">
        <v>0.11550000000000001</v>
      </c>
      <c r="D103">
        <v>5.9200000000000003E-2</v>
      </c>
      <c r="E103" s="26">
        <f t="shared" si="36"/>
        <v>2451393</v>
      </c>
      <c r="F103">
        <v>1070742.5</v>
      </c>
      <c r="G103">
        <v>1380650.5</v>
      </c>
      <c r="H103">
        <v>53611.9</v>
      </c>
      <c r="I103" s="42">
        <f t="shared" si="31"/>
        <v>2.186997352117755E-2</v>
      </c>
      <c r="J103" s="80">
        <f t="shared" si="32"/>
        <v>13400</v>
      </c>
      <c r="K103" s="43">
        <f>J103*'KiGa - PS'!L104</f>
        <v>10551.274908622618</v>
      </c>
      <c r="L103" s="42">
        <f>K103/Funktional!E103</f>
        <v>1.3797589972900093E-2</v>
      </c>
      <c r="M103">
        <v>50</v>
      </c>
      <c r="N103" s="43">
        <f>K103/Funktional!C103</f>
        <v>3517.0916362075391</v>
      </c>
      <c r="O103" s="44">
        <f>K103/Funktional!D103</f>
        <v>181.9185329072865</v>
      </c>
      <c r="P103">
        <v>2000</v>
      </c>
      <c r="Q103">
        <v>1000</v>
      </c>
      <c r="R103">
        <v>0</v>
      </c>
      <c r="S103" s="43">
        <f t="shared" si="33"/>
        <v>3000</v>
      </c>
      <c r="T103">
        <v>4000</v>
      </c>
      <c r="U103">
        <v>0</v>
      </c>
      <c r="V103">
        <v>2400</v>
      </c>
      <c r="W103" s="43">
        <f t="shared" si="34"/>
        <v>6400</v>
      </c>
      <c r="X103">
        <v>4000</v>
      </c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  <c r="AO103" s="110"/>
      <c r="AP103" s="110"/>
      <c r="AQ103" s="110"/>
      <c r="AR103" s="110"/>
      <c r="AS103" s="110"/>
      <c r="AT103" s="110"/>
      <c r="AU103" s="110"/>
      <c r="AV103" s="110"/>
      <c r="AW103" s="110"/>
      <c r="AX103" s="110"/>
      <c r="AY103" s="110"/>
      <c r="AZ103" s="110"/>
      <c r="BA103" s="110"/>
      <c r="BB103" s="110"/>
      <c r="BC103" s="110"/>
      <c r="BD103" s="110"/>
      <c r="BE103" s="110"/>
      <c r="BF103" s="110"/>
      <c r="BG103" s="110"/>
      <c r="BH103" s="110"/>
      <c r="BI103" s="110"/>
      <c r="BJ103" s="110"/>
      <c r="BK103" s="110"/>
      <c r="BL103" s="110"/>
      <c r="BM103" s="110"/>
      <c r="BN103" s="110"/>
      <c r="BO103" s="110"/>
      <c r="BP103" s="110"/>
      <c r="BQ103" s="110"/>
      <c r="BR103" s="110"/>
      <c r="BS103" s="110"/>
      <c r="BT103" s="110"/>
      <c r="BU103" s="110"/>
      <c r="BV103" s="110"/>
      <c r="BW103" s="110"/>
      <c r="BX103" s="110"/>
      <c r="BY103" s="110"/>
      <c r="BZ103" s="110"/>
      <c r="CA103" s="110"/>
      <c r="CB103" s="110"/>
      <c r="CC103" s="110"/>
      <c r="CD103" s="110"/>
      <c r="CE103" s="110"/>
      <c r="CF103" s="110"/>
    </row>
    <row r="104" spans="1:84" s="45" customFormat="1" x14ac:dyDescent="0.25">
      <c r="A104" t="str">
        <f>Funktional!A104</f>
        <v>Schurten</v>
      </c>
      <c r="B104" t="str">
        <f>Funktional!B104</f>
        <v>PSG</v>
      </c>
      <c r="C104">
        <v>0.1067</v>
      </c>
      <c r="D104">
        <v>2.3E-2</v>
      </c>
      <c r="E104" s="26">
        <f t="shared" si="36"/>
        <v>324499.75</v>
      </c>
      <c r="F104">
        <v>319895.8</v>
      </c>
      <c r="G104">
        <v>4603.95</v>
      </c>
      <c r="H104">
        <v>11798</v>
      </c>
      <c r="I104" s="42">
        <f t="shared" si="31"/>
        <v>3.6357501045840561E-2</v>
      </c>
      <c r="J104" s="80">
        <f t="shared" si="32"/>
        <v>4290</v>
      </c>
      <c r="K104" s="43">
        <f>J104*'KiGa - PS'!L105</f>
        <v>4290</v>
      </c>
      <c r="L104" s="42">
        <f>K104/Funktional!E104</f>
        <v>1.7108199792667759E-2</v>
      </c>
      <c r="M104">
        <v>50</v>
      </c>
      <c r="N104" s="43">
        <f>K104/Funktional!C104</f>
        <v>4290</v>
      </c>
      <c r="O104" s="44">
        <f>K104/Funktional!D104</f>
        <v>238.33333333333334</v>
      </c>
      <c r="P104">
        <v>575</v>
      </c>
      <c r="Q104">
        <v>0</v>
      </c>
      <c r="R104">
        <v>0</v>
      </c>
      <c r="S104" s="43">
        <f t="shared" si="33"/>
        <v>575</v>
      </c>
      <c r="T104">
        <v>2750</v>
      </c>
      <c r="U104">
        <v>0</v>
      </c>
      <c r="V104">
        <v>600</v>
      </c>
      <c r="W104" s="43">
        <f t="shared" si="34"/>
        <v>3350</v>
      </c>
      <c r="X104">
        <v>365</v>
      </c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  <c r="AO104" s="110"/>
      <c r="AP104" s="110"/>
      <c r="AQ104" s="110"/>
      <c r="AR104" s="110"/>
      <c r="AS104" s="110"/>
      <c r="AT104" s="110"/>
      <c r="AU104" s="110"/>
      <c r="AV104" s="110"/>
      <c r="AW104" s="110"/>
      <c r="AX104" s="110"/>
      <c r="AY104" s="110"/>
      <c r="AZ104" s="110"/>
      <c r="BA104" s="110"/>
      <c r="BB104" s="110"/>
      <c r="BC104" s="110"/>
      <c r="BD104" s="110"/>
      <c r="BE104" s="110"/>
      <c r="BF104" s="110"/>
      <c r="BG104" s="110"/>
      <c r="BH104" s="110"/>
      <c r="BI104" s="110"/>
      <c r="BJ104" s="110"/>
      <c r="BK104" s="110"/>
      <c r="BL104" s="110"/>
      <c r="BM104" s="110"/>
      <c r="BN104" s="110"/>
      <c r="BO104" s="110"/>
      <c r="BP104" s="110"/>
      <c r="BQ104" s="110"/>
      <c r="BR104" s="110"/>
      <c r="BS104" s="110"/>
      <c r="BT104" s="110"/>
      <c r="BU104" s="110"/>
      <c r="BV104" s="110"/>
      <c r="BW104" s="110"/>
      <c r="BX104" s="110"/>
      <c r="BY104" s="110"/>
      <c r="BZ104" s="110"/>
      <c r="CA104" s="110"/>
      <c r="CB104" s="110"/>
      <c r="CC104" s="110"/>
      <c r="CD104" s="110"/>
      <c r="CE104" s="110"/>
      <c r="CF104" s="110"/>
    </row>
    <row r="105" spans="1:84" s="45" customFormat="1" x14ac:dyDescent="0.25">
      <c r="A105" t="str">
        <f>Funktional!A105</f>
        <v>Sirnach</v>
      </c>
      <c r="B105" t="str">
        <f>Funktional!B105</f>
        <v>PSG</v>
      </c>
      <c r="C105">
        <v>5.6399999999999999E-2</v>
      </c>
      <c r="D105">
        <v>3.5000000000000001E-3</v>
      </c>
      <c r="E105" s="26">
        <f t="shared" si="36"/>
        <v>7241474.75</v>
      </c>
      <c r="F105">
        <v>4892895.95</v>
      </c>
      <c r="G105">
        <v>2348578.7999999998</v>
      </c>
      <c r="H105">
        <v>194662.2</v>
      </c>
      <c r="I105" s="42">
        <f t="shared" ref="I105:I120" si="37">H105/E105</f>
        <v>2.6881568564469552E-2</v>
      </c>
      <c r="J105" s="80">
        <f t="shared" ref="J105:J120" si="38">S105+W105+X105</f>
        <v>139150</v>
      </c>
      <c r="K105" s="43">
        <f>J105*'KiGa - PS'!L106</f>
        <v>115973.44176048166</v>
      </c>
      <c r="L105" s="42">
        <f>K105/Funktional!E105</f>
        <v>2.6949053236087442E-2</v>
      </c>
      <c r="M105">
        <v>65</v>
      </c>
      <c r="N105" s="43">
        <f>K105/Funktional!C105</f>
        <v>5271.5200800218936</v>
      </c>
      <c r="O105" s="44">
        <f>K105/Funktional!D105</f>
        <v>272.87868649525097</v>
      </c>
      <c r="P105">
        <v>36000</v>
      </c>
      <c r="Q105">
        <v>2400</v>
      </c>
      <c r="R105">
        <v>0</v>
      </c>
      <c r="S105" s="43">
        <f t="shared" ref="S105:S120" si="39">P105+Q105+R105</f>
        <v>38400</v>
      </c>
      <c r="T105">
        <v>88800</v>
      </c>
      <c r="U105">
        <v>0</v>
      </c>
      <c r="V105">
        <v>0</v>
      </c>
      <c r="W105" s="43">
        <f t="shared" ref="W105:W120" si="40">T105+U105+V105</f>
        <v>88800</v>
      </c>
      <c r="X105">
        <v>11950</v>
      </c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  <c r="AO105" s="110"/>
      <c r="AP105" s="110"/>
      <c r="AQ105" s="110"/>
      <c r="AR105" s="110"/>
      <c r="AS105" s="110"/>
      <c r="AT105" s="110"/>
      <c r="AU105" s="110"/>
      <c r="AV105" s="110"/>
      <c r="AW105" s="110"/>
      <c r="AX105" s="110"/>
      <c r="AY105" s="110"/>
      <c r="AZ105" s="110"/>
      <c r="BA105" s="110"/>
      <c r="BB105" s="110"/>
      <c r="BC105" s="110"/>
      <c r="BD105" s="110"/>
      <c r="BE105" s="110"/>
      <c r="BF105" s="110"/>
      <c r="BG105" s="110"/>
      <c r="BH105" s="110"/>
      <c r="BI105" s="110"/>
      <c r="BJ105" s="110"/>
      <c r="BK105" s="110"/>
      <c r="BL105" s="110"/>
      <c r="BM105" s="110"/>
      <c r="BN105" s="110"/>
      <c r="BO105" s="110"/>
      <c r="BP105" s="110"/>
      <c r="BQ105" s="110"/>
      <c r="BR105" s="110"/>
      <c r="BS105" s="110"/>
      <c r="BT105" s="110"/>
      <c r="BU105" s="110"/>
      <c r="BV105" s="110"/>
      <c r="BW105" s="110"/>
      <c r="BX105" s="110"/>
      <c r="BY105" s="110"/>
      <c r="BZ105" s="110"/>
      <c r="CA105" s="110"/>
      <c r="CB105" s="110"/>
      <c r="CC105" s="110"/>
      <c r="CD105" s="110"/>
      <c r="CE105" s="110"/>
      <c r="CF105" s="110"/>
    </row>
    <row r="106" spans="1:84" s="45" customFormat="1" x14ac:dyDescent="0.25">
      <c r="A106" t="str">
        <f>Funktional!A106</f>
        <v>Sitterdorf</v>
      </c>
      <c r="B106" t="str">
        <f>Funktional!B106</f>
        <v>PSG</v>
      </c>
      <c r="C106">
        <v>0.1903</v>
      </c>
      <c r="D106">
        <v>0.1056</v>
      </c>
      <c r="E106" s="26">
        <f t="shared" si="36"/>
        <v>3357408.2800000003</v>
      </c>
      <c r="F106">
        <v>2238000</v>
      </c>
      <c r="G106">
        <v>1119408.28</v>
      </c>
      <c r="H106">
        <v>19957.05</v>
      </c>
      <c r="I106" s="42">
        <f t="shared" si="37"/>
        <v>5.9441832317158631E-3</v>
      </c>
      <c r="J106" s="80">
        <f t="shared" si="38"/>
        <v>19200</v>
      </c>
      <c r="K106" s="43">
        <f>J106*'KiGa - PS'!L107</f>
        <v>15389.118378217718</v>
      </c>
      <c r="L106" s="42">
        <f>K106/Funktional!E106</f>
        <v>1.2700554825060507E-2</v>
      </c>
      <c r="M106">
        <v>80</v>
      </c>
      <c r="N106" s="43">
        <f>K106/Funktional!C106</f>
        <v>3077.8236756435435</v>
      </c>
      <c r="O106" s="44">
        <f>K106/Funktional!D106</f>
        <v>183.20379021687759</v>
      </c>
      <c r="P106">
        <v>4800</v>
      </c>
      <c r="Q106">
        <v>1200</v>
      </c>
      <c r="R106">
        <v>1200</v>
      </c>
      <c r="S106" s="43">
        <f t="shared" si="39"/>
        <v>7200</v>
      </c>
      <c r="T106">
        <v>9600</v>
      </c>
      <c r="U106">
        <v>1200</v>
      </c>
      <c r="V106">
        <v>1200</v>
      </c>
      <c r="W106" s="43">
        <f t="shared" si="40"/>
        <v>12000</v>
      </c>
      <c r="X106">
        <v>0</v>
      </c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  <c r="AO106" s="110"/>
      <c r="AP106" s="110"/>
      <c r="AQ106" s="110"/>
      <c r="AR106" s="110"/>
      <c r="AS106" s="110"/>
      <c r="AT106" s="110"/>
      <c r="AU106" s="110"/>
      <c r="AV106" s="110"/>
      <c r="AW106" s="110"/>
      <c r="AX106" s="110"/>
      <c r="AY106" s="110"/>
      <c r="AZ106" s="110"/>
      <c r="BA106" s="110"/>
      <c r="BB106" s="110"/>
      <c r="BC106" s="110"/>
      <c r="BD106" s="110"/>
      <c r="BE106" s="110"/>
      <c r="BF106" s="110"/>
      <c r="BG106" s="110"/>
      <c r="BH106" s="110"/>
      <c r="BI106" s="110"/>
      <c r="BJ106" s="110"/>
      <c r="BK106" s="110"/>
      <c r="BL106" s="110"/>
      <c r="BM106" s="110"/>
      <c r="BN106" s="110"/>
      <c r="BO106" s="110"/>
      <c r="BP106" s="110"/>
      <c r="BQ106" s="110"/>
      <c r="BR106" s="110"/>
      <c r="BS106" s="110"/>
      <c r="BT106" s="110"/>
      <c r="BU106" s="110"/>
      <c r="BV106" s="110"/>
      <c r="BW106" s="110"/>
      <c r="BX106" s="110"/>
      <c r="BY106" s="110"/>
      <c r="BZ106" s="110"/>
      <c r="CA106" s="110"/>
      <c r="CB106" s="110"/>
      <c r="CC106" s="110"/>
      <c r="CD106" s="110"/>
      <c r="CE106" s="110"/>
      <c r="CF106" s="110"/>
    </row>
    <row r="107" spans="1:84" s="45" customFormat="1" x14ac:dyDescent="0.25">
      <c r="A107" t="str">
        <f>Funktional!A107</f>
        <v>Sommeri</v>
      </c>
      <c r="B107" t="str">
        <f>Funktional!B107</f>
        <v>PSG</v>
      </c>
      <c r="C107">
        <v>0.15310000000000001</v>
      </c>
      <c r="D107">
        <v>8.8200000000000001E-2</v>
      </c>
      <c r="E107" s="26">
        <f t="shared" si="36"/>
        <v>1990263.2000000002</v>
      </c>
      <c r="F107">
        <v>960062.8</v>
      </c>
      <c r="G107">
        <v>1030200.4</v>
      </c>
      <c r="H107">
        <v>57453.65</v>
      </c>
      <c r="I107" s="42">
        <f t="shared" si="37"/>
        <v>2.8867362869393353E-2</v>
      </c>
      <c r="J107" s="80">
        <f t="shared" si="38"/>
        <v>13532</v>
      </c>
      <c r="K107" s="43">
        <f>J107*'KiGa - PS'!L108</f>
        <v>10452.627889202031</v>
      </c>
      <c r="L107" s="42">
        <f>K107/Funktional!E107</f>
        <v>2.2331435166845045E-2</v>
      </c>
      <c r="M107">
        <v>60</v>
      </c>
      <c r="N107" s="43">
        <f>K107/Funktional!C107</f>
        <v>5226.3139446010155</v>
      </c>
      <c r="O107" s="44">
        <f>K107/Funktional!D107</f>
        <v>209.05255778404063</v>
      </c>
      <c r="P107">
        <v>3000</v>
      </c>
      <c r="Q107">
        <v>200</v>
      </c>
      <c r="R107">
        <v>0</v>
      </c>
      <c r="S107" s="43">
        <f t="shared" si="39"/>
        <v>3200</v>
      </c>
      <c r="T107">
        <v>8182</v>
      </c>
      <c r="U107">
        <v>0</v>
      </c>
      <c r="V107">
        <v>400</v>
      </c>
      <c r="W107" s="43">
        <f t="shared" si="40"/>
        <v>8582</v>
      </c>
      <c r="X107">
        <v>1750</v>
      </c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  <c r="AO107" s="110"/>
      <c r="AP107" s="110"/>
      <c r="AQ107" s="110"/>
      <c r="AR107" s="110"/>
      <c r="AS107" s="110"/>
      <c r="AT107" s="110"/>
      <c r="AU107" s="110"/>
      <c r="AV107" s="110"/>
      <c r="AW107" s="110"/>
      <c r="AX107" s="110"/>
      <c r="AY107" s="110"/>
      <c r="AZ107" s="110"/>
      <c r="BA107" s="110"/>
      <c r="BB107" s="110"/>
      <c r="BC107" s="110"/>
      <c r="BD107" s="110"/>
      <c r="BE107" s="110"/>
      <c r="BF107" s="110"/>
      <c r="BG107" s="110"/>
      <c r="BH107" s="110"/>
      <c r="BI107" s="110"/>
      <c r="BJ107" s="110"/>
      <c r="BK107" s="110"/>
      <c r="BL107" s="110"/>
      <c r="BM107" s="110"/>
      <c r="BN107" s="110"/>
      <c r="BO107" s="110"/>
      <c r="BP107" s="110"/>
      <c r="BQ107" s="110"/>
      <c r="BR107" s="110"/>
      <c r="BS107" s="110"/>
      <c r="BT107" s="110"/>
      <c r="BU107" s="110"/>
      <c r="BV107" s="110"/>
      <c r="BW107" s="110"/>
      <c r="BX107" s="110"/>
      <c r="BY107" s="110"/>
      <c r="BZ107" s="110"/>
      <c r="CA107" s="110"/>
      <c r="CB107" s="110"/>
      <c r="CC107" s="110"/>
      <c r="CD107" s="110"/>
      <c r="CE107" s="110"/>
      <c r="CF107" s="110"/>
    </row>
    <row r="108" spans="1:84" s="45" customFormat="1" x14ac:dyDescent="0.25">
      <c r="A108" t="str">
        <f>Funktional!A108</f>
        <v>Sonterswil</v>
      </c>
      <c r="B108" t="str">
        <f>Funktional!B108</f>
        <v>PSG</v>
      </c>
      <c r="C108">
        <v>0.1439</v>
      </c>
      <c r="D108">
        <v>8.1799999999999998E-2</v>
      </c>
      <c r="E108" s="26">
        <f t="shared" si="36"/>
        <v>1272247.2</v>
      </c>
      <c r="F108">
        <v>892107</v>
      </c>
      <c r="G108">
        <v>380140.2</v>
      </c>
      <c r="H108">
        <v>26438.799999999999</v>
      </c>
      <c r="I108" s="42">
        <f t="shared" si="37"/>
        <v>2.0781181518811753E-2</v>
      </c>
      <c r="J108" s="80">
        <f t="shared" si="38"/>
        <v>12290</v>
      </c>
      <c r="K108" s="43">
        <f>J108*'KiGa - PS'!L109</f>
        <v>10088.279184391329</v>
      </c>
      <c r="L108" s="42">
        <f>K108/Funktional!E108</f>
        <v>1.585098270611356E-2</v>
      </c>
      <c r="M108">
        <v>50</v>
      </c>
      <c r="N108" s="43">
        <f>K108/Funktional!C108</f>
        <v>3362.7597281304429</v>
      </c>
      <c r="O108" s="44">
        <f>K108/Funktional!D108</f>
        <v>155.20429514448199</v>
      </c>
      <c r="P108">
        <v>2000</v>
      </c>
      <c r="Q108">
        <v>500</v>
      </c>
      <c r="R108">
        <v>0</v>
      </c>
      <c r="S108" s="43">
        <f t="shared" si="39"/>
        <v>2500</v>
      </c>
      <c r="T108">
        <v>7600</v>
      </c>
      <c r="U108">
        <v>500</v>
      </c>
      <c r="V108">
        <v>500</v>
      </c>
      <c r="W108" s="43">
        <f t="shared" si="40"/>
        <v>8600</v>
      </c>
      <c r="X108">
        <v>1190</v>
      </c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  <c r="AO108" s="110"/>
      <c r="AP108" s="110"/>
      <c r="AQ108" s="110"/>
      <c r="AR108" s="110"/>
      <c r="AS108" s="110"/>
      <c r="AT108" s="110"/>
      <c r="AU108" s="110"/>
      <c r="AV108" s="110"/>
      <c r="AW108" s="110"/>
      <c r="AX108" s="110"/>
      <c r="AY108" s="110"/>
      <c r="AZ108" s="110"/>
      <c r="BA108" s="110"/>
      <c r="BB108" s="110"/>
      <c r="BC108" s="110"/>
      <c r="BD108" s="110"/>
      <c r="BE108" s="110"/>
      <c r="BF108" s="110"/>
      <c r="BG108" s="110"/>
      <c r="BH108" s="110"/>
      <c r="BI108" s="110"/>
      <c r="BJ108" s="110"/>
      <c r="BK108" s="110"/>
      <c r="BL108" s="110"/>
      <c r="BM108" s="110"/>
      <c r="BN108" s="110"/>
      <c r="BO108" s="110"/>
      <c r="BP108" s="110"/>
      <c r="BQ108" s="110"/>
      <c r="BR108" s="110"/>
      <c r="BS108" s="110"/>
      <c r="BT108" s="110"/>
      <c r="BU108" s="110"/>
      <c r="BV108" s="110"/>
      <c r="BW108" s="110"/>
      <c r="BX108" s="110"/>
      <c r="BY108" s="110"/>
      <c r="BZ108" s="110"/>
      <c r="CA108" s="110"/>
      <c r="CB108" s="110"/>
      <c r="CC108" s="110"/>
      <c r="CD108" s="110"/>
      <c r="CE108" s="110"/>
      <c r="CF108" s="110"/>
    </row>
    <row r="109" spans="1:84" s="45" customFormat="1" x14ac:dyDescent="0.25">
      <c r="A109" t="str">
        <f>Funktional!A109</f>
        <v>Steckborn</v>
      </c>
      <c r="B109" t="str">
        <f>Funktional!B109</f>
        <v>PSG</v>
      </c>
      <c r="C109">
        <v>7.4700000000000003E-2</v>
      </c>
      <c r="D109">
        <v>3.4099999999999998E-2</v>
      </c>
      <c r="E109" s="26">
        <f t="shared" ref="E109:E110" si="41">F109+G109</f>
        <v>4678965.5</v>
      </c>
      <c r="F109">
        <v>2562370.6</v>
      </c>
      <c r="G109">
        <v>2116594.9</v>
      </c>
      <c r="H109">
        <v>21918.65</v>
      </c>
      <c r="I109" s="42">
        <f t="shared" si="37"/>
        <v>4.6845077186399436E-3</v>
      </c>
      <c r="J109" s="80">
        <f t="shared" si="38"/>
        <v>107788</v>
      </c>
      <c r="K109" s="43">
        <f>J109*'KiGa - PS'!L110</f>
        <v>90351.10305680921</v>
      </c>
      <c r="L109" s="42">
        <f>K109/Funktional!E109</f>
        <v>2.7818913245177736E-2</v>
      </c>
      <c r="M109">
        <v>70</v>
      </c>
      <c r="N109" s="43">
        <f>K109/Funktional!C109</f>
        <v>6453.650218343515</v>
      </c>
      <c r="O109" s="44">
        <f>K109/Funktional!D109</f>
        <v>291.45517115099744</v>
      </c>
      <c r="P109">
        <v>44564</v>
      </c>
      <c r="Q109">
        <v>0</v>
      </c>
      <c r="R109">
        <v>1500</v>
      </c>
      <c r="S109" s="43">
        <f t="shared" si="39"/>
        <v>46064</v>
      </c>
      <c r="T109">
        <v>41954</v>
      </c>
      <c r="U109">
        <v>0</v>
      </c>
      <c r="V109">
        <v>1770</v>
      </c>
      <c r="W109" s="43">
        <f t="shared" si="40"/>
        <v>43724</v>
      </c>
      <c r="X109">
        <v>18000</v>
      </c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  <c r="AU109" s="110"/>
      <c r="AV109" s="110"/>
      <c r="AW109" s="110"/>
      <c r="AX109" s="110"/>
      <c r="AY109" s="110"/>
      <c r="AZ109" s="110"/>
      <c r="BA109" s="110"/>
      <c r="BB109" s="110"/>
      <c r="BC109" s="110"/>
      <c r="BD109" s="110"/>
      <c r="BE109" s="110"/>
      <c r="BF109" s="110"/>
      <c r="BG109" s="110"/>
      <c r="BH109" s="110"/>
      <c r="BI109" s="110"/>
      <c r="BJ109" s="110"/>
      <c r="BK109" s="110"/>
      <c r="BL109" s="110"/>
      <c r="BM109" s="110"/>
      <c r="BN109" s="110"/>
      <c r="BO109" s="110"/>
      <c r="BP109" s="110"/>
      <c r="BQ109" s="110"/>
      <c r="BR109" s="110"/>
      <c r="BS109" s="110"/>
      <c r="BT109" s="110"/>
      <c r="BU109" s="110"/>
      <c r="BV109" s="110"/>
      <c r="BW109" s="110"/>
      <c r="BX109" s="110"/>
      <c r="BY109" s="110"/>
      <c r="BZ109" s="110"/>
      <c r="CA109" s="110"/>
      <c r="CB109" s="110"/>
      <c r="CC109" s="110"/>
      <c r="CD109" s="110"/>
      <c r="CE109" s="110"/>
      <c r="CF109" s="110"/>
    </row>
    <row r="110" spans="1:84" s="45" customFormat="1" x14ac:dyDescent="0.25">
      <c r="A110" t="str">
        <f>Funktional!A110</f>
        <v>Steinebrunn</v>
      </c>
      <c r="B110" t="str">
        <f>Funktional!B110</f>
        <v>PSG</v>
      </c>
      <c r="C110">
        <v>0.1062</v>
      </c>
      <c r="D110">
        <v>6.4799999999999996E-2</v>
      </c>
      <c r="E110" s="26">
        <f t="shared" si="41"/>
        <v>925995.8</v>
      </c>
      <c r="F110">
        <v>895508</v>
      </c>
      <c r="G110">
        <v>30487.8</v>
      </c>
      <c r="H110">
        <v>280.45</v>
      </c>
      <c r="I110" s="42">
        <f t="shared" si="37"/>
        <v>3.0286314473564562E-4</v>
      </c>
      <c r="J110" s="80">
        <f t="shared" si="38"/>
        <v>10999</v>
      </c>
      <c r="K110" s="43">
        <f>J110*'KiGa - PS'!L111</f>
        <v>9087.9584079884917</v>
      </c>
      <c r="L110" s="42">
        <f>K110/Funktional!E110</f>
        <v>1.5105544135717797E-2</v>
      </c>
      <c r="M110">
        <v>60</v>
      </c>
      <c r="N110" s="43">
        <f>K110/Funktional!C110</f>
        <v>3029.3194693294972</v>
      </c>
      <c r="O110" s="44">
        <f>K110/Funktional!D110</f>
        <v>141.99935012482018</v>
      </c>
      <c r="P110">
        <v>1999</v>
      </c>
      <c r="Q110">
        <v>0</v>
      </c>
      <c r="R110">
        <v>0</v>
      </c>
      <c r="S110" s="43">
        <f t="shared" si="39"/>
        <v>1999</v>
      </c>
      <c r="T110">
        <v>7200</v>
      </c>
      <c r="U110">
        <v>0</v>
      </c>
      <c r="V110">
        <v>1800</v>
      </c>
      <c r="W110" s="43">
        <f t="shared" si="40"/>
        <v>9000</v>
      </c>
      <c r="X110">
        <v>0</v>
      </c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  <c r="AO110" s="110"/>
      <c r="AP110" s="110"/>
      <c r="AQ110" s="110"/>
      <c r="AR110" s="110"/>
      <c r="AS110" s="110"/>
      <c r="AT110" s="110"/>
      <c r="AU110" s="110"/>
      <c r="AV110" s="110"/>
      <c r="AW110" s="110"/>
      <c r="AX110" s="110"/>
      <c r="AY110" s="110"/>
      <c r="AZ110" s="110"/>
      <c r="BA110" s="110"/>
      <c r="BB110" s="110"/>
      <c r="BC110" s="110"/>
      <c r="BD110" s="110"/>
      <c r="BE110" s="110"/>
      <c r="BF110" s="110"/>
      <c r="BG110" s="110"/>
      <c r="BH110" s="110"/>
      <c r="BI110" s="110"/>
      <c r="BJ110" s="110"/>
      <c r="BK110" s="110"/>
      <c r="BL110" s="110"/>
      <c r="BM110" s="110"/>
      <c r="BN110" s="110"/>
      <c r="BO110" s="110"/>
      <c r="BP110" s="110"/>
      <c r="BQ110" s="110"/>
      <c r="BR110" s="110"/>
      <c r="BS110" s="110"/>
      <c r="BT110" s="110"/>
      <c r="BU110" s="110"/>
      <c r="BV110" s="110"/>
      <c r="BW110" s="110"/>
      <c r="BX110" s="110"/>
      <c r="BY110" s="110"/>
      <c r="BZ110" s="110"/>
      <c r="CA110" s="110"/>
      <c r="CB110" s="110"/>
      <c r="CC110" s="110"/>
      <c r="CD110" s="110"/>
      <c r="CE110" s="110"/>
      <c r="CF110" s="110"/>
    </row>
    <row r="111" spans="1:84" s="45" customFormat="1" x14ac:dyDescent="0.25">
      <c r="A111" t="str">
        <f>Funktional!A111</f>
        <v>Stettfurt</v>
      </c>
      <c r="B111" t="str">
        <f>Funktional!B111</f>
        <v>PSG</v>
      </c>
      <c r="C111">
        <v>0.1167</v>
      </c>
      <c r="D111">
        <v>5.28E-2</v>
      </c>
      <c r="E111" s="26">
        <f t="shared" ref="E111:E126" si="42">F111+G111</f>
        <v>2051749.25</v>
      </c>
      <c r="F111">
        <v>1375801.9</v>
      </c>
      <c r="G111">
        <v>675947.35</v>
      </c>
      <c r="H111">
        <v>30511.25</v>
      </c>
      <c r="I111" s="42">
        <f t="shared" si="37"/>
        <v>1.4870847400090434E-2</v>
      </c>
      <c r="J111" s="80">
        <f t="shared" si="38"/>
        <v>19360</v>
      </c>
      <c r="K111" s="43">
        <f>J111*'KiGa - PS'!L112</f>
        <v>14638.078066807046</v>
      </c>
      <c r="L111" s="42">
        <f>K111/Funktional!E111</f>
        <v>1.77311711745376E-2</v>
      </c>
      <c r="M111">
        <v>52</v>
      </c>
      <c r="N111" s="43">
        <f>K111/Funktional!C111</f>
        <v>3659.5195167017614</v>
      </c>
      <c r="O111" s="44">
        <f>K111/Funktional!D111</f>
        <v>155.72423475326644</v>
      </c>
      <c r="P111">
        <v>3800</v>
      </c>
      <c r="Q111">
        <v>1380</v>
      </c>
      <c r="R111">
        <v>0</v>
      </c>
      <c r="S111" s="43">
        <f t="shared" si="39"/>
        <v>5180</v>
      </c>
      <c r="T111">
        <v>7600</v>
      </c>
      <c r="U111">
        <v>1380</v>
      </c>
      <c r="V111">
        <v>0</v>
      </c>
      <c r="W111" s="43">
        <f t="shared" si="40"/>
        <v>8980</v>
      </c>
      <c r="X111">
        <v>5200</v>
      </c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0"/>
      <c r="BH111" s="110"/>
      <c r="BI111" s="110"/>
      <c r="BJ111" s="110"/>
      <c r="BK111" s="110"/>
      <c r="BL111" s="110"/>
      <c r="BM111" s="110"/>
      <c r="BN111" s="110"/>
      <c r="BO111" s="110"/>
      <c r="BP111" s="110"/>
      <c r="BQ111" s="110"/>
      <c r="BR111" s="110"/>
      <c r="BS111" s="110"/>
      <c r="BT111" s="110"/>
      <c r="BU111" s="110"/>
      <c r="BV111" s="110"/>
      <c r="BW111" s="110"/>
      <c r="BX111" s="110"/>
      <c r="BY111" s="110"/>
      <c r="BZ111" s="110"/>
      <c r="CA111" s="110"/>
      <c r="CB111" s="110"/>
      <c r="CC111" s="110"/>
      <c r="CD111" s="110"/>
      <c r="CE111" s="110"/>
      <c r="CF111" s="110"/>
    </row>
    <row r="112" spans="1:84" s="45" customFormat="1" x14ac:dyDescent="0.25">
      <c r="A112" t="str">
        <f>Funktional!A112</f>
        <v>Strohwilen-Wolfikon</v>
      </c>
      <c r="B112" t="str">
        <f>Funktional!B112</f>
        <v>PSG</v>
      </c>
      <c r="C112">
        <v>0.1027</v>
      </c>
      <c r="D112">
        <v>1.4500000000000001E-2</v>
      </c>
      <c r="E112" s="26">
        <f t="shared" si="42"/>
        <v>624975.65</v>
      </c>
      <c r="F112">
        <v>530934</v>
      </c>
      <c r="G112">
        <v>94041.65</v>
      </c>
      <c r="H112">
        <v>19423.3</v>
      </c>
      <c r="I112" s="42">
        <f t="shared" si="37"/>
        <v>3.1078490818002267E-2</v>
      </c>
      <c r="J112" s="80">
        <f t="shared" si="38"/>
        <v>8000</v>
      </c>
      <c r="K112" s="43">
        <f>J112*'KiGa - PS'!L113</f>
        <v>5811.9714427700092</v>
      </c>
      <c r="L112" s="42">
        <f>K112/Funktional!E112</f>
        <v>2.4063410696697408E-2</v>
      </c>
      <c r="M112">
        <v>50</v>
      </c>
      <c r="N112" s="43">
        <f>K112/Funktional!C112</f>
        <v>5811.9714427700092</v>
      </c>
      <c r="O112" s="44">
        <f>K112/Funktional!D112</f>
        <v>290.59857213850046</v>
      </c>
      <c r="P112">
        <v>1100</v>
      </c>
      <c r="Q112">
        <v>0</v>
      </c>
      <c r="R112">
        <v>600</v>
      </c>
      <c r="S112" s="43">
        <f t="shared" si="39"/>
        <v>1700</v>
      </c>
      <c r="T112">
        <v>3500</v>
      </c>
      <c r="U112">
        <v>0</v>
      </c>
      <c r="V112">
        <v>1800</v>
      </c>
      <c r="W112" s="43">
        <f t="shared" si="40"/>
        <v>5300</v>
      </c>
      <c r="X112">
        <v>1000</v>
      </c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  <c r="AO112" s="110"/>
      <c r="AP112" s="110"/>
      <c r="AQ112" s="110"/>
      <c r="AR112" s="110"/>
      <c r="AS112" s="110"/>
      <c r="AT112" s="110"/>
      <c r="AU112" s="110"/>
      <c r="AV112" s="110"/>
      <c r="AW112" s="110"/>
      <c r="AX112" s="110"/>
      <c r="AY112" s="110"/>
      <c r="AZ112" s="110"/>
      <c r="BA112" s="110"/>
      <c r="BB112" s="110"/>
      <c r="BC112" s="110"/>
      <c r="BD112" s="110"/>
      <c r="BE112" s="110"/>
      <c r="BF112" s="110"/>
      <c r="BG112" s="110"/>
      <c r="BH112" s="110"/>
      <c r="BI112" s="110"/>
      <c r="BJ112" s="110"/>
      <c r="BK112" s="110"/>
      <c r="BL112" s="110"/>
      <c r="BM112" s="110"/>
      <c r="BN112" s="110"/>
      <c r="BO112" s="110"/>
      <c r="BP112" s="110"/>
      <c r="BQ112" s="110"/>
      <c r="BR112" s="110"/>
      <c r="BS112" s="110"/>
      <c r="BT112" s="110"/>
      <c r="BU112" s="110"/>
      <c r="BV112" s="110"/>
      <c r="BW112" s="110"/>
      <c r="BX112" s="110"/>
      <c r="BY112" s="110"/>
      <c r="BZ112" s="110"/>
      <c r="CA112" s="110"/>
      <c r="CB112" s="110"/>
      <c r="CC112" s="110"/>
      <c r="CD112" s="110"/>
      <c r="CE112" s="110"/>
      <c r="CF112" s="110"/>
    </row>
    <row r="113" spans="1:84" s="45" customFormat="1" x14ac:dyDescent="0.25">
      <c r="A113" t="str">
        <f>Funktional!A113</f>
        <v>Sulgen</v>
      </c>
      <c r="B113" t="str">
        <f>Funktional!B113</f>
        <v>PSG</v>
      </c>
      <c r="C113">
        <v>9.6699999999999994E-2</v>
      </c>
      <c r="D113">
        <v>4.4499999999999998E-2</v>
      </c>
      <c r="E113" s="26">
        <f t="shared" si="42"/>
        <v>4072924.87</v>
      </c>
      <c r="F113">
        <v>3460844.45</v>
      </c>
      <c r="G113">
        <v>612080.42000000004</v>
      </c>
      <c r="H113">
        <v>13279.5</v>
      </c>
      <c r="I113" s="42">
        <f t="shared" si="37"/>
        <v>3.2604333308019011E-3</v>
      </c>
      <c r="J113" s="80">
        <f t="shared" si="38"/>
        <v>61600</v>
      </c>
      <c r="K113" s="43">
        <f>J113*'KiGa - PS'!L114</f>
        <v>52149.287264241713</v>
      </c>
      <c r="L113" s="42">
        <f>K113/Funktional!E113</f>
        <v>1.7824029978166577E-2</v>
      </c>
      <c r="M113">
        <v>60</v>
      </c>
      <c r="N113" s="43">
        <f>K113/Funktional!C113</f>
        <v>3476.6191509494474</v>
      </c>
      <c r="O113" s="44">
        <f>K113/Funktional!D113</f>
        <v>203.70815337594419</v>
      </c>
      <c r="P113">
        <v>14000</v>
      </c>
      <c r="Q113">
        <v>2600</v>
      </c>
      <c r="R113">
        <v>3000</v>
      </c>
      <c r="S113" s="43">
        <f t="shared" si="39"/>
        <v>19600</v>
      </c>
      <c r="T113">
        <v>38000</v>
      </c>
      <c r="U113">
        <v>1600</v>
      </c>
      <c r="V113">
        <v>2400</v>
      </c>
      <c r="W113" s="43">
        <f t="shared" si="40"/>
        <v>42000</v>
      </c>
      <c r="X113">
        <v>0</v>
      </c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0"/>
      <c r="BH113" s="110"/>
      <c r="BI113" s="110"/>
      <c r="BJ113" s="110"/>
      <c r="BK113" s="110"/>
      <c r="BL113" s="110"/>
      <c r="BM113" s="110"/>
      <c r="BN113" s="110"/>
      <c r="BO113" s="110"/>
      <c r="BP113" s="110"/>
      <c r="BQ113" s="110"/>
      <c r="BR113" s="110"/>
      <c r="BS113" s="110"/>
      <c r="BT113" s="110"/>
      <c r="BU113" s="110"/>
      <c r="BV113" s="110"/>
      <c r="BW113" s="110"/>
      <c r="BX113" s="110"/>
      <c r="BY113" s="110"/>
      <c r="BZ113" s="110"/>
      <c r="CA113" s="110"/>
      <c r="CB113" s="110"/>
      <c r="CC113" s="110"/>
      <c r="CD113" s="110"/>
      <c r="CE113" s="110"/>
      <c r="CF113" s="110"/>
    </row>
    <row r="114" spans="1:84" s="45" customFormat="1" x14ac:dyDescent="0.25">
      <c r="A114" t="str">
        <f>Funktional!A114</f>
        <v>Tägerwilen</v>
      </c>
      <c r="B114" t="str">
        <f>Funktional!B114</f>
        <v>PSG</v>
      </c>
      <c r="C114">
        <v>0.17699999999999999</v>
      </c>
      <c r="D114">
        <v>8.14E-2</v>
      </c>
      <c r="E114" s="26">
        <f t="shared" si="42"/>
        <v>8902566.75</v>
      </c>
      <c r="F114">
        <v>5608601</v>
      </c>
      <c r="G114">
        <v>3293965.75</v>
      </c>
      <c r="H114">
        <v>25997.9</v>
      </c>
      <c r="I114" s="42">
        <f t="shared" si="37"/>
        <v>2.920270156918509E-3</v>
      </c>
      <c r="J114" s="80">
        <f t="shared" si="38"/>
        <v>58410</v>
      </c>
      <c r="K114" s="43">
        <f>J114*'KiGa - PS'!L115</f>
        <v>46428.254279853019</v>
      </c>
      <c r="L114" s="42">
        <f>K114/Funktional!E114</f>
        <v>1.6368092134788449E-2</v>
      </c>
      <c r="M114">
        <v>60</v>
      </c>
      <c r="N114" s="43">
        <f>K114/Funktional!C114</f>
        <v>3439.1299466557793</v>
      </c>
      <c r="O114" s="44">
        <f>K114/Funktional!D114</f>
        <v>154.76084759951007</v>
      </c>
      <c r="P114">
        <v>15600</v>
      </c>
      <c r="Q114">
        <v>0</v>
      </c>
      <c r="R114">
        <v>1510</v>
      </c>
      <c r="S114" s="43">
        <f t="shared" si="39"/>
        <v>17110</v>
      </c>
      <c r="T114">
        <v>38400</v>
      </c>
      <c r="U114">
        <v>0</v>
      </c>
      <c r="V114">
        <v>2900</v>
      </c>
      <c r="W114" s="43">
        <f t="shared" si="40"/>
        <v>41300</v>
      </c>
      <c r="X114">
        <v>0</v>
      </c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  <c r="AO114" s="110"/>
      <c r="AP114" s="110"/>
      <c r="AQ114" s="110"/>
      <c r="AR114" s="110"/>
      <c r="AS114" s="110"/>
      <c r="AT114" s="110"/>
      <c r="AU114" s="110"/>
      <c r="AV114" s="110"/>
      <c r="AW114" s="110"/>
      <c r="AX114" s="110"/>
      <c r="AY114" s="110"/>
      <c r="AZ114" s="110"/>
      <c r="BA114" s="110"/>
      <c r="BB114" s="110"/>
      <c r="BC114" s="110"/>
      <c r="BD114" s="110"/>
      <c r="BE114" s="110"/>
      <c r="BF114" s="110"/>
      <c r="BG114" s="110"/>
      <c r="BH114" s="110"/>
      <c r="BI114" s="110"/>
      <c r="BJ114" s="110"/>
      <c r="BK114" s="110"/>
      <c r="BL114" s="110"/>
      <c r="BM114" s="110"/>
      <c r="BN114" s="110"/>
      <c r="BO114" s="110"/>
      <c r="BP114" s="110"/>
      <c r="BQ114" s="110"/>
      <c r="BR114" s="110"/>
      <c r="BS114" s="110"/>
      <c r="BT114" s="110"/>
      <c r="BU114" s="110"/>
      <c r="BV114" s="110"/>
      <c r="BW114" s="110"/>
      <c r="BX114" s="110"/>
      <c r="BY114" s="110"/>
      <c r="BZ114" s="110"/>
      <c r="CA114" s="110"/>
      <c r="CB114" s="110"/>
      <c r="CC114" s="110"/>
      <c r="CD114" s="110"/>
      <c r="CE114" s="110"/>
      <c r="CF114" s="110"/>
    </row>
    <row r="115" spans="1:84" s="45" customFormat="1" x14ac:dyDescent="0.25">
      <c r="A115" t="str">
        <f>Funktional!A115</f>
        <v>Thundorf</v>
      </c>
      <c r="B115" t="str">
        <f>Funktional!B115</f>
        <v>PSG</v>
      </c>
      <c r="C115">
        <v>0.17649999999999999</v>
      </c>
      <c r="D115">
        <v>7.22E-2</v>
      </c>
      <c r="E115" s="26">
        <f t="shared" si="42"/>
        <v>3356139.05</v>
      </c>
      <c r="F115">
        <v>2700400</v>
      </c>
      <c r="G115">
        <v>655739.05000000005</v>
      </c>
      <c r="H115">
        <v>104728.5</v>
      </c>
      <c r="I115" s="42">
        <f t="shared" si="37"/>
        <v>3.1205053914556968E-2</v>
      </c>
      <c r="J115" s="80">
        <f t="shared" si="38"/>
        <v>28700</v>
      </c>
      <c r="K115" s="43">
        <f>J115*'KiGa - PS'!L116</f>
        <v>23950.244711184267</v>
      </c>
      <c r="L115" s="42">
        <f>K115/Funktional!E115</f>
        <v>1.8138908086777754E-2</v>
      </c>
      <c r="M115">
        <v>60</v>
      </c>
      <c r="N115" s="43">
        <f>K115/Funktional!C115</f>
        <v>4790.0489422368537</v>
      </c>
      <c r="O115" s="44">
        <f>K115/Funktional!D115</f>
        <v>234.80632069788496</v>
      </c>
      <c r="P115">
        <v>6000</v>
      </c>
      <c r="Q115">
        <v>4000</v>
      </c>
      <c r="R115">
        <v>500</v>
      </c>
      <c r="S115" s="43">
        <f t="shared" si="39"/>
        <v>10500</v>
      </c>
      <c r="T115">
        <v>10000</v>
      </c>
      <c r="U115">
        <v>3500</v>
      </c>
      <c r="V115">
        <v>1000</v>
      </c>
      <c r="W115" s="43">
        <f t="shared" si="40"/>
        <v>14500</v>
      </c>
      <c r="X115">
        <v>3700</v>
      </c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  <c r="AO115" s="110"/>
      <c r="AP115" s="110"/>
      <c r="AQ115" s="110"/>
      <c r="AR115" s="110"/>
      <c r="AS115" s="110"/>
      <c r="AT115" s="110"/>
      <c r="AU115" s="110"/>
      <c r="AV115" s="110"/>
      <c r="AW115" s="110"/>
      <c r="AX115" s="110"/>
      <c r="AY115" s="110"/>
      <c r="AZ115" s="110"/>
      <c r="BA115" s="110"/>
      <c r="BB115" s="110"/>
      <c r="BC115" s="110"/>
      <c r="BD115" s="110"/>
      <c r="BE115" s="110"/>
      <c r="BF115" s="110"/>
      <c r="BG115" s="110"/>
      <c r="BH115" s="110"/>
      <c r="BI115" s="110"/>
      <c r="BJ115" s="110"/>
      <c r="BK115" s="110"/>
      <c r="BL115" s="110"/>
      <c r="BM115" s="110"/>
      <c r="BN115" s="110"/>
      <c r="BO115" s="110"/>
      <c r="BP115" s="110"/>
      <c r="BQ115" s="110"/>
      <c r="BR115" s="110"/>
      <c r="BS115" s="110"/>
      <c r="BT115" s="110"/>
      <c r="BU115" s="110"/>
      <c r="BV115" s="110"/>
      <c r="BW115" s="110"/>
      <c r="BX115" s="110"/>
      <c r="BY115" s="110"/>
      <c r="BZ115" s="110"/>
      <c r="CA115" s="110"/>
      <c r="CB115" s="110"/>
      <c r="CC115" s="110"/>
      <c r="CD115" s="110"/>
      <c r="CE115" s="110"/>
      <c r="CF115" s="110"/>
    </row>
    <row r="116" spans="1:84" s="45" customFormat="1" x14ac:dyDescent="0.25">
      <c r="A116" t="str">
        <f>Funktional!A116</f>
        <v>Tobel</v>
      </c>
      <c r="B116" t="str">
        <f>Funktional!B116</f>
        <v>PSG</v>
      </c>
      <c r="C116">
        <v>0.1079</v>
      </c>
      <c r="D116">
        <v>9.5699999999999993E-2</v>
      </c>
      <c r="E116" s="26">
        <f t="shared" si="42"/>
        <v>5204182.22</v>
      </c>
      <c r="F116">
        <v>3820060.05</v>
      </c>
      <c r="G116">
        <v>1384122.17</v>
      </c>
      <c r="H116">
        <v>51996.25</v>
      </c>
      <c r="I116" s="42">
        <f t="shared" si="37"/>
        <v>9.9912431582766525E-3</v>
      </c>
      <c r="J116" s="80">
        <f t="shared" si="38"/>
        <v>21200</v>
      </c>
      <c r="K116" s="43">
        <f>J116*'KiGa - PS'!L117</f>
        <v>19228.878795088673</v>
      </c>
      <c r="L116" s="42">
        <f>K116/Funktional!E116</f>
        <v>1.5407346139788629E-2</v>
      </c>
      <c r="M116">
        <v>50</v>
      </c>
      <c r="N116" s="43">
        <f>K116/Funktional!C116</f>
        <v>3204.8131325147788</v>
      </c>
      <c r="O116" s="44">
        <f>K116/Funktional!D116</f>
        <v>147.91445226991286</v>
      </c>
      <c r="P116">
        <v>6400</v>
      </c>
      <c r="Q116">
        <v>200</v>
      </c>
      <c r="R116">
        <v>0</v>
      </c>
      <c r="S116" s="43">
        <f t="shared" si="39"/>
        <v>6600</v>
      </c>
      <c r="T116">
        <v>9500</v>
      </c>
      <c r="U116">
        <v>200</v>
      </c>
      <c r="V116">
        <v>2500</v>
      </c>
      <c r="W116" s="43">
        <f t="shared" si="40"/>
        <v>12200</v>
      </c>
      <c r="X116">
        <v>2400</v>
      </c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  <c r="AO116" s="110"/>
      <c r="AP116" s="110"/>
      <c r="AQ116" s="110"/>
      <c r="AR116" s="110"/>
      <c r="AS116" s="110"/>
      <c r="AT116" s="110"/>
      <c r="AU116" s="110"/>
      <c r="AV116" s="110"/>
      <c r="AW116" s="110"/>
      <c r="AX116" s="110"/>
      <c r="AY116" s="110"/>
      <c r="AZ116" s="110"/>
      <c r="BA116" s="110"/>
      <c r="BB116" s="110"/>
      <c r="BC116" s="110"/>
      <c r="BD116" s="110"/>
      <c r="BE116" s="110"/>
      <c r="BF116" s="110"/>
      <c r="BG116" s="110"/>
      <c r="BH116" s="110"/>
      <c r="BI116" s="110"/>
      <c r="BJ116" s="110"/>
      <c r="BK116" s="110"/>
      <c r="BL116" s="110"/>
      <c r="BM116" s="110"/>
      <c r="BN116" s="110"/>
      <c r="BO116" s="110"/>
      <c r="BP116" s="110"/>
      <c r="BQ116" s="110"/>
      <c r="BR116" s="110"/>
      <c r="BS116" s="110"/>
      <c r="BT116" s="110"/>
      <c r="BU116" s="110"/>
      <c r="BV116" s="110"/>
      <c r="BW116" s="110"/>
      <c r="BX116" s="110"/>
      <c r="BY116" s="110"/>
      <c r="BZ116" s="110"/>
      <c r="CA116" s="110"/>
      <c r="CB116" s="110"/>
      <c r="CC116" s="110"/>
      <c r="CD116" s="110"/>
      <c r="CE116" s="110"/>
      <c r="CF116" s="110"/>
    </row>
    <row r="117" spans="1:84" s="45" customFormat="1" x14ac:dyDescent="0.25">
      <c r="A117" t="str">
        <f>Funktional!A117</f>
        <v>Uesslingen</v>
      </c>
      <c r="B117" t="str">
        <f>Funktional!B117</f>
        <v>PSG</v>
      </c>
      <c r="C117">
        <v>6.6299999999999998E-2</v>
      </c>
      <c r="D117">
        <v>4.4600000000000001E-2</v>
      </c>
      <c r="E117" s="26">
        <f t="shared" si="42"/>
        <v>1650481.45</v>
      </c>
      <c r="F117">
        <v>466000</v>
      </c>
      <c r="G117">
        <v>1184481.45</v>
      </c>
      <c r="H117">
        <v>37647.800000000003</v>
      </c>
      <c r="I117" s="42">
        <f t="shared" si="37"/>
        <v>2.2810192747092072E-2</v>
      </c>
      <c r="J117" s="80">
        <f t="shared" si="38"/>
        <v>12900</v>
      </c>
      <c r="K117" s="43">
        <f>J117*'KiGa - PS'!L118</f>
        <v>9698.4403542937071</v>
      </c>
      <c r="L117" s="42">
        <f>K117/Funktional!E117</f>
        <v>1.3288577952188933E-2</v>
      </c>
      <c r="M117">
        <v>60</v>
      </c>
      <c r="N117" s="43">
        <f>K117/Funktional!C117</f>
        <v>3232.8134514312355</v>
      </c>
      <c r="O117" s="44">
        <f>K117/Funktional!D117</f>
        <v>132.85534731909189</v>
      </c>
      <c r="P117">
        <v>2400</v>
      </c>
      <c r="Q117">
        <v>0</v>
      </c>
      <c r="R117">
        <v>1000</v>
      </c>
      <c r="S117" s="43">
        <f t="shared" si="39"/>
        <v>3400</v>
      </c>
      <c r="T117">
        <v>6000</v>
      </c>
      <c r="U117">
        <v>0</v>
      </c>
      <c r="V117">
        <v>1000</v>
      </c>
      <c r="W117" s="43">
        <f t="shared" si="40"/>
        <v>7000</v>
      </c>
      <c r="X117">
        <v>2500</v>
      </c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  <c r="AO117" s="110"/>
      <c r="AP117" s="110"/>
      <c r="AQ117" s="110"/>
      <c r="AR117" s="110"/>
      <c r="AS117" s="110"/>
      <c r="AT117" s="110"/>
      <c r="AU117" s="110"/>
      <c r="AV117" s="110"/>
      <c r="AW117" s="110"/>
      <c r="AX117" s="110"/>
      <c r="AY117" s="110"/>
      <c r="AZ117" s="110"/>
      <c r="BA117" s="110"/>
      <c r="BB117" s="110"/>
      <c r="BC117" s="110"/>
      <c r="BD117" s="110"/>
      <c r="BE117" s="110"/>
      <c r="BF117" s="110"/>
      <c r="BG117" s="110"/>
      <c r="BH117" s="110"/>
      <c r="BI117" s="110"/>
      <c r="BJ117" s="110"/>
      <c r="BK117" s="110"/>
      <c r="BL117" s="110"/>
      <c r="BM117" s="110"/>
      <c r="BN117" s="110"/>
      <c r="BO117" s="110"/>
      <c r="BP117" s="110"/>
      <c r="BQ117" s="110"/>
      <c r="BR117" s="110"/>
      <c r="BS117" s="110"/>
      <c r="BT117" s="110"/>
      <c r="BU117" s="110"/>
      <c r="BV117" s="110"/>
      <c r="BW117" s="110"/>
      <c r="BX117" s="110"/>
      <c r="BY117" s="110"/>
      <c r="BZ117" s="110"/>
      <c r="CA117" s="110"/>
      <c r="CB117" s="110"/>
      <c r="CC117" s="110"/>
      <c r="CD117" s="110"/>
      <c r="CE117" s="110"/>
      <c r="CF117" s="110"/>
    </row>
    <row r="118" spans="1:84" s="45" customFormat="1" x14ac:dyDescent="0.25">
      <c r="A118" t="str">
        <f>Funktional!A118</f>
        <v>Uttwil</v>
      </c>
      <c r="B118" t="str">
        <f>Funktional!B118</f>
        <v>PSG</v>
      </c>
      <c r="C118">
        <v>0.16719999999999999</v>
      </c>
      <c r="D118">
        <v>8.1699999999999995E-2</v>
      </c>
      <c r="E118" s="26">
        <f t="shared" si="42"/>
        <v>4053947.1</v>
      </c>
      <c r="F118">
        <v>2500428.5</v>
      </c>
      <c r="G118">
        <v>1553518.6</v>
      </c>
      <c r="H118">
        <v>44891</v>
      </c>
      <c r="I118" s="42">
        <f t="shared" si="37"/>
        <v>1.1073405471916493E-2</v>
      </c>
      <c r="J118" s="80">
        <f t="shared" si="38"/>
        <v>17300</v>
      </c>
      <c r="K118" s="43">
        <f>J118*'KiGa - PS'!L119</f>
        <v>14928.721064270885</v>
      </c>
      <c r="L118" s="42">
        <f>K118/Funktional!E118</f>
        <v>1.1696481313045641E-2</v>
      </c>
      <c r="M118">
        <v>50</v>
      </c>
      <c r="N118" s="43">
        <f>K118/Funktional!C118</f>
        <v>2296.7263175801363</v>
      </c>
      <c r="O118" s="44">
        <f>K118/Funktional!D118</f>
        <v>120.39291180863617</v>
      </c>
      <c r="P118">
        <v>4000</v>
      </c>
      <c r="Q118">
        <v>800</v>
      </c>
      <c r="R118">
        <v>1000</v>
      </c>
      <c r="S118" s="43">
        <f t="shared" si="39"/>
        <v>5800</v>
      </c>
      <c r="T118">
        <v>7200</v>
      </c>
      <c r="U118">
        <v>800</v>
      </c>
      <c r="V118">
        <v>2000</v>
      </c>
      <c r="W118" s="43">
        <f t="shared" si="40"/>
        <v>10000</v>
      </c>
      <c r="X118">
        <v>1500</v>
      </c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  <c r="AO118" s="110"/>
      <c r="AP118" s="110"/>
      <c r="AQ118" s="110"/>
      <c r="AR118" s="110"/>
      <c r="AS118" s="110"/>
      <c r="AT118" s="110"/>
      <c r="AU118" s="110"/>
      <c r="AV118" s="110"/>
      <c r="AW118" s="110"/>
      <c r="AX118" s="110"/>
      <c r="AY118" s="110"/>
      <c r="AZ118" s="110"/>
      <c r="BA118" s="110"/>
      <c r="BB118" s="110"/>
      <c r="BC118" s="110"/>
      <c r="BD118" s="110"/>
      <c r="BE118" s="110"/>
      <c r="BF118" s="110"/>
      <c r="BG118" s="110"/>
      <c r="BH118" s="110"/>
      <c r="BI118" s="110"/>
      <c r="BJ118" s="110"/>
      <c r="BK118" s="110"/>
      <c r="BL118" s="110"/>
      <c r="BM118" s="110"/>
      <c r="BN118" s="110"/>
      <c r="BO118" s="110"/>
      <c r="BP118" s="110"/>
      <c r="BQ118" s="110"/>
      <c r="BR118" s="110"/>
      <c r="BS118" s="110"/>
      <c r="BT118" s="110"/>
      <c r="BU118" s="110"/>
      <c r="BV118" s="110"/>
      <c r="BW118" s="110"/>
      <c r="BX118" s="110"/>
      <c r="BY118" s="110"/>
      <c r="BZ118" s="110"/>
      <c r="CA118" s="110"/>
      <c r="CB118" s="110"/>
      <c r="CC118" s="110"/>
      <c r="CD118" s="110"/>
      <c r="CE118" s="110"/>
      <c r="CF118" s="110"/>
    </row>
    <row r="119" spans="1:84" s="45" customFormat="1" x14ac:dyDescent="0.25">
      <c r="A119" t="str">
        <f>Funktional!A119</f>
        <v>Wagenhausen-Rheinklingen</v>
      </c>
      <c r="B119" t="str">
        <f>Funktional!B119</f>
        <v>PSG</v>
      </c>
      <c r="C119">
        <v>9.9199999999999997E-2</v>
      </c>
      <c r="D119">
        <v>1.83E-2</v>
      </c>
      <c r="E119" s="26">
        <f t="shared" si="42"/>
        <v>1444473.4</v>
      </c>
      <c r="F119">
        <v>812412</v>
      </c>
      <c r="G119">
        <v>632061.4</v>
      </c>
      <c r="H119">
        <v>25241.65</v>
      </c>
      <c r="I119" s="42">
        <f t="shared" si="37"/>
        <v>1.7474638162253458E-2</v>
      </c>
      <c r="J119" s="80">
        <f t="shared" si="38"/>
        <v>20000</v>
      </c>
      <c r="K119" s="43">
        <f>J119*'KiGa - PS'!L120</f>
        <v>16877.393712843517</v>
      </c>
      <c r="L119" s="42">
        <f>K119/Funktional!E119</f>
        <v>2.5095044343570738E-2</v>
      </c>
      <c r="M119">
        <v>50</v>
      </c>
      <c r="N119" s="43">
        <f>K119/Funktional!C119</f>
        <v>5625.7979042811721</v>
      </c>
      <c r="O119" s="44">
        <f>K119/Funktional!D119</f>
        <v>281.28989521405862</v>
      </c>
      <c r="P119">
        <v>5000</v>
      </c>
      <c r="Q119">
        <v>0</v>
      </c>
      <c r="R119">
        <v>800</v>
      </c>
      <c r="S119" s="43">
        <f t="shared" si="39"/>
        <v>5800</v>
      </c>
      <c r="T119">
        <v>10000</v>
      </c>
      <c r="U119">
        <v>0</v>
      </c>
      <c r="V119">
        <v>1200</v>
      </c>
      <c r="W119" s="43">
        <f t="shared" si="40"/>
        <v>11200</v>
      </c>
      <c r="X119">
        <v>3000</v>
      </c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  <c r="AO119" s="110"/>
      <c r="AP119" s="110"/>
      <c r="AQ119" s="110"/>
      <c r="AR119" s="110"/>
      <c r="AS119" s="110"/>
      <c r="AT119" s="110"/>
      <c r="AU119" s="110"/>
      <c r="AV119" s="110"/>
      <c r="AW119" s="110"/>
      <c r="AX119" s="110"/>
      <c r="AY119" s="110"/>
      <c r="AZ119" s="110"/>
      <c r="BA119" s="110"/>
      <c r="BB119" s="110"/>
      <c r="BC119" s="110"/>
      <c r="BD119" s="110"/>
      <c r="BE119" s="110"/>
      <c r="BF119" s="110"/>
      <c r="BG119" s="110"/>
      <c r="BH119" s="110"/>
      <c r="BI119" s="110"/>
      <c r="BJ119" s="110"/>
      <c r="BK119" s="110"/>
      <c r="BL119" s="110"/>
      <c r="BM119" s="110"/>
      <c r="BN119" s="110"/>
      <c r="BO119" s="110"/>
      <c r="BP119" s="110"/>
      <c r="BQ119" s="110"/>
      <c r="BR119" s="110"/>
      <c r="BS119" s="110"/>
      <c r="BT119" s="110"/>
      <c r="BU119" s="110"/>
      <c r="BV119" s="110"/>
      <c r="BW119" s="110"/>
      <c r="BX119" s="110"/>
      <c r="BY119" s="110"/>
      <c r="BZ119" s="110"/>
      <c r="CA119" s="110"/>
      <c r="CB119" s="110"/>
      <c r="CC119" s="110"/>
      <c r="CD119" s="110"/>
      <c r="CE119" s="110"/>
      <c r="CF119" s="110"/>
    </row>
    <row r="120" spans="1:84" s="45" customFormat="1" x14ac:dyDescent="0.25">
      <c r="A120" t="str">
        <f>Funktional!A120</f>
        <v>Wäldi</v>
      </c>
      <c r="B120" t="str">
        <f>Funktional!B120</f>
        <v>PSG</v>
      </c>
      <c r="C120">
        <v>-2.1999999999999999E-2</v>
      </c>
      <c r="D120">
        <v>-4.1399999999999999E-2</v>
      </c>
      <c r="E120" s="26">
        <f t="shared" si="42"/>
        <v>207247</v>
      </c>
      <c r="F120">
        <v>105700</v>
      </c>
      <c r="G120">
        <v>101547</v>
      </c>
      <c r="H120">
        <v>15320.65</v>
      </c>
      <c r="I120" s="42">
        <f t="shared" si="37"/>
        <v>7.3924592394582309E-2</v>
      </c>
      <c r="J120" s="80">
        <f t="shared" si="38"/>
        <v>4307</v>
      </c>
      <c r="K120" s="43">
        <f>J120*'KiGa - PS'!L121</f>
        <v>4307</v>
      </c>
      <c r="L120" s="42">
        <f>K120/Funktional!E120</f>
        <v>1.5744873822584483E-2</v>
      </c>
      <c r="M120">
        <v>30</v>
      </c>
      <c r="N120" s="43">
        <f>K120/Funktional!C120</f>
        <v>2871.3333333333335</v>
      </c>
      <c r="O120" s="44">
        <f>K120/Funktional!D120</f>
        <v>123.05714285714286</v>
      </c>
      <c r="P120">
        <v>589</v>
      </c>
      <c r="Q120">
        <v>0</v>
      </c>
      <c r="R120">
        <v>0</v>
      </c>
      <c r="S120" s="43">
        <f t="shared" si="39"/>
        <v>589</v>
      </c>
      <c r="T120">
        <v>3218</v>
      </c>
      <c r="U120">
        <v>300</v>
      </c>
      <c r="V120">
        <v>200</v>
      </c>
      <c r="W120" s="43">
        <f t="shared" si="40"/>
        <v>3718</v>
      </c>
      <c r="X120">
        <v>0</v>
      </c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  <c r="AO120" s="110"/>
      <c r="AP120" s="110"/>
      <c r="AQ120" s="110"/>
      <c r="AR120" s="110"/>
      <c r="AS120" s="110"/>
      <c r="AT120" s="110"/>
      <c r="AU120" s="110"/>
      <c r="AV120" s="110"/>
      <c r="AW120" s="110"/>
      <c r="AX120" s="110"/>
      <c r="AY120" s="110"/>
      <c r="AZ120" s="110"/>
      <c r="BA120" s="110"/>
      <c r="BB120" s="110"/>
      <c r="BC120" s="110"/>
      <c r="BD120" s="110"/>
      <c r="BE120" s="110"/>
      <c r="BF120" s="110"/>
      <c r="BG120" s="110"/>
      <c r="BH120" s="110"/>
      <c r="BI120" s="110"/>
      <c r="BJ120" s="110"/>
      <c r="BK120" s="110"/>
      <c r="BL120" s="110"/>
      <c r="BM120" s="110"/>
      <c r="BN120" s="110"/>
      <c r="BO120" s="110"/>
      <c r="BP120" s="110"/>
      <c r="BQ120" s="110"/>
      <c r="BR120" s="110"/>
      <c r="BS120" s="110"/>
      <c r="BT120" s="110"/>
      <c r="BU120" s="110"/>
      <c r="BV120" s="110"/>
      <c r="BW120" s="110"/>
      <c r="BX120" s="110"/>
      <c r="BY120" s="110"/>
      <c r="BZ120" s="110"/>
      <c r="CA120" s="110"/>
      <c r="CB120" s="110"/>
      <c r="CC120" s="110"/>
      <c r="CD120" s="110"/>
      <c r="CE120" s="110"/>
      <c r="CF120" s="110"/>
    </row>
    <row r="121" spans="1:84" s="45" customFormat="1" x14ac:dyDescent="0.25">
      <c r="A121" t="str">
        <f>Funktional!A121</f>
        <v>Warth-Weiningen</v>
      </c>
      <c r="B121" t="str">
        <f>Funktional!B121</f>
        <v>PSG</v>
      </c>
      <c r="C121">
        <v>5.96E-2</v>
      </c>
      <c r="D121">
        <v>2.3099999999999999E-2</v>
      </c>
      <c r="E121" s="26">
        <f t="shared" si="42"/>
        <v>1841059.45</v>
      </c>
      <c r="F121">
        <v>844877</v>
      </c>
      <c r="G121">
        <v>996182.45</v>
      </c>
      <c r="H121">
        <v>82149.95</v>
      </c>
      <c r="I121" s="42">
        <f t="shared" ref="I121:I136" si="43">H121/E121</f>
        <v>4.4621019706886707E-2</v>
      </c>
      <c r="J121" s="80">
        <f t="shared" ref="J121:J136" si="44">S121+W121+X121</f>
        <v>6900</v>
      </c>
      <c r="K121" s="43">
        <f>J121*'KiGa - PS'!L122</f>
        <v>6078.6056511729093</v>
      </c>
      <c r="L121" s="42">
        <f>K121/Funktional!E121</f>
        <v>5.8206454159401575E-3</v>
      </c>
      <c r="M121">
        <v>40</v>
      </c>
      <c r="N121" s="43">
        <f>K121/Funktional!C121</f>
        <v>1215.7211302345818</v>
      </c>
      <c r="O121" s="44">
        <f>K121/Funktional!D121</f>
        <v>53.792970364362027</v>
      </c>
      <c r="P121">
        <v>0</v>
      </c>
      <c r="Q121">
        <v>1500</v>
      </c>
      <c r="R121">
        <v>0</v>
      </c>
      <c r="S121" s="43">
        <f t="shared" ref="S121:S136" si="45">P121+Q121+R121</f>
        <v>1500</v>
      </c>
      <c r="T121">
        <v>3000</v>
      </c>
      <c r="U121">
        <v>2000</v>
      </c>
      <c r="V121">
        <v>0</v>
      </c>
      <c r="W121" s="43">
        <f t="shared" ref="W121:W136" si="46">T121+U121+V121</f>
        <v>5000</v>
      </c>
      <c r="X121">
        <v>400</v>
      </c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  <c r="AO121" s="110"/>
      <c r="AP121" s="110"/>
      <c r="AQ121" s="110"/>
      <c r="AR121" s="110"/>
      <c r="AS121" s="110"/>
      <c r="AT121" s="110"/>
      <c r="AU121" s="110"/>
      <c r="AV121" s="110"/>
      <c r="AW121" s="110"/>
      <c r="AX121" s="110"/>
      <c r="AY121" s="110"/>
      <c r="AZ121" s="110"/>
      <c r="BA121" s="110"/>
      <c r="BB121" s="110"/>
      <c r="BC121" s="110"/>
      <c r="BD121" s="110"/>
      <c r="BE121" s="110"/>
      <c r="BF121" s="110"/>
      <c r="BG121" s="110"/>
      <c r="BH121" s="110"/>
      <c r="BI121" s="110"/>
      <c r="BJ121" s="110"/>
      <c r="BK121" s="110"/>
      <c r="BL121" s="110"/>
      <c r="BM121" s="110"/>
      <c r="BN121" s="110"/>
      <c r="BO121" s="110"/>
      <c r="BP121" s="110"/>
      <c r="BQ121" s="110"/>
      <c r="BR121" s="110"/>
      <c r="BS121" s="110"/>
      <c r="BT121" s="110"/>
      <c r="BU121" s="110"/>
      <c r="BV121" s="110"/>
      <c r="BW121" s="110"/>
      <c r="BX121" s="110"/>
      <c r="BY121" s="110"/>
      <c r="BZ121" s="110"/>
      <c r="CA121" s="110"/>
      <c r="CB121" s="110"/>
      <c r="CC121" s="110"/>
      <c r="CD121" s="110"/>
      <c r="CE121" s="110"/>
      <c r="CF121" s="110"/>
    </row>
    <row r="122" spans="1:84" s="45" customFormat="1" x14ac:dyDescent="0.25">
      <c r="A122" t="str">
        <f>Funktional!A122</f>
        <v>Weinfelden</v>
      </c>
      <c r="B122" t="str">
        <f>Funktional!B122</f>
        <v>PSG</v>
      </c>
      <c r="C122">
        <v>-1.6E-2</v>
      </c>
      <c r="D122">
        <v>-2.3900000000000001E-2</v>
      </c>
      <c r="E122" s="26">
        <f t="shared" si="42"/>
        <v>2550312.5</v>
      </c>
      <c r="F122">
        <v>365859.25</v>
      </c>
      <c r="G122">
        <v>2184453.25</v>
      </c>
      <c r="H122">
        <v>231991.5</v>
      </c>
      <c r="I122" s="42">
        <f t="shared" si="43"/>
        <v>9.0965911040313693E-2</v>
      </c>
      <c r="J122" s="80">
        <f t="shared" si="44"/>
        <v>191000</v>
      </c>
      <c r="K122" s="43">
        <f>J122*'KiGa - PS'!L123</f>
        <v>158347.56060710273</v>
      </c>
      <c r="L122" s="42">
        <f>K122/Funktional!E122</f>
        <v>2.5161103018757344E-2</v>
      </c>
      <c r="M122">
        <v>60</v>
      </c>
      <c r="N122" s="43">
        <f>K122/Funktional!C122</f>
        <v>4798.4109274879611</v>
      </c>
      <c r="O122" s="44">
        <f>K122/Funktional!D122</f>
        <v>228.1665138430875</v>
      </c>
      <c r="P122">
        <v>45000</v>
      </c>
      <c r="Q122">
        <v>6000</v>
      </c>
      <c r="R122">
        <v>0</v>
      </c>
      <c r="S122" s="43">
        <f t="shared" si="45"/>
        <v>51000</v>
      </c>
      <c r="T122">
        <v>80000</v>
      </c>
      <c r="U122">
        <v>2400</v>
      </c>
      <c r="V122">
        <v>57600</v>
      </c>
      <c r="W122" s="43">
        <f t="shared" si="46"/>
        <v>140000</v>
      </c>
      <c r="X122">
        <v>0</v>
      </c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  <c r="AO122" s="110"/>
      <c r="AP122" s="110"/>
      <c r="AQ122" s="110"/>
      <c r="AR122" s="110"/>
      <c r="AS122" s="110"/>
      <c r="AT122" s="110"/>
      <c r="AU122" s="110"/>
      <c r="AV122" s="110"/>
      <c r="AW122" s="110"/>
      <c r="AX122" s="110"/>
      <c r="AY122" s="110"/>
      <c r="AZ122" s="110"/>
      <c r="BA122" s="110"/>
      <c r="BB122" s="110"/>
      <c r="BC122" s="110"/>
      <c r="BD122" s="110"/>
      <c r="BE122" s="110"/>
      <c r="BF122" s="110"/>
      <c r="BG122" s="110"/>
      <c r="BH122" s="110"/>
      <c r="BI122" s="110"/>
      <c r="BJ122" s="110"/>
      <c r="BK122" s="110"/>
      <c r="BL122" s="110"/>
      <c r="BM122" s="110"/>
      <c r="BN122" s="110"/>
      <c r="BO122" s="110"/>
      <c r="BP122" s="110"/>
      <c r="BQ122" s="110"/>
      <c r="BR122" s="110"/>
      <c r="BS122" s="110"/>
      <c r="BT122" s="110"/>
      <c r="BU122" s="110"/>
      <c r="BV122" s="110"/>
      <c r="BW122" s="110"/>
      <c r="BX122" s="110"/>
      <c r="BY122" s="110"/>
      <c r="BZ122" s="110"/>
      <c r="CA122" s="110"/>
      <c r="CB122" s="110"/>
      <c r="CC122" s="110"/>
      <c r="CD122" s="110"/>
      <c r="CE122" s="110"/>
      <c r="CF122" s="110"/>
    </row>
    <row r="123" spans="1:84" s="45" customFormat="1" x14ac:dyDescent="0.25">
      <c r="A123" t="str">
        <f>Funktional!A123</f>
        <v>Wigoltingen</v>
      </c>
      <c r="B123" t="str">
        <f>Funktional!B123</f>
        <v>PSG</v>
      </c>
      <c r="C123">
        <v>4.87E-2</v>
      </c>
      <c r="D123">
        <v>4.4900000000000002E-2</v>
      </c>
      <c r="E123" s="26">
        <f t="shared" si="42"/>
        <v>3234762</v>
      </c>
      <c r="F123">
        <v>797645.5</v>
      </c>
      <c r="G123">
        <v>2437116.5</v>
      </c>
      <c r="H123">
        <v>71409.05</v>
      </c>
      <c r="I123" s="42">
        <f t="shared" si="43"/>
        <v>2.2075519002634506E-2</v>
      </c>
      <c r="J123" s="80">
        <f t="shared" si="44"/>
        <v>30100</v>
      </c>
      <c r="K123" s="43">
        <f>J123*'KiGa - PS'!L124</f>
        <v>25805.481625353597</v>
      </c>
      <c r="L123" s="42">
        <f>K123/Funktional!E123</f>
        <v>1.5543554886913022E-2</v>
      </c>
      <c r="M123">
        <v>70</v>
      </c>
      <c r="N123" s="43">
        <f>K123/Funktional!C123</f>
        <v>3686.4973750505137</v>
      </c>
      <c r="O123" s="44">
        <f>K123/Funktional!D123</f>
        <v>195.49607291934544</v>
      </c>
      <c r="P123">
        <v>6000</v>
      </c>
      <c r="Q123">
        <v>0</v>
      </c>
      <c r="R123">
        <v>2500</v>
      </c>
      <c r="S123" s="43">
        <f t="shared" si="45"/>
        <v>8500</v>
      </c>
      <c r="T123">
        <v>18000</v>
      </c>
      <c r="U123">
        <v>300</v>
      </c>
      <c r="V123">
        <v>2500</v>
      </c>
      <c r="W123" s="43">
        <f t="shared" si="46"/>
        <v>20800</v>
      </c>
      <c r="X123">
        <v>800</v>
      </c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  <c r="AI123" s="110"/>
      <c r="AJ123" s="110"/>
      <c r="AK123" s="110"/>
      <c r="AL123" s="110"/>
      <c r="AM123" s="110"/>
      <c r="AN123" s="110"/>
      <c r="AO123" s="110"/>
      <c r="AP123" s="110"/>
      <c r="AQ123" s="110"/>
      <c r="AR123" s="110"/>
      <c r="AS123" s="110"/>
      <c r="AT123" s="110"/>
      <c r="AU123" s="110"/>
      <c r="AV123" s="110"/>
      <c r="AW123" s="110"/>
      <c r="AX123" s="110"/>
      <c r="AY123" s="110"/>
      <c r="AZ123" s="110"/>
      <c r="BA123" s="110"/>
      <c r="BB123" s="110"/>
      <c r="BC123" s="110"/>
      <c r="BD123" s="110"/>
      <c r="BE123" s="110"/>
      <c r="BF123" s="110"/>
      <c r="BG123" s="110"/>
      <c r="BH123" s="110"/>
      <c r="BI123" s="110"/>
      <c r="BJ123" s="110"/>
      <c r="BK123" s="110"/>
      <c r="BL123" s="110"/>
      <c r="BM123" s="110"/>
      <c r="BN123" s="110"/>
      <c r="BO123" s="110"/>
      <c r="BP123" s="110"/>
      <c r="BQ123" s="110"/>
      <c r="BR123" s="110"/>
      <c r="BS123" s="110"/>
      <c r="BT123" s="110"/>
      <c r="BU123" s="110"/>
      <c r="BV123" s="110"/>
      <c r="BW123" s="110"/>
      <c r="BX123" s="110"/>
      <c r="BY123" s="110"/>
      <c r="BZ123" s="110"/>
      <c r="CA123" s="110"/>
      <c r="CB123" s="110"/>
      <c r="CC123" s="110"/>
      <c r="CD123" s="110"/>
      <c r="CE123" s="110"/>
      <c r="CF123" s="110"/>
    </row>
    <row r="124" spans="1:84" s="45" customFormat="1" x14ac:dyDescent="0.25">
      <c r="A124" t="str">
        <f>Funktional!A124</f>
        <v>Wilen bei Wil</v>
      </c>
      <c r="B124" t="str">
        <f>Funktional!B124</f>
        <v>PSG</v>
      </c>
      <c r="C124">
        <v>8.3900000000000002E-2</v>
      </c>
      <c r="D124">
        <v>4.0399999999999998E-2</v>
      </c>
      <c r="E124" s="26">
        <f t="shared" si="42"/>
        <v>3247120.35</v>
      </c>
      <c r="F124">
        <v>1359421</v>
      </c>
      <c r="G124">
        <v>1887699.35</v>
      </c>
      <c r="H124">
        <v>6373.4</v>
      </c>
      <c r="I124" s="42">
        <f t="shared" si="43"/>
        <v>1.9627852721874014E-3</v>
      </c>
      <c r="J124" s="80">
        <f t="shared" si="44"/>
        <v>28380</v>
      </c>
      <c r="K124" s="43">
        <f>J124*'KiGa - PS'!L125</f>
        <v>23972.359998873577</v>
      </c>
      <c r="L124" s="42">
        <f>K124/Funktional!E124</f>
        <v>1.6301722247086148E-2</v>
      </c>
      <c r="M124">
        <v>60</v>
      </c>
      <c r="N124" s="43">
        <f>K124/Funktional!C124</f>
        <v>2996.5449998591971</v>
      </c>
      <c r="O124" s="44">
        <f>K124/Funktional!D124</f>
        <v>147.06969324462318</v>
      </c>
      <c r="P124">
        <v>5400</v>
      </c>
      <c r="Q124">
        <v>2750</v>
      </c>
      <c r="R124">
        <v>1500</v>
      </c>
      <c r="S124" s="43">
        <f t="shared" si="45"/>
        <v>9650</v>
      </c>
      <c r="T124">
        <v>7820</v>
      </c>
      <c r="U124">
        <v>2000</v>
      </c>
      <c r="V124">
        <v>2500</v>
      </c>
      <c r="W124" s="43">
        <f t="shared" si="46"/>
        <v>12320</v>
      </c>
      <c r="X124">
        <v>6410</v>
      </c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  <c r="AK124" s="110"/>
      <c r="AL124" s="110"/>
      <c r="AM124" s="110"/>
      <c r="AN124" s="110"/>
      <c r="AO124" s="110"/>
      <c r="AP124" s="110"/>
      <c r="AQ124" s="110"/>
      <c r="AR124" s="110"/>
      <c r="AS124" s="110"/>
      <c r="AT124" s="110"/>
      <c r="AU124" s="110"/>
      <c r="AV124" s="110"/>
      <c r="AW124" s="110"/>
      <c r="AX124" s="110"/>
      <c r="AY124" s="110"/>
      <c r="AZ124" s="110"/>
      <c r="BA124" s="110"/>
      <c r="BB124" s="110"/>
      <c r="BC124" s="110"/>
      <c r="BD124" s="110"/>
      <c r="BE124" s="110"/>
      <c r="BF124" s="110"/>
      <c r="BG124" s="110"/>
      <c r="BH124" s="110"/>
      <c r="BI124" s="110"/>
      <c r="BJ124" s="110"/>
      <c r="BK124" s="110"/>
      <c r="BL124" s="110"/>
      <c r="BM124" s="110"/>
      <c r="BN124" s="110"/>
      <c r="BO124" s="110"/>
      <c r="BP124" s="110"/>
      <c r="BQ124" s="110"/>
      <c r="BR124" s="110"/>
      <c r="BS124" s="110"/>
      <c r="BT124" s="110"/>
      <c r="BU124" s="110"/>
      <c r="BV124" s="110"/>
      <c r="BW124" s="110"/>
      <c r="BX124" s="110"/>
      <c r="BY124" s="110"/>
      <c r="BZ124" s="110"/>
      <c r="CA124" s="110"/>
      <c r="CB124" s="110"/>
      <c r="CC124" s="110"/>
      <c r="CD124" s="110"/>
      <c r="CE124" s="110"/>
      <c r="CF124" s="110"/>
    </row>
    <row r="125" spans="1:84" s="45" customFormat="1" x14ac:dyDescent="0.25">
      <c r="A125" t="str">
        <f>Funktional!A125</f>
        <v>Wittenwil</v>
      </c>
      <c r="B125" t="str">
        <f>Funktional!B125</f>
        <v>PSG</v>
      </c>
      <c r="C125">
        <v>3.6999999999999998E-2</v>
      </c>
      <c r="D125">
        <v>2.07E-2</v>
      </c>
      <c r="E125" s="26">
        <f t="shared" si="42"/>
        <v>361424</v>
      </c>
      <c r="F125">
        <v>288139.95</v>
      </c>
      <c r="G125">
        <v>73284.05</v>
      </c>
      <c r="H125">
        <v>9706.25</v>
      </c>
      <c r="I125" s="42">
        <f t="shared" si="43"/>
        <v>2.6855576829430253E-2</v>
      </c>
      <c r="J125" s="80">
        <f t="shared" si="44"/>
        <v>8600</v>
      </c>
      <c r="K125" s="43">
        <f>J125*'KiGa - PS'!L126</f>
        <v>6990.0071829228791</v>
      </c>
      <c r="L125" s="42">
        <f>K125/Funktional!E125</f>
        <v>1.8748106114280606E-2</v>
      </c>
      <c r="M125">
        <v>50</v>
      </c>
      <c r="N125" s="43">
        <f>K125/Funktional!C125</f>
        <v>3495.0035914614396</v>
      </c>
      <c r="O125" s="44">
        <f>K125/Funktional!D125</f>
        <v>183.94755744533893</v>
      </c>
      <c r="P125">
        <v>4000</v>
      </c>
      <c r="Q125">
        <v>0</v>
      </c>
      <c r="R125">
        <v>300</v>
      </c>
      <c r="S125" s="43">
        <f t="shared" si="45"/>
        <v>4300</v>
      </c>
      <c r="T125">
        <v>4000</v>
      </c>
      <c r="U125">
        <v>0</v>
      </c>
      <c r="V125">
        <v>300</v>
      </c>
      <c r="W125" s="43">
        <f t="shared" si="46"/>
        <v>4300</v>
      </c>
      <c r="X125">
        <v>0</v>
      </c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10"/>
      <c r="AM125" s="110"/>
      <c r="AN125" s="110"/>
      <c r="AO125" s="110"/>
      <c r="AP125" s="110"/>
      <c r="AQ125" s="110"/>
      <c r="AR125" s="110"/>
      <c r="AS125" s="110"/>
      <c r="AT125" s="110"/>
      <c r="AU125" s="110"/>
      <c r="AV125" s="110"/>
      <c r="AW125" s="110"/>
      <c r="AX125" s="110"/>
      <c r="AY125" s="110"/>
      <c r="AZ125" s="110"/>
      <c r="BA125" s="110"/>
      <c r="BB125" s="110"/>
      <c r="BC125" s="110"/>
      <c r="BD125" s="110"/>
      <c r="BE125" s="110"/>
      <c r="BF125" s="110"/>
      <c r="BG125" s="110"/>
      <c r="BH125" s="110"/>
      <c r="BI125" s="110"/>
      <c r="BJ125" s="110"/>
      <c r="BK125" s="110"/>
      <c r="BL125" s="110"/>
      <c r="BM125" s="110"/>
      <c r="BN125" s="110"/>
      <c r="BO125" s="110"/>
      <c r="BP125" s="110"/>
      <c r="BQ125" s="110"/>
      <c r="BR125" s="110"/>
      <c r="BS125" s="110"/>
      <c r="BT125" s="110"/>
      <c r="BU125" s="110"/>
      <c r="BV125" s="110"/>
      <c r="BW125" s="110"/>
      <c r="BX125" s="110"/>
      <c r="BY125" s="110"/>
      <c r="BZ125" s="110"/>
      <c r="CA125" s="110"/>
      <c r="CB125" s="110"/>
      <c r="CC125" s="110"/>
      <c r="CD125" s="110"/>
      <c r="CE125" s="110"/>
      <c r="CF125" s="110"/>
    </row>
    <row r="126" spans="1:84" s="45" customFormat="1" x14ac:dyDescent="0.25">
      <c r="A126" t="str">
        <f>Funktional!A126</f>
        <v>Wuppenau</v>
      </c>
      <c r="B126" t="str">
        <f>Funktional!B126</f>
        <v>PSG</v>
      </c>
      <c r="C126">
        <v>2.4899999999999999E-2</v>
      </c>
      <c r="D126">
        <v>-1.03E-2</v>
      </c>
      <c r="E126" s="26">
        <f t="shared" si="42"/>
        <v>1753069.55</v>
      </c>
      <c r="F126">
        <v>1150304</v>
      </c>
      <c r="G126">
        <v>602765.55000000005</v>
      </c>
      <c r="H126">
        <v>81573</v>
      </c>
      <c r="I126" s="42">
        <f t="shared" si="43"/>
        <v>4.6531525232413051E-2</v>
      </c>
      <c r="J126" s="80">
        <f t="shared" si="44"/>
        <v>17900</v>
      </c>
      <c r="K126" s="43">
        <f>J126*'KiGa - PS'!L127</f>
        <v>16724.469492255601</v>
      </c>
      <c r="L126" s="42">
        <f>K126/Funktional!E126</f>
        <v>1.1616251109343868E-2</v>
      </c>
      <c r="M126">
        <v>50</v>
      </c>
      <c r="N126" s="43">
        <f>K126/Funktional!C126</f>
        <v>2787.4115820426</v>
      </c>
      <c r="O126" s="44">
        <f>K126/Funktional!D126</f>
        <v>127.66770604775267</v>
      </c>
      <c r="P126">
        <v>3000</v>
      </c>
      <c r="Q126">
        <v>0</v>
      </c>
      <c r="R126">
        <v>1500</v>
      </c>
      <c r="S126" s="43">
        <f t="shared" si="45"/>
        <v>4500</v>
      </c>
      <c r="T126">
        <v>11000</v>
      </c>
      <c r="U126">
        <v>0</v>
      </c>
      <c r="V126">
        <v>2400</v>
      </c>
      <c r="W126" s="43">
        <f t="shared" si="46"/>
        <v>13400</v>
      </c>
      <c r="X126">
        <v>0</v>
      </c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  <c r="AU126" s="110"/>
      <c r="AV126" s="110"/>
      <c r="AW126" s="110"/>
      <c r="AX126" s="110"/>
      <c r="AY126" s="110"/>
      <c r="AZ126" s="110"/>
      <c r="BA126" s="110"/>
      <c r="BB126" s="110"/>
      <c r="BC126" s="110"/>
      <c r="BD126" s="110"/>
      <c r="BE126" s="110"/>
      <c r="BF126" s="110"/>
      <c r="BG126" s="110"/>
      <c r="BH126" s="110"/>
      <c r="BI126" s="110"/>
      <c r="BJ126" s="110"/>
      <c r="BK126" s="110"/>
      <c r="BL126" s="110"/>
      <c r="BM126" s="110"/>
      <c r="BN126" s="110"/>
      <c r="BO126" s="110"/>
      <c r="BP126" s="110"/>
      <c r="BQ126" s="110"/>
      <c r="BR126" s="110"/>
      <c r="BS126" s="110"/>
      <c r="BT126" s="110"/>
      <c r="BU126" s="110"/>
      <c r="BV126" s="110"/>
      <c r="BW126" s="110"/>
      <c r="BX126" s="110"/>
      <c r="BY126" s="110"/>
      <c r="BZ126" s="110"/>
      <c r="CA126" s="110"/>
      <c r="CB126" s="110"/>
      <c r="CC126" s="110"/>
      <c r="CD126" s="110"/>
      <c r="CE126" s="110"/>
      <c r="CF126" s="110"/>
    </row>
    <row r="127" spans="1:84" s="45" customFormat="1" x14ac:dyDescent="0.25">
      <c r="A127" t="str">
        <f>Funktional!A127</f>
        <v>Zezikon</v>
      </c>
      <c r="B127" t="str">
        <f>Funktional!B127</f>
        <v>PSG</v>
      </c>
      <c r="C127">
        <v>0.1</v>
      </c>
      <c r="D127">
        <v>6.3899999999999998E-2</v>
      </c>
      <c r="E127" s="26">
        <f t="shared" ref="E127:E130" si="47">F127+G127</f>
        <v>964307.85</v>
      </c>
      <c r="F127">
        <v>456831</v>
      </c>
      <c r="G127">
        <v>507476.85</v>
      </c>
      <c r="H127">
        <v>18016.150000000001</v>
      </c>
      <c r="I127" s="42">
        <f t="shared" si="43"/>
        <v>1.8682985936493209E-2</v>
      </c>
      <c r="J127" s="80">
        <f t="shared" si="44"/>
        <v>9679</v>
      </c>
      <c r="K127" s="43">
        <f>J127*'KiGa - PS'!L128</f>
        <v>9679</v>
      </c>
      <c r="L127" s="42">
        <f>K127/Funktional!E127</f>
        <v>2.1346764952797935E-2</v>
      </c>
      <c r="M127">
        <v>50</v>
      </c>
      <c r="N127" s="43">
        <f>K127/Funktional!C127</f>
        <v>4839.5</v>
      </c>
      <c r="O127" s="44">
        <f>K127/Funktional!D127</f>
        <v>236.07317073170731</v>
      </c>
      <c r="P127">
        <v>2400</v>
      </c>
      <c r="Q127">
        <v>300</v>
      </c>
      <c r="R127">
        <v>0</v>
      </c>
      <c r="S127" s="43">
        <f t="shared" si="45"/>
        <v>2700</v>
      </c>
      <c r="T127">
        <v>3000</v>
      </c>
      <c r="U127">
        <v>300</v>
      </c>
      <c r="V127">
        <v>0</v>
      </c>
      <c r="W127" s="43">
        <f t="shared" si="46"/>
        <v>3300</v>
      </c>
      <c r="X127">
        <v>3679</v>
      </c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10"/>
      <c r="AN127" s="110"/>
      <c r="AO127" s="110"/>
      <c r="AP127" s="110"/>
      <c r="AQ127" s="110"/>
      <c r="AR127" s="110"/>
      <c r="AS127" s="110"/>
      <c r="AT127" s="110"/>
      <c r="AU127" s="110"/>
      <c r="AV127" s="110"/>
      <c r="AW127" s="110"/>
      <c r="AX127" s="110"/>
      <c r="AY127" s="110"/>
      <c r="AZ127" s="110"/>
      <c r="BA127" s="110"/>
      <c r="BB127" s="110"/>
      <c r="BC127" s="110"/>
      <c r="BD127" s="110"/>
      <c r="BE127" s="110"/>
      <c r="BF127" s="110"/>
      <c r="BG127" s="110"/>
      <c r="BH127" s="110"/>
      <c r="BI127" s="110"/>
      <c r="BJ127" s="110"/>
      <c r="BK127" s="110"/>
      <c r="BL127" s="110"/>
      <c r="BM127" s="110"/>
      <c r="BN127" s="110"/>
      <c r="BO127" s="110"/>
      <c r="BP127" s="110"/>
      <c r="BQ127" s="110"/>
      <c r="BR127" s="110"/>
      <c r="BS127" s="110"/>
      <c r="BT127" s="110"/>
      <c r="BU127" s="110"/>
      <c r="BV127" s="110"/>
      <c r="BW127" s="110"/>
      <c r="BX127" s="110"/>
      <c r="BY127" s="110"/>
      <c r="BZ127" s="110"/>
      <c r="CA127" s="110"/>
      <c r="CB127" s="110"/>
      <c r="CC127" s="110"/>
      <c r="CD127" s="110"/>
      <c r="CE127" s="110"/>
      <c r="CF127" s="110"/>
    </row>
    <row r="128" spans="1:84" s="45" customFormat="1" x14ac:dyDescent="0.25">
      <c r="A128" t="str">
        <f>Funktional!A128</f>
        <v>Zihlschlacht</v>
      </c>
      <c r="B128" t="str">
        <f>Funktional!B128</f>
        <v>PSG</v>
      </c>
      <c r="C128">
        <v>0.10249999999999999</v>
      </c>
      <c r="D128">
        <v>3.6999999999999998E-2</v>
      </c>
      <c r="E128" s="26">
        <f t="shared" si="47"/>
        <v>1577325.5</v>
      </c>
      <c r="F128">
        <v>1310189</v>
      </c>
      <c r="G128">
        <v>267136.5</v>
      </c>
      <c r="H128">
        <v>2597.6999999999998</v>
      </c>
      <c r="I128" s="42">
        <f t="shared" si="43"/>
        <v>1.6469016699470083E-3</v>
      </c>
      <c r="J128" s="80">
        <f t="shared" si="44"/>
        <v>18478</v>
      </c>
      <c r="K128" s="43">
        <f>J128*'KiGa - PS'!L129</f>
        <v>16056.338315834106</v>
      </c>
      <c r="L128" s="42">
        <f>K128/Funktional!E128</f>
        <v>1.4346786234088572E-2</v>
      </c>
      <c r="M128">
        <v>70</v>
      </c>
      <c r="N128" s="43">
        <f>K128/Funktional!C128</f>
        <v>3211.267663166821</v>
      </c>
      <c r="O128" s="44">
        <f>K128/Funktional!D128</f>
        <v>165.52926098798048</v>
      </c>
      <c r="P128">
        <v>3800</v>
      </c>
      <c r="Q128">
        <v>0</v>
      </c>
      <c r="R128">
        <v>1200</v>
      </c>
      <c r="S128" s="43">
        <f t="shared" si="45"/>
        <v>5000</v>
      </c>
      <c r="T128">
        <v>12278</v>
      </c>
      <c r="U128">
        <v>0</v>
      </c>
      <c r="V128">
        <v>1200</v>
      </c>
      <c r="W128" s="43">
        <f t="shared" si="46"/>
        <v>13478</v>
      </c>
      <c r="X128">
        <v>0</v>
      </c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10"/>
      <c r="AN128" s="110"/>
      <c r="AO128" s="110"/>
      <c r="AP128" s="110"/>
      <c r="AQ128" s="110"/>
      <c r="AR128" s="110"/>
      <c r="AS128" s="110"/>
      <c r="AT128" s="110"/>
      <c r="AU128" s="110"/>
      <c r="AV128" s="110"/>
      <c r="AW128" s="110"/>
      <c r="AX128" s="110"/>
      <c r="AY128" s="110"/>
      <c r="AZ128" s="110"/>
      <c r="BA128" s="110"/>
      <c r="BB128" s="110"/>
      <c r="BC128" s="110"/>
      <c r="BD128" s="110"/>
      <c r="BE128" s="110"/>
      <c r="BF128" s="110"/>
      <c r="BG128" s="110"/>
      <c r="BH128" s="110"/>
      <c r="BI128" s="110"/>
      <c r="BJ128" s="110"/>
      <c r="BK128" s="110"/>
      <c r="BL128" s="110"/>
      <c r="BM128" s="110"/>
      <c r="BN128" s="110"/>
      <c r="BO128" s="110"/>
      <c r="BP128" s="110"/>
      <c r="BQ128" s="110"/>
      <c r="BR128" s="110"/>
      <c r="BS128" s="110"/>
      <c r="BT128" s="110"/>
      <c r="BU128" s="110"/>
      <c r="BV128" s="110"/>
      <c r="BW128" s="110"/>
      <c r="BX128" s="110"/>
      <c r="BY128" s="110"/>
      <c r="BZ128" s="110"/>
      <c r="CA128" s="110"/>
      <c r="CB128" s="110"/>
      <c r="CC128" s="110"/>
      <c r="CD128" s="110"/>
      <c r="CE128" s="110"/>
      <c r="CF128" s="110"/>
    </row>
    <row r="129" spans="1:84" s="45" customFormat="1" x14ac:dyDescent="0.25">
      <c r="A129" t="str">
        <f>Funktional!A129</f>
        <v>Zuben-Schönenbaumgarten</v>
      </c>
      <c r="B129" t="str">
        <f>Funktional!B129</f>
        <v>PSG</v>
      </c>
      <c r="C129">
        <v>6.5199999999999994E-2</v>
      </c>
      <c r="D129">
        <v>1.52E-2</v>
      </c>
      <c r="E129" s="26">
        <f t="shared" si="47"/>
        <v>472368.3</v>
      </c>
      <c r="F129">
        <v>361579.05</v>
      </c>
      <c r="G129">
        <v>110789.25</v>
      </c>
      <c r="H129">
        <v>22471</v>
      </c>
      <c r="I129" s="42">
        <f t="shared" si="43"/>
        <v>4.7570931410935068E-2</v>
      </c>
      <c r="J129" s="80">
        <f t="shared" si="44"/>
        <v>12320</v>
      </c>
      <c r="K129" s="43">
        <f>J129*'KiGa - PS'!L130</f>
        <v>12320</v>
      </c>
      <c r="L129" s="42">
        <f>K129/Funktional!E129</f>
        <v>2.6699645351991586E-2</v>
      </c>
      <c r="M129">
        <v>60</v>
      </c>
      <c r="N129" s="43">
        <f>K129/Funktional!C129</f>
        <v>4928</v>
      </c>
      <c r="O129" s="44">
        <f>K129/Funktional!D129</f>
        <v>216.14035087719299</v>
      </c>
      <c r="P129">
        <v>3020</v>
      </c>
      <c r="Q129">
        <v>1000</v>
      </c>
      <c r="R129">
        <v>400</v>
      </c>
      <c r="S129" s="43">
        <f t="shared" si="45"/>
        <v>4420</v>
      </c>
      <c r="T129">
        <v>5500</v>
      </c>
      <c r="U129">
        <v>1000</v>
      </c>
      <c r="V129">
        <v>1400</v>
      </c>
      <c r="W129" s="43">
        <f t="shared" si="46"/>
        <v>7900</v>
      </c>
      <c r="X129">
        <v>0</v>
      </c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110"/>
      <c r="AV129" s="110"/>
      <c r="AW129" s="110"/>
      <c r="AX129" s="110"/>
      <c r="AY129" s="110"/>
      <c r="AZ129" s="110"/>
      <c r="BA129" s="110"/>
      <c r="BB129" s="110"/>
      <c r="BC129" s="110"/>
      <c r="BD129" s="110"/>
      <c r="BE129" s="110"/>
      <c r="BF129" s="110"/>
      <c r="BG129" s="110"/>
      <c r="BH129" s="110"/>
      <c r="BI129" s="110"/>
      <c r="BJ129" s="110"/>
      <c r="BK129" s="110"/>
      <c r="BL129" s="110"/>
      <c r="BM129" s="110"/>
      <c r="BN129" s="110"/>
      <c r="BO129" s="110"/>
      <c r="BP129" s="110"/>
      <c r="BQ129" s="110"/>
      <c r="BR129" s="110"/>
      <c r="BS129" s="110"/>
      <c r="BT129" s="110"/>
      <c r="BU129" s="110"/>
      <c r="BV129" s="110"/>
      <c r="BW129" s="110"/>
      <c r="BX129" s="110"/>
      <c r="BY129" s="110"/>
      <c r="BZ129" s="110"/>
      <c r="CA129" s="110"/>
      <c r="CB129" s="110"/>
      <c r="CC129" s="110"/>
      <c r="CD129" s="110"/>
      <c r="CE129" s="110"/>
      <c r="CF129" s="110"/>
    </row>
    <row r="130" spans="1:84" s="45" customFormat="1" ht="39" customHeight="1" x14ac:dyDescent="0.25">
      <c r="A130" t="str">
        <f>Funktional!A130</f>
        <v>Aadorf</v>
      </c>
      <c r="B130" t="str">
        <f>Funktional!B130</f>
        <v>KiGa</v>
      </c>
      <c r="C130">
        <v>0.218</v>
      </c>
      <c r="D130">
        <v>0.1026</v>
      </c>
      <c r="E130" s="26">
        <f t="shared" si="47"/>
        <v>10596413.99</v>
      </c>
      <c r="F130">
        <v>8551824.25</v>
      </c>
      <c r="G130">
        <v>2044589.74</v>
      </c>
      <c r="H130">
        <v>156907.1</v>
      </c>
      <c r="I130" s="42">
        <f t="shared" si="43"/>
        <v>1.4807566045274908E-2</v>
      </c>
      <c r="J130" s="80">
        <f t="shared" si="44"/>
        <v>88350</v>
      </c>
      <c r="K130" s="43">
        <f>J130*'KiGa - PS'!L131</f>
        <v>12585.913306137518</v>
      </c>
      <c r="L130" s="42">
        <f>K130/Funktional!E130</f>
        <v>1.7919730038770041E-2</v>
      </c>
      <c r="M130">
        <v>60</v>
      </c>
      <c r="N130" s="43">
        <f>K130/Funktional!C130</f>
        <v>4195.3044353791729</v>
      </c>
      <c r="O130" s="44">
        <f>K130/Funktional!D130</f>
        <v>267.78538949228761</v>
      </c>
      <c r="P130">
        <v>13080</v>
      </c>
      <c r="Q130">
        <v>3000</v>
      </c>
      <c r="R130">
        <v>4800</v>
      </c>
      <c r="S130" s="43">
        <f t="shared" si="45"/>
        <v>20880</v>
      </c>
      <c r="T130">
        <v>36680</v>
      </c>
      <c r="U130">
        <v>3480</v>
      </c>
      <c r="V130">
        <v>12760</v>
      </c>
      <c r="W130" s="43">
        <f t="shared" si="46"/>
        <v>52920</v>
      </c>
      <c r="X130">
        <v>14550</v>
      </c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10"/>
      <c r="AN130" s="110"/>
      <c r="AO130" s="110"/>
      <c r="AP130" s="110"/>
      <c r="AQ130" s="110"/>
      <c r="AR130" s="110"/>
      <c r="AS130" s="110"/>
      <c r="AT130" s="110"/>
      <c r="AU130" s="110"/>
      <c r="AV130" s="110"/>
      <c r="AW130" s="110"/>
      <c r="AX130" s="110"/>
      <c r="AY130" s="110"/>
      <c r="AZ130" s="110"/>
      <c r="BA130" s="110"/>
      <c r="BB130" s="110"/>
      <c r="BC130" s="110"/>
      <c r="BD130" s="110"/>
      <c r="BE130" s="110"/>
      <c r="BF130" s="110"/>
      <c r="BG130" s="110"/>
      <c r="BH130" s="110"/>
      <c r="BI130" s="110"/>
      <c r="BJ130" s="110"/>
      <c r="BK130" s="110"/>
      <c r="BL130" s="110"/>
      <c r="BM130" s="110"/>
      <c r="BN130" s="110"/>
      <c r="BO130" s="110"/>
      <c r="BP130" s="110"/>
      <c r="BQ130" s="110"/>
      <c r="BR130" s="110"/>
      <c r="BS130" s="110"/>
      <c r="BT130" s="110"/>
      <c r="BU130" s="110"/>
      <c r="BV130" s="110"/>
      <c r="BW130" s="110"/>
      <c r="BX130" s="110"/>
      <c r="BY130" s="110"/>
      <c r="BZ130" s="110"/>
      <c r="CA130" s="110"/>
      <c r="CB130" s="110"/>
      <c r="CC130" s="110"/>
      <c r="CD130" s="110"/>
      <c r="CE130" s="110"/>
      <c r="CF130" s="110"/>
    </row>
    <row r="131" spans="1:84" s="45" customFormat="1" x14ac:dyDescent="0.25">
      <c r="A131" t="str">
        <f>Funktional!A131</f>
        <v>Affeltrangen</v>
      </c>
      <c r="B131" t="str">
        <f>Funktional!B131</f>
        <v>KiGa</v>
      </c>
      <c r="C131">
        <v>0.12959999999999999</v>
      </c>
      <c r="D131">
        <v>7.1999999999999995E-2</v>
      </c>
      <c r="E131" s="26">
        <f t="shared" ref="E131:E146" si="48">F131+G131</f>
        <v>4373623.32</v>
      </c>
      <c r="F131">
        <v>2727983</v>
      </c>
      <c r="G131">
        <v>1645640.32</v>
      </c>
      <c r="H131">
        <v>51002.2</v>
      </c>
      <c r="I131" s="42">
        <f t="shared" si="43"/>
        <v>1.1661315177000656E-2</v>
      </c>
      <c r="J131" s="80">
        <f t="shared" si="44"/>
        <v>27854</v>
      </c>
      <c r="K131" s="43">
        <f>J131*'KiGa - PS'!L132</f>
        <v>7113.2040050125779</v>
      </c>
      <c r="L131" s="42">
        <f>K131/Funktional!E131</f>
        <v>1.9765639716767338E-2</v>
      </c>
      <c r="M131">
        <v>50</v>
      </c>
      <c r="N131" s="43">
        <f>K131/Funktional!C131</f>
        <v>7113.2040050125779</v>
      </c>
      <c r="O131" s="44">
        <f>K131/Funktional!D131</f>
        <v>355.66020025062892</v>
      </c>
      <c r="P131">
        <v>4750</v>
      </c>
      <c r="Q131">
        <v>500</v>
      </c>
      <c r="R131">
        <v>2864</v>
      </c>
      <c r="S131" s="43">
        <f t="shared" si="45"/>
        <v>8114</v>
      </c>
      <c r="T131">
        <v>14000</v>
      </c>
      <c r="U131">
        <v>500</v>
      </c>
      <c r="V131">
        <v>5240</v>
      </c>
      <c r="W131" s="43">
        <f t="shared" si="46"/>
        <v>19740</v>
      </c>
      <c r="X131">
        <v>0</v>
      </c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10"/>
      <c r="AN131" s="110"/>
      <c r="AO131" s="110"/>
      <c r="AP131" s="110"/>
      <c r="AQ131" s="110"/>
      <c r="AR131" s="110"/>
      <c r="AS131" s="110"/>
      <c r="AT131" s="110"/>
      <c r="AU131" s="110"/>
      <c r="AV131" s="110"/>
      <c r="AW131" s="110"/>
      <c r="AX131" s="110"/>
      <c r="AY131" s="110"/>
      <c r="AZ131" s="110"/>
      <c r="BA131" s="110"/>
      <c r="BB131" s="110"/>
      <c r="BC131" s="110"/>
      <c r="BD131" s="110"/>
      <c r="BE131" s="110"/>
      <c r="BF131" s="110"/>
      <c r="BG131" s="110"/>
      <c r="BH131" s="110"/>
      <c r="BI131" s="110"/>
      <c r="BJ131" s="110"/>
      <c r="BK131" s="110"/>
      <c r="BL131" s="110"/>
      <c r="BM131" s="110"/>
      <c r="BN131" s="110"/>
      <c r="BO131" s="110"/>
      <c r="BP131" s="110"/>
      <c r="BQ131" s="110"/>
      <c r="BR131" s="110"/>
      <c r="BS131" s="110"/>
      <c r="BT131" s="110"/>
      <c r="BU131" s="110"/>
      <c r="BV131" s="110"/>
      <c r="BW131" s="110"/>
      <c r="BX131" s="110"/>
      <c r="BY131" s="110"/>
      <c r="BZ131" s="110"/>
      <c r="CA131" s="110"/>
      <c r="CB131" s="110"/>
      <c r="CC131" s="110"/>
      <c r="CD131" s="110"/>
      <c r="CE131" s="110"/>
      <c r="CF131" s="110"/>
    </row>
    <row r="132" spans="1:84" s="45" customFormat="1" x14ac:dyDescent="0.25">
      <c r="A132" t="str">
        <f>Funktional!A132</f>
        <v>Alterswilen</v>
      </c>
      <c r="B132" t="str">
        <f>Funktional!B132</f>
        <v>KiGa</v>
      </c>
      <c r="C132">
        <v>-9.35E-2</v>
      </c>
      <c r="D132">
        <v>-0.1709</v>
      </c>
      <c r="E132" s="26">
        <f t="shared" si="48"/>
        <v>1977153.25</v>
      </c>
      <c r="F132">
        <v>1528225.1</v>
      </c>
      <c r="G132">
        <v>448928.15</v>
      </c>
      <c r="H132">
        <v>280841.65000000002</v>
      </c>
      <c r="I132" s="42">
        <f t="shared" si="43"/>
        <v>0.14204344048697287</v>
      </c>
      <c r="J132" s="80">
        <f t="shared" si="44"/>
        <v>17500</v>
      </c>
      <c r="K132" s="43">
        <f>J132*'KiGa - PS'!L133</f>
        <v>2664.4775446555536</v>
      </c>
      <c r="L132" s="42">
        <f>K132/Funktional!E132</f>
        <v>1.5427447403644347E-2</v>
      </c>
      <c r="M132">
        <v>60</v>
      </c>
      <c r="N132" s="43">
        <f>K132/Funktional!C132</f>
        <v>2664.4775446555536</v>
      </c>
      <c r="O132" s="44">
        <f>K132/Funktional!D132</f>
        <v>133.22387723277768</v>
      </c>
      <c r="P132">
        <v>2900</v>
      </c>
      <c r="Q132">
        <v>0</v>
      </c>
      <c r="R132">
        <v>0</v>
      </c>
      <c r="S132" s="43">
        <f t="shared" si="45"/>
        <v>2900</v>
      </c>
      <c r="T132">
        <v>9500</v>
      </c>
      <c r="U132">
        <v>0</v>
      </c>
      <c r="V132">
        <v>1200</v>
      </c>
      <c r="W132" s="43">
        <f t="shared" si="46"/>
        <v>10700</v>
      </c>
      <c r="X132">
        <v>3900</v>
      </c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10"/>
      <c r="AN132" s="110"/>
      <c r="AO132" s="110"/>
      <c r="AP132" s="110"/>
      <c r="AQ132" s="110"/>
      <c r="AR132" s="110"/>
      <c r="AS132" s="110"/>
      <c r="AT132" s="110"/>
      <c r="AU132" s="110"/>
      <c r="AV132" s="110"/>
      <c r="AW132" s="110"/>
      <c r="AX132" s="110"/>
      <c r="AY132" s="110"/>
      <c r="AZ132" s="110"/>
      <c r="BA132" s="110"/>
      <c r="BB132" s="110"/>
      <c r="BC132" s="110"/>
      <c r="BD132" s="110"/>
      <c r="BE132" s="110"/>
      <c r="BF132" s="110"/>
      <c r="BG132" s="110"/>
      <c r="BH132" s="110"/>
      <c r="BI132" s="110"/>
      <c r="BJ132" s="110"/>
      <c r="BK132" s="110"/>
      <c r="BL132" s="110"/>
      <c r="BM132" s="110"/>
      <c r="BN132" s="110"/>
      <c r="BO132" s="110"/>
      <c r="BP132" s="110"/>
      <c r="BQ132" s="110"/>
      <c r="BR132" s="110"/>
      <c r="BS132" s="110"/>
      <c r="BT132" s="110"/>
      <c r="BU132" s="110"/>
      <c r="BV132" s="110"/>
      <c r="BW132" s="110"/>
      <c r="BX132" s="110"/>
      <c r="BY132" s="110"/>
      <c r="BZ132" s="110"/>
      <c r="CA132" s="110"/>
      <c r="CB132" s="110"/>
      <c r="CC132" s="110"/>
      <c r="CD132" s="110"/>
      <c r="CE132" s="110"/>
      <c r="CF132" s="110"/>
    </row>
    <row r="133" spans="1:84" s="45" customFormat="1" x14ac:dyDescent="0.25">
      <c r="A133" t="str">
        <f>Funktional!A133</f>
        <v>Altishausen-Graltshausen</v>
      </c>
      <c r="B133" t="str">
        <f>Funktional!B133</f>
        <v>KiGa</v>
      </c>
      <c r="C133">
        <v>2.4299999999999999E-2</v>
      </c>
      <c r="D133">
        <v>6.4000000000000001E-2</v>
      </c>
      <c r="E133" s="26">
        <f t="shared" si="48"/>
        <v>587311.75</v>
      </c>
      <c r="F133">
        <v>47666</v>
      </c>
      <c r="G133">
        <v>539645.75</v>
      </c>
      <c r="H133">
        <v>18331</v>
      </c>
      <c r="I133" s="42">
        <f t="shared" si="43"/>
        <v>3.1211703154244742E-2</v>
      </c>
      <c r="J133" s="80">
        <f t="shared" si="44"/>
        <v>4800</v>
      </c>
      <c r="K133" s="43">
        <f>J133*'KiGa - PS'!L134</f>
        <v>0</v>
      </c>
      <c r="L133" s="42"/>
      <c r="M133">
        <v>60</v>
      </c>
      <c r="N133" s="43"/>
      <c r="O133" s="44"/>
      <c r="P133">
        <v>1000</v>
      </c>
      <c r="Q133">
        <v>0</v>
      </c>
      <c r="R133">
        <v>0</v>
      </c>
      <c r="S133" s="43">
        <f t="shared" si="45"/>
        <v>1000</v>
      </c>
      <c r="T133">
        <v>2800</v>
      </c>
      <c r="U133">
        <v>0</v>
      </c>
      <c r="V133">
        <v>0</v>
      </c>
      <c r="W133" s="43">
        <f t="shared" si="46"/>
        <v>2800</v>
      </c>
      <c r="X133">
        <v>1000</v>
      </c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10"/>
      <c r="AN133" s="110"/>
      <c r="AO133" s="110"/>
      <c r="AP133" s="110"/>
      <c r="AQ133" s="110"/>
      <c r="AR133" s="110"/>
      <c r="AS133" s="110"/>
      <c r="AT133" s="110"/>
      <c r="AU133" s="110"/>
      <c r="AV133" s="110"/>
      <c r="AW133" s="110"/>
      <c r="AX133" s="110"/>
      <c r="AY133" s="110"/>
      <c r="AZ133" s="110"/>
      <c r="BA133" s="110"/>
      <c r="BB133" s="110"/>
      <c r="BC133" s="110"/>
      <c r="BD133" s="110"/>
      <c r="BE133" s="110"/>
      <c r="BF133" s="110"/>
      <c r="BG133" s="110"/>
      <c r="BH133" s="110"/>
      <c r="BI133" s="110"/>
      <c r="BJ133" s="110"/>
      <c r="BK133" s="110"/>
      <c r="BL133" s="110"/>
      <c r="BM133" s="110"/>
      <c r="BN133" s="110"/>
      <c r="BO133" s="110"/>
      <c r="BP133" s="110"/>
      <c r="BQ133" s="110"/>
      <c r="BR133" s="110"/>
      <c r="BS133" s="110"/>
      <c r="BT133" s="110"/>
      <c r="BU133" s="110"/>
      <c r="BV133" s="110"/>
      <c r="BW133" s="110"/>
      <c r="BX133" s="110"/>
      <c r="BY133" s="110"/>
      <c r="BZ133" s="110"/>
      <c r="CA133" s="110"/>
      <c r="CB133" s="110"/>
      <c r="CC133" s="110"/>
      <c r="CD133" s="110"/>
      <c r="CE133" s="110"/>
      <c r="CF133" s="110"/>
    </row>
    <row r="134" spans="1:84" s="45" customFormat="1" x14ac:dyDescent="0.25">
      <c r="A134" t="str">
        <f>Funktional!A134</f>
        <v>Altnau</v>
      </c>
      <c r="B134" t="str">
        <f>Funktional!B134</f>
        <v>KiGa</v>
      </c>
      <c r="C134">
        <v>0.25650000000000001</v>
      </c>
      <c r="D134">
        <v>0.11360000000000001</v>
      </c>
      <c r="E134" s="26">
        <f t="shared" si="48"/>
        <v>6937381.4500000002</v>
      </c>
      <c r="F134">
        <v>5761692</v>
      </c>
      <c r="G134">
        <v>1175689.45</v>
      </c>
      <c r="H134">
        <v>9843.5</v>
      </c>
      <c r="I134" s="42">
        <f t="shared" si="43"/>
        <v>1.4189071295769673E-3</v>
      </c>
      <c r="J134" s="80">
        <f t="shared" si="44"/>
        <v>29780</v>
      </c>
      <c r="K134" s="43">
        <f>J134*'KiGa - PS'!L135</f>
        <v>4431.1318518783009</v>
      </c>
      <c r="L134" s="42">
        <f>K134/Funktional!E134</f>
        <v>1.1692738928879544E-2</v>
      </c>
      <c r="M134">
        <v>55</v>
      </c>
      <c r="N134" s="43">
        <f>K134/Funktional!C134</f>
        <v>2215.5659259391505</v>
      </c>
      <c r="O134" s="44">
        <f>K134/Funktional!D134</f>
        <v>130.32740740818531</v>
      </c>
      <c r="P134">
        <v>8400</v>
      </c>
      <c r="Q134">
        <v>300</v>
      </c>
      <c r="R134">
        <v>1000</v>
      </c>
      <c r="S134" s="43">
        <f t="shared" si="45"/>
        <v>9700</v>
      </c>
      <c r="T134">
        <v>17680</v>
      </c>
      <c r="U134">
        <v>300</v>
      </c>
      <c r="V134">
        <v>1000</v>
      </c>
      <c r="W134" s="43">
        <f t="shared" si="46"/>
        <v>18980</v>
      </c>
      <c r="X134">
        <v>1100</v>
      </c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10"/>
      <c r="AN134" s="110"/>
      <c r="AO134" s="110"/>
      <c r="AP134" s="110"/>
      <c r="AQ134" s="110"/>
      <c r="AR134" s="110"/>
      <c r="AS134" s="110"/>
      <c r="AT134" s="110"/>
      <c r="AU134" s="110"/>
      <c r="AV134" s="110"/>
      <c r="AW134" s="110"/>
      <c r="AX134" s="110"/>
      <c r="AY134" s="110"/>
      <c r="AZ134" s="110"/>
      <c r="BA134" s="110"/>
      <c r="BB134" s="110"/>
      <c r="BC134" s="110"/>
      <c r="BD134" s="110"/>
      <c r="BE134" s="110"/>
      <c r="BF134" s="110"/>
      <c r="BG134" s="110"/>
      <c r="BH134" s="110"/>
      <c r="BI134" s="110"/>
      <c r="BJ134" s="110"/>
      <c r="BK134" s="110"/>
      <c r="BL134" s="110"/>
      <c r="BM134" s="110"/>
      <c r="BN134" s="110"/>
      <c r="BO134" s="110"/>
      <c r="BP134" s="110"/>
      <c r="BQ134" s="110"/>
      <c r="BR134" s="110"/>
      <c r="BS134" s="110"/>
      <c r="BT134" s="110"/>
      <c r="BU134" s="110"/>
      <c r="BV134" s="110"/>
      <c r="BW134" s="110"/>
      <c r="BX134" s="110"/>
      <c r="BY134" s="110"/>
      <c r="BZ134" s="110"/>
      <c r="CA134" s="110"/>
      <c r="CB134" s="110"/>
      <c r="CC134" s="110"/>
      <c r="CD134" s="110"/>
      <c r="CE134" s="110"/>
      <c r="CF134" s="110"/>
    </row>
    <row r="135" spans="1:84" s="45" customFormat="1" x14ac:dyDescent="0.25">
      <c r="A135" t="str">
        <f>Funktional!A135</f>
        <v>Amlikon</v>
      </c>
      <c r="B135" t="str">
        <f>Funktional!B135</f>
        <v>KiGa</v>
      </c>
      <c r="C135">
        <v>0.29389999999999999</v>
      </c>
      <c r="D135">
        <v>0.11269999999999999</v>
      </c>
      <c r="E135" s="26">
        <f t="shared" si="48"/>
        <v>2781832.4499999997</v>
      </c>
      <c r="F135">
        <v>2534838.4</v>
      </c>
      <c r="G135">
        <v>246994.05</v>
      </c>
      <c r="H135">
        <v>12693.1</v>
      </c>
      <c r="I135" s="42">
        <f t="shared" si="43"/>
        <v>4.5628556816928361E-3</v>
      </c>
      <c r="J135" s="80">
        <f t="shared" si="44"/>
        <v>15600</v>
      </c>
      <c r="K135" s="43">
        <f>J135*'KiGa - PS'!L136</f>
        <v>4101.1568633009383</v>
      </c>
      <c r="L135" s="42">
        <f>K135/Funktional!E135</f>
        <v>1.655315376839973E-2</v>
      </c>
      <c r="M135">
        <v>60</v>
      </c>
      <c r="N135" s="43">
        <f>K135/Funktional!C135</f>
        <v>4101.1568633009383</v>
      </c>
      <c r="O135" s="44">
        <f>K135/Funktional!D135</f>
        <v>215.85036122636518</v>
      </c>
      <c r="P135">
        <v>2400</v>
      </c>
      <c r="Q135">
        <v>0</v>
      </c>
      <c r="R135">
        <v>2400</v>
      </c>
      <c r="S135" s="43">
        <f t="shared" si="45"/>
        <v>4800</v>
      </c>
      <c r="T135">
        <v>8400</v>
      </c>
      <c r="U135">
        <v>0</v>
      </c>
      <c r="V135">
        <v>2400</v>
      </c>
      <c r="W135" s="43">
        <f t="shared" si="46"/>
        <v>10800</v>
      </c>
      <c r="X135">
        <v>0</v>
      </c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10"/>
      <c r="AN135" s="110"/>
      <c r="AO135" s="110"/>
      <c r="AP135" s="110"/>
      <c r="AQ135" s="110"/>
      <c r="AR135" s="110"/>
      <c r="AS135" s="110"/>
      <c r="AT135" s="110"/>
      <c r="AU135" s="110"/>
      <c r="AV135" s="110"/>
      <c r="AW135" s="110"/>
      <c r="AX135" s="110"/>
      <c r="AY135" s="110"/>
      <c r="AZ135" s="110"/>
      <c r="BA135" s="110"/>
      <c r="BB135" s="110"/>
      <c r="BC135" s="110"/>
      <c r="BD135" s="110"/>
      <c r="BE135" s="110"/>
      <c r="BF135" s="110"/>
      <c r="BG135" s="110"/>
      <c r="BH135" s="110"/>
      <c r="BI135" s="110"/>
      <c r="BJ135" s="110"/>
      <c r="BK135" s="110"/>
      <c r="BL135" s="110"/>
      <c r="BM135" s="110"/>
      <c r="BN135" s="110"/>
      <c r="BO135" s="110"/>
      <c r="BP135" s="110"/>
      <c r="BQ135" s="110"/>
      <c r="BR135" s="110"/>
      <c r="BS135" s="110"/>
      <c r="BT135" s="110"/>
      <c r="BU135" s="110"/>
      <c r="BV135" s="110"/>
      <c r="BW135" s="110"/>
      <c r="BX135" s="110"/>
      <c r="BY135" s="110"/>
      <c r="BZ135" s="110"/>
      <c r="CA135" s="110"/>
      <c r="CB135" s="110"/>
      <c r="CC135" s="110"/>
      <c r="CD135" s="110"/>
      <c r="CE135" s="110"/>
      <c r="CF135" s="110"/>
    </row>
    <row r="136" spans="1:84" s="45" customFormat="1" x14ac:dyDescent="0.25">
      <c r="A136" t="str">
        <f>Funktional!A136</f>
        <v>Amriswil</v>
      </c>
      <c r="B136" t="str">
        <f>Funktional!B136</f>
        <v>KiGa</v>
      </c>
      <c r="C136">
        <v>0.1197</v>
      </c>
      <c r="D136">
        <v>5.8500000000000003E-2</v>
      </c>
      <c r="E136" s="26">
        <f t="shared" si="48"/>
        <v>17971723.649999999</v>
      </c>
      <c r="F136">
        <v>13582527.4</v>
      </c>
      <c r="G136">
        <v>4389196.25</v>
      </c>
      <c r="H136">
        <v>157270.20000000001</v>
      </c>
      <c r="I136" s="42">
        <f t="shared" si="43"/>
        <v>8.750980321244814E-3</v>
      </c>
      <c r="J136" s="80">
        <f t="shared" si="44"/>
        <v>379000</v>
      </c>
      <c r="K136" s="43">
        <f>J136*'KiGa - PS'!L137</f>
        <v>47475.518772198164</v>
      </c>
      <c r="L136" s="42">
        <f>K136/Funktional!E136</f>
        <v>2.9625583897589965E-2</v>
      </c>
      <c r="M136">
        <v>80</v>
      </c>
      <c r="N136" s="43">
        <f>K136/Funktional!C136</f>
        <v>4521.4779783045869</v>
      </c>
      <c r="O136" s="44">
        <f>K136/Funktional!D136</f>
        <v>226.07389891522936</v>
      </c>
      <c r="P136">
        <v>70000</v>
      </c>
      <c r="Q136">
        <v>9000</v>
      </c>
      <c r="R136">
        <v>0</v>
      </c>
      <c r="S136" s="43">
        <f t="shared" si="45"/>
        <v>79000</v>
      </c>
      <c r="T136">
        <v>275000</v>
      </c>
      <c r="U136">
        <v>7200</v>
      </c>
      <c r="V136">
        <v>0</v>
      </c>
      <c r="W136" s="43">
        <f t="shared" si="46"/>
        <v>282200</v>
      </c>
      <c r="X136">
        <v>17800</v>
      </c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  <c r="AK136" s="110"/>
      <c r="AL136" s="110"/>
      <c r="AM136" s="110"/>
      <c r="AN136" s="110"/>
      <c r="AO136" s="110"/>
      <c r="AP136" s="110"/>
      <c r="AQ136" s="110"/>
      <c r="AR136" s="110"/>
      <c r="AS136" s="110"/>
      <c r="AT136" s="110"/>
      <c r="AU136" s="110"/>
      <c r="AV136" s="110"/>
      <c r="AW136" s="110"/>
      <c r="AX136" s="110"/>
      <c r="AY136" s="110"/>
      <c r="AZ136" s="110"/>
      <c r="BA136" s="110"/>
      <c r="BB136" s="110"/>
      <c r="BC136" s="110"/>
      <c r="BD136" s="110"/>
      <c r="BE136" s="110"/>
      <c r="BF136" s="110"/>
      <c r="BG136" s="110"/>
      <c r="BH136" s="110"/>
      <c r="BI136" s="110"/>
      <c r="BJ136" s="110"/>
      <c r="BK136" s="110"/>
      <c r="BL136" s="110"/>
      <c r="BM136" s="110"/>
      <c r="BN136" s="110"/>
      <c r="BO136" s="110"/>
      <c r="BP136" s="110"/>
      <c r="BQ136" s="110"/>
      <c r="BR136" s="110"/>
      <c r="BS136" s="110"/>
      <c r="BT136" s="110"/>
      <c r="BU136" s="110"/>
      <c r="BV136" s="110"/>
      <c r="BW136" s="110"/>
      <c r="BX136" s="110"/>
      <c r="BY136" s="110"/>
      <c r="BZ136" s="110"/>
      <c r="CA136" s="110"/>
      <c r="CB136" s="110"/>
      <c r="CC136" s="110"/>
      <c r="CD136" s="110"/>
      <c r="CE136" s="110"/>
      <c r="CF136" s="110"/>
    </row>
    <row r="137" spans="1:84" s="45" customFormat="1" x14ac:dyDescent="0.25">
      <c r="A137" t="str">
        <f>Funktional!A137</f>
        <v>Au</v>
      </c>
      <c r="B137" t="str">
        <f>Funktional!B137</f>
        <v>KiGa</v>
      </c>
      <c r="C137">
        <v>3.7600000000000001E-2</v>
      </c>
      <c r="D137">
        <v>1E-4</v>
      </c>
      <c r="E137" s="26">
        <f t="shared" si="48"/>
        <v>188935.8</v>
      </c>
      <c r="F137">
        <v>179595</v>
      </c>
      <c r="G137">
        <v>9340.7999999999993</v>
      </c>
      <c r="H137">
        <v>8300</v>
      </c>
      <c r="I137" s="42">
        <f t="shared" ref="I137:I152" si="49">H137/E137</f>
        <v>4.3930266259755962E-2</v>
      </c>
      <c r="J137" s="80">
        <f t="shared" ref="J137:J152" si="50">S137+W137+X137</f>
        <v>4000</v>
      </c>
      <c r="K137" s="43">
        <f>J137*'KiGa - PS'!L138</f>
        <v>0</v>
      </c>
      <c r="L137" s="42"/>
      <c r="M137">
        <v>50</v>
      </c>
      <c r="N137" s="43"/>
      <c r="O137" s="44"/>
      <c r="P137">
        <v>700</v>
      </c>
      <c r="Q137">
        <v>0</v>
      </c>
      <c r="R137">
        <v>400</v>
      </c>
      <c r="S137" s="43">
        <f t="shared" ref="S137:S152" si="51">P137+Q137+R137</f>
        <v>1100</v>
      </c>
      <c r="T137">
        <v>2000</v>
      </c>
      <c r="U137">
        <v>0</v>
      </c>
      <c r="V137">
        <v>900</v>
      </c>
      <c r="W137" s="43">
        <f t="shared" ref="W137:W152" si="52">T137+U137+V137</f>
        <v>2900</v>
      </c>
      <c r="X137">
        <v>0</v>
      </c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10"/>
      <c r="AN137" s="110"/>
      <c r="AO137" s="110"/>
      <c r="AP137" s="110"/>
      <c r="AQ137" s="110"/>
      <c r="AR137" s="110"/>
      <c r="AS137" s="110"/>
      <c r="AT137" s="110"/>
      <c r="AU137" s="110"/>
      <c r="AV137" s="110"/>
      <c r="AW137" s="110"/>
      <c r="AX137" s="110"/>
      <c r="AY137" s="110"/>
      <c r="AZ137" s="110"/>
      <c r="BA137" s="110"/>
      <c r="BB137" s="110"/>
      <c r="BC137" s="110"/>
      <c r="BD137" s="110"/>
      <c r="BE137" s="110"/>
      <c r="BF137" s="110"/>
      <c r="BG137" s="110"/>
      <c r="BH137" s="110"/>
      <c r="BI137" s="110"/>
      <c r="BJ137" s="110"/>
      <c r="BK137" s="110"/>
      <c r="BL137" s="110"/>
      <c r="BM137" s="110"/>
      <c r="BN137" s="110"/>
      <c r="BO137" s="110"/>
      <c r="BP137" s="110"/>
      <c r="BQ137" s="110"/>
      <c r="BR137" s="110"/>
      <c r="BS137" s="110"/>
      <c r="BT137" s="110"/>
      <c r="BU137" s="110"/>
      <c r="BV137" s="110"/>
      <c r="BW137" s="110"/>
      <c r="BX137" s="110"/>
      <c r="BY137" s="110"/>
      <c r="BZ137" s="110"/>
      <c r="CA137" s="110"/>
      <c r="CB137" s="110"/>
      <c r="CC137" s="110"/>
      <c r="CD137" s="110"/>
      <c r="CE137" s="110"/>
      <c r="CF137" s="110"/>
    </row>
    <row r="138" spans="1:84" s="45" customFormat="1" x14ac:dyDescent="0.25">
      <c r="A138" t="str">
        <f>Funktional!A138</f>
        <v>Balterswil</v>
      </c>
      <c r="B138" t="str">
        <f>Funktional!B138</f>
        <v>KiGa</v>
      </c>
      <c r="C138">
        <v>0.2205</v>
      </c>
      <c r="D138">
        <v>9.2899999999999996E-2</v>
      </c>
      <c r="E138" s="26">
        <f t="shared" si="48"/>
        <v>3623844.45</v>
      </c>
      <c r="F138">
        <v>3184370</v>
      </c>
      <c r="G138">
        <v>439474.45</v>
      </c>
      <c r="H138">
        <v>19136.55</v>
      </c>
      <c r="I138" s="42">
        <f t="shared" si="49"/>
        <v>5.2807316274295375E-3</v>
      </c>
      <c r="J138" s="80">
        <f t="shared" si="50"/>
        <v>37550</v>
      </c>
      <c r="K138" s="43">
        <f>J138*'KiGa - PS'!L139</f>
        <v>5916.1464455810228</v>
      </c>
      <c r="L138" s="42">
        <f>K138/Funktional!E138</f>
        <v>2.3246825632030423E-2</v>
      </c>
      <c r="M138">
        <v>60</v>
      </c>
      <c r="N138" s="43">
        <f>K138/Funktional!C138</f>
        <v>2958.0732227905114</v>
      </c>
      <c r="O138" s="44">
        <f>K138/Funktional!D138</f>
        <v>147.90366113952558</v>
      </c>
      <c r="P138">
        <v>5500</v>
      </c>
      <c r="Q138">
        <v>1750</v>
      </c>
      <c r="R138">
        <v>2800</v>
      </c>
      <c r="S138" s="43">
        <f t="shared" si="51"/>
        <v>10050</v>
      </c>
      <c r="T138">
        <v>18750</v>
      </c>
      <c r="U138">
        <v>1750</v>
      </c>
      <c r="V138">
        <v>2800</v>
      </c>
      <c r="W138" s="43">
        <f t="shared" si="52"/>
        <v>23300</v>
      </c>
      <c r="X138">
        <v>4200</v>
      </c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10"/>
      <c r="AN138" s="110"/>
      <c r="AO138" s="110"/>
      <c r="AP138" s="110"/>
      <c r="AQ138" s="110"/>
      <c r="AR138" s="110"/>
      <c r="AS138" s="110"/>
      <c r="AT138" s="110"/>
      <c r="AU138" s="110"/>
      <c r="AV138" s="110"/>
      <c r="AW138" s="110"/>
      <c r="AX138" s="110"/>
      <c r="AY138" s="110"/>
      <c r="AZ138" s="110"/>
      <c r="BA138" s="110"/>
      <c r="BB138" s="110"/>
      <c r="BC138" s="110"/>
      <c r="BD138" s="110"/>
      <c r="BE138" s="110"/>
      <c r="BF138" s="110"/>
      <c r="BG138" s="110"/>
      <c r="BH138" s="110"/>
      <c r="BI138" s="110"/>
      <c r="BJ138" s="110"/>
      <c r="BK138" s="110"/>
      <c r="BL138" s="110"/>
      <c r="BM138" s="110"/>
      <c r="BN138" s="110"/>
      <c r="BO138" s="110"/>
      <c r="BP138" s="110"/>
      <c r="BQ138" s="110"/>
      <c r="BR138" s="110"/>
      <c r="BS138" s="110"/>
      <c r="BT138" s="110"/>
      <c r="BU138" s="110"/>
      <c r="BV138" s="110"/>
      <c r="BW138" s="110"/>
      <c r="BX138" s="110"/>
      <c r="BY138" s="110"/>
      <c r="BZ138" s="110"/>
      <c r="CA138" s="110"/>
      <c r="CB138" s="110"/>
      <c r="CC138" s="110"/>
      <c r="CD138" s="110"/>
      <c r="CE138" s="110"/>
      <c r="CF138" s="110"/>
    </row>
    <row r="139" spans="1:84" s="45" customFormat="1" x14ac:dyDescent="0.25">
      <c r="A139" t="str">
        <f>Funktional!A139</f>
        <v xml:space="preserve">Basadingen-Willisdorf </v>
      </c>
      <c r="B139" t="str">
        <f>Funktional!B139</f>
        <v>KiGa</v>
      </c>
      <c r="C139">
        <v>9.1200000000000003E-2</v>
      </c>
      <c r="D139">
        <v>6.88E-2</v>
      </c>
      <c r="E139" s="26">
        <f t="shared" si="48"/>
        <v>1755852.85</v>
      </c>
      <c r="F139">
        <v>645600</v>
      </c>
      <c r="G139">
        <v>1110252.8500000001</v>
      </c>
      <c r="H139">
        <v>39080.9</v>
      </c>
      <c r="I139" s="42">
        <f t="shared" si="49"/>
        <v>2.2257502956469274E-2</v>
      </c>
      <c r="J139" s="80">
        <f t="shared" si="50"/>
        <v>14650</v>
      </c>
      <c r="K139" s="43">
        <f>J139*'KiGa - PS'!L140</f>
        <v>2481.418151706263</v>
      </c>
      <c r="L139" s="42">
        <f>K139/Funktional!E139</f>
        <v>1.1365120035449863E-2</v>
      </c>
      <c r="M139">
        <v>60</v>
      </c>
      <c r="N139" s="43">
        <f>K139/Funktional!C139</f>
        <v>1240.7090758531315</v>
      </c>
      <c r="O139" s="44">
        <f>K139/Funktional!D139</f>
        <v>75.194489445644336</v>
      </c>
      <c r="P139">
        <v>5100</v>
      </c>
      <c r="Q139">
        <v>0</v>
      </c>
      <c r="R139">
        <v>1050</v>
      </c>
      <c r="S139" s="43">
        <f t="shared" si="51"/>
        <v>6150</v>
      </c>
      <c r="T139">
        <v>5700</v>
      </c>
      <c r="U139">
        <v>0</v>
      </c>
      <c r="V139">
        <v>1000</v>
      </c>
      <c r="W139" s="43">
        <f t="shared" si="52"/>
        <v>6700</v>
      </c>
      <c r="X139">
        <v>1800</v>
      </c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  <c r="AI139" s="110"/>
      <c r="AJ139" s="110"/>
      <c r="AK139" s="110"/>
      <c r="AL139" s="110"/>
      <c r="AM139" s="110"/>
      <c r="AN139" s="110"/>
      <c r="AO139" s="110"/>
      <c r="AP139" s="110"/>
      <c r="AQ139" s="110"/>
      <c r="AR139" s="110"/>
      <c r="AS139" s="110"/>
      <c r="AT139" s="110"/>
      <c r="AU139" s="110"/>
      <c r="AV139" s="110"/>
      <c r="AW139" s="110"/>
      <c r="AX139" s="110"/>
      <c r="AY139" s="110"/>
      <c r="AZ139" s="110"/>
      <c r="BA139" s="110"/>
      <c r="BB139" s="110"/>
      <c r="BC139" s="110"/>
      <c r="BD139" s="110"/>
      <c r="BE139" s="110"/>
      <c r="BF139" s="110"/>
      <c r="BG139" s="110"/>
      <c r="BH139" s="110"/>
      <c r="BI139" s="110"/>
      <c r="BJ139" s="110"/>
      <c r="BK139" s="110"/>
      <c r="BL139" s="110"/>
      <c r="BM139" s="110"/>
      <c r="BN139" s="110"/>
      <c r="BO139" s="110"/>
      <c r="BP139" s="110"/>
      <c r="BQ139" s="110"/>
      <c r="BR139" s="110"/>
      <c r="BS139" s="110"/>
      <c r="BT139" s="110"/>
      <c r="BU139" s="110"/>
      <c r="BV139" s="110"/>
      <c r="BW139" s="110"/>
      <c r="BX139" s="110"/>
      <c r="BY139" s="110"/>
      <c r="BZ139" s="110"/>
      <c r="CA139" s="110"/>
      <c r="CB139" s="110"/>
      <c r="CC139" s="110"/>
      <c r="CD139" s="110"/>
      <c r="CE139" s="110"/>
      <c r="CF139" s="110"/>
    </row>
    <row r="140" spans="1:84" s="45" customFormat="1" x14ac:dyDescent="0.25">
      <c r="A140" t="str">
        <f>Funktional!A140</f>
        <v>Berg</v>
      </c>
      <c r="B140" t="str">
        <f>Funktional!B140</f>
        <v>KiGa</v>
      </c>
      <c r="C140">
        <v>0.1048</v>
      </c>
      <c r="D140">
        <v>2.0299999999999999E-2</v>
      </c>
      <c r="E140" s="26">
        <f t="shared" si="48"/>
        <v>4204027.95</v>
      </c>
      <c r="F140">
        <v>2983557.9</v>
      </c>
      <c r="G140">
        <v>1220470.05</v>
      </c>
      <c r="H140">
        <v>40025.699999999997</v>
      </c>
      <c r="I140" s="42">
        <f t="shared" si="49"/>
        <v>9.5207977863229938E-3</v>
      </c>
      <c r="J140" s="80">
        <f t="shared" si="50"/>
        <v>43700</v>
      </c>
      <c r="K140" s="43">
        <f>J140*'KiGa - PS'!L141</f>
        <v>7042.1912085161775</v>
      </c>
      <c r="L140" s="42">
        <f>K140/Funktional!E140</f>
        <v>1.9215354836150843E-2</v>
      </c>
      <c r="M140">
        <v>70</v>
      </c>
      <c r="N140" s="43">
        <f>K140/Funktional!C140</f>
        <v>1760.5478021290444</v>
      </c>
      <c r="O140" s="44">
        <f>K140/Funktional!D140</f>
        <v>128.0398401548396</v>
      </c>
      <c r="P140">
        <v>10200</v>
      </c>
      <c r="Q140">
        <v>200</v>
      </c>
      <c r="R140">
        <v>1000</v>
      </c>
      <c r="S140" s="43">
        <f t="shared" si="51"/>
        <v>11400</v>
      </c>
      <c r="T140">
        <v>28900</v>
      </c>
      <c r="U140">
        <v>400</v>
      </c>
      <c r="V140">
        <v>3000</v>
      </c>
      <c r="W140" s="43">
        <f t="shared" si="52"/>
        <v>32300</v>
      </c>
      <c r="X140">
        <v>0</v>
      </c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  <c r="AI140" s="110"/>
      <c r="AJ140" s="110"/>
      <c r="AK140" s="110"/>
      <c r="AL140" s="110"/>
      <c r="AM140" s="110"/>
      <c r="AN140" s="110"/>
      <c r="AO140" s="110"/>
      <c r="AP140" s="110"/>
      <c r="AQ140" s="110"/>
      <c r="AR140" s="110"/>
      <c r="AS140" s="110"/>
      <c r="AT140" s="110"/>
      <c r="AU140" s="110"/>
      <c r="AV140" s="110"/>
      <c r="AW140" s="110"/>
      <c r="AX140" s="110"/>
      <c r="AY140" s="110"/>
      <c r="AZ140" s="110"/>
      <c r="BA140" s="110"/>
      <c r="BB140" s="110"/>
      <c r="BC140" s="110"/>
      <c r="BD140" s="110"/>
      <c r="BE140" s="110"/>
      <c r="BF140" s="110"/>
      <c r="BG140" s="110"/>
      <c r="BH140" s="110"/>
      <c r="BI140" s="110"/>
      <c r="BJ140" s="110"/>
      <c r="BK140" s="110"/>
      <c r="BL140" s="110"/>
      <c r="BM140" s="110"/>
      <c r="BN140" s="110"/>
      <c r="BO140" s="110"/>
      <c r="BP140" s="110"/>
      <c r="BQ140" s="110"/>
      <c r="BR140" s="110"/>
      <c r="BS140" s="110"/>
      <c r="BT140" s="110"/>
      <c r="BU140" s="110"/>
      <c r="BV140" s="110"/>
      <c r="BW140" s="110"/>
      <c r="BX140" s="110"/>
      <c r="BY140" s="110"/>
      <c r="BZ140" s="110"/>
      <c r="CA140" s="110"/>
      <c r="CB140" s="110"/>
      <c r="CC140" s="110"/>
      <c r="CD140" s="110"/>
      <c r="CE140" s="110"/>
      <c r="CF140" s="110"/>
    </row>
    <row r="141" spans="1:84" s="45" customFormat="1" x14ac:dyDescent="0.25">
      <c r="A141" t="str">
        <f>Funktional!A141</f>
        <v>Berlingen</v>
      </c>
      <c r="B141" t="str">
        <f>Funktional!B141</f>
        <v>KiGa</v>
      </c>
      <c r="C141">
        <v>5.79E-2</v>
      </c>
      <c r="D141">
        <v>5.3600000000000002E-2</v>
      </c>
      <c r="E141" s="26">
        <f t="shared" si="48"/>
        <v>373919.85</v>
      </c>
      <c r="F141">
        <v>16542</v>
      </c>
      <c r="G141">
        <v>357377.85</v>
      </c>
      <c r="H141">
        <v>1270.95</v>
      </c>
      <c r="I141" s="42">
        <f t="shared" si="49"/>
        <v>3.398990452098224E-3</v>
      </c>
      <c r="J141" s="80">
        <f t="shared" si="50"/>
        <v>22143</v>
      </c>
      <c r="K141" s="43">
        <f>J141*'KiGa - PS'!L142</f>
        <v>3995.5308777389387</v>
      </c>
      <c r="L141" s="42">
        <f>K141/Funktional!E141</f>
        <v>2.08716513620772E-2</v>
      </c>
      <c r="M141">
        <v>70</v>
      </c>
      <c r="N141" s="43">
        <f>K141/Funktional!C141</f>
        <v>3995.5308777389387</v>
      </c>
      <c r="O141" s="44">
        <f>K141/Funktional!D141</f>
        <v>332.96090647824491</v>
      </c>
      <c r="P141">
        <v>4835</v>
      </c>
      <c r="Q141">
        <v>1083</v>
      </c>
      <c r="R141">
        <v>0</v>
      </c>
      <c r="S141" s="43">
        <f t="shared" si="51"/>
        <v>5918</v>
      </c>
      <c r="T141">
        <v>14460</v>
      </c>
      <c r="U141">
        <v>0</v>
      </c>
      <c r="V141">
        <v>0</v>
      </c>
      <c r="W141" s="43">
        <f t="shared" si="52"/>
        <v>14460</v>
      </c>
      <c r="X141">
        <v>1765</v>
      </c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  <c r="AI141" s="110"/>
      <c r="AJ141" s="110"/>
      <c r="AK141" s="110"/>
      <c r="AL141" s="110"/>
      <c r="AM141" s="110"/>
      <c r="AN141" s="110"/>
      <c r="AO141" s="110"/>
      <c r="AP141" s="110"/>
      <c r="AQ141" s="110"/>
      <c r="AR141" s="110"/>
      <c r="AS141" s="110"/>
      <c r="AT141" s="110"/>
      <c r="AU141" s="110"/>
      <c r="AV141" s="110"/>
      <c r="AW141" s="110"/>
      <c r="AX141" s="110"/>
      <c r="AY141" s="110"/>
      <c r="AZ141" s="110"/>
      <c r="BA141" s="110"/>
      <c r="BB141" s="110"/>
      <c r="BC141" s="110"/>
      <c r="BD141" s="110"/>
      <c r="BE141" s="110"/>
      <c r="BF141" s="110"/>
      <c r="BG141" s="110"/>
      <c r="BH141" s="110"/>
      <c r="BI141" s="110"/>
      <c r="BJ141" s="110"/>
      <c r="BK141" s="110"/>
      <c r="BL141" s="110"/>
      <c r="BM141" s="110"/>
      <c r="BN141" s="110"/>
      <c r="BO141" s="110"/>
      <c r="BP141" s="110"/>
      <c r="BQ141" s="110"/>
      <c r="BR141" s="110"/>
      <c r="BS141" s="110"/>
      <c r="BT141" s="110"/>
      <c r="BU141" s="110"/>
      <c r="BV141" s="110"/>
      <c r="BW141" s="110"/>
      <c r="BX141" s="110"/>
      <c r="BY141" s="110"/>
      <c r="BZ141" s="110"/>
      <c r="CA141" s="110"/>
      <c r="CB141" s="110"/>
      <c r="CC141" s="110"/>
      <c r="CD141" s="110"/>
      <c r="CE141" s="110"/>
      <c r="CF141" s="110"/>
    </row>
    <row r="142" spans="1:84" s="45" customFormat="1" x14ac:dyDescent="0.25">
      <c r="A142" t="str">
        <f>Funktional!A142</f>
        <v>Bettwiesen</v>
      </c>
      <c r="B142" t="str">
        <f>Funktional!B142</f>
        <v>KiGa</v>
      </c>
      <c r="C142">
        <v>0.23369999999999999</v>
      </c>
      <c r="D142">
        <v>0.1132</v>
      </c>
      <c r="E142" s="26">
        <f t="shared" si="48"/>
        <v>5836615.25</v>
      </c>
      <c r="F142">
        <v>5103018.0999999996</v>
      </c>
      <c r="G142">
        <v>733597.15</v>
      </c>
      <c r="H142">
        <v>36156.050000000003</v>
      </c>
      <c r="I142" s="42">
        <f t="shared" si="49"/>
        <v>6.1946947762232573E-3</v>
      </c>
      <c r="J142" s="80">
        <f t="shared" si="50"/>
        <v>20180</v>
      </c>
      <c r="K142" s="43">
        <f>J142*'KiGa - PS'!L143</f>
        <v>3594.6332732450478</v>
      </c>
      <c r="L142" s="42">
        <f>K142/Funktional!E142</f>
        <v>1.2983859062204428E-2</v>
      </c>
      <c r="M142">
        <v>60</v>
      </c>
      <c r="N142" s="43">
        <f>K142/Funktional!C142</f>
        <v>1797.3166366225239</v>
      </c>
      <c r="O142" s="44">
        <f>K142/Funktional!D142</f>
        <v>112.33228978890774</v>
      </c>
      <c r="P142">
        <v>4850</v>
      </c>
      <c r="Q142">
        <v>500</v>
      </c>
      <c r="R142">
        <v>1500</v>
      </c>
      <c r="S142" s="43">
        <f t="shared" si="51"/>
        <v>6850</v>
      </c>
      <c r="T142">
        <v>11530</v>
      </c>
      <c r="U142">
        <v>300</v>
      </c>
      <c r="V142">
        <v>1500</v>
      </c>
      <c r="W142" s="43">
        <f t="shared" si="52"/>
        <v>13330</v>
      </c>
      <c r="X142">
        <v>0</v>
      </c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  <c r="AK142" s="110"/>
      <c r="AL142" s="110"/>
      <c r="AM142" s="110"/>
      <c r="AN142" s="110"/>
      <c r="AO142" s="110"/>
      <c r="AP142" s="110"/>
      <c r="AQ142" s="110"/>
      <c r="AR142" s="110"/>
      <c r="AS142" s="110"/>
      <c r="AT142" s="110"/>
      <c r="AU142" s="110"/>
      <c r="AV142" s="110"/>
      <c r="AW142" s="110"/>
      <c r="AX142" s="110"/>
      <c r="AY142" s="110"/>
      <c r="AZ142" s="110"/>
      <c r="BA142" s="110"/>
      <c r="BB142" s="110"/>
      <c r="BC142" s="110"/>
      <c r="BD142" s="110"/>
      <c r="BE142" s="110"/>
      <c r="BF142" s="110"/>
      <c r="BG142" s="110"/>
      <c r="BH142" s="110"/>
      <c r="BI142" s="110"/>
      <c r="BJ142" s="110"/>
      <c r="BK142" s="110"/>
      <c r="BL142" s="110"/>
      <c r="BM142" s="110"/>
      <c r="BN142" s="110"/>
      <c r="BO142" s="110"/>
      <c r="BP142" s="110"/>
      <c r="BQ142" s="110"/>
      <c r="BR142" s="110"/>
      <c r="BS142" s="110"/>
      <c r="BT142" s="110"/>
      <c r="BU142" s="110"/>
      <c r="BV142" s="110"/>
      <c r="BW142" s="110"/>
      <c r="BX142" s="110"/>
      <c r="BY142" s="110"/>
      <c r="BZ142" s="110"/>
      <c r="CA142" s="110"/>
      <c r="CB142" s="110"/>
      <c r="CC142" s="110"/>
      <c r="CD142" s="110"/>
      <c r="CE142" s="110"/>
      <c r="CF142" s="110"/>
    </row>
    <row r="143" spans="1:84" s="45" customFormat="1" x14ac:dyDescent="0.25">
      <c r="A143" t="str">
        <f>Funktional!A143</f>
        <v>Bichelsee</v>
      </c>
      <c r="B143" t="str">
        <f>Funktional!B143</f>
        <v>KiGa</v>
      </c>
      <c r="C143">
        <v>9.6799999999999997E-2</v>
      </c>
      <c r="D143">
        <v>5.9799999999999999E-2</v>
      </c>
      <c r="E143" s="26">
        <f t="shared" si="48"/>
        <v>4403795.25</v>
      </c>
      <c r="F143">
        <v>1576870.8</v>
      </c>
      <c r="G143">
        <v>2826924.45</v>
      </c>
      <c r="H143">
        <v>117337.25</v>
      </c>
      <c r="I143" s="42">
        <f t="shared" si="49"/>
        <v>2.6644574358900996E-2</v>
      </c>
      <c r="J143" s="80">
        <f t="shared" si="50"/>
        <v>31051.200000000001</v>
      </c>
      <c r="K143" s="43">
        <f>J143*'KiGa - PS'!L144</f>
        <v>6850.2847837167974</v>
      </c>
      <c r="L143" s="42">
        <f>K143/Funktional!E143</f>
        <v>2.3392168830540721E-2</v>
      </c>
      <c r="M143">
        <v>60</v>
      </c>
      <c r="N143" s="43">
        <f>K143/Funktional!C143</f>
        <v>3425.1423918583987</v>
      </c>
      <c r="O143" s="44">
        <f>K143/Funktional!D143</f>
        <v>180.27065220307361</v>
      </c>
      <c r="P143">
        <v>6500</v>
      </c>
      <c r="Q143">
        <v>1764</v>
      </c>
      <c r="R143">
        <v>2820</v>
      </c>
      <c r="S143" s="43">
        <f t="shared" si="51"/>
        <v>11084</v>
      </c>
      <c r="T143">
        <v>13351.2</v>
      </c>
      <c r="U143">
        <v>1764</v>
      </c>
      <c r="V143">
        <v>2820</v>
      </c>
      <c r="W143" s="43">
        <f t="shared" si="52"/>
        <v>17935.2</v>
      </c>
      <c r="X143">
        <v>2032</v>
      </c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  <c r="AU143" s="110"/>
      <c r="AV143" s="110"/>
      <c r="AW143" s="110"/>
      <c r="AX143" s="110"/>
      <c r="AY143" s="110"/>
      <c r="AZ143" s="110"/>
      <c r="BA143" s="110"/>
      <c r="BB143" s="110"/>
      <c r="BC143" s="110"/>
      <c r="BD143" s="110"/>
      <c r="BE143" s="110"/>
      <c r="BF143" s="110"/>
      <c r="BG143" s="110"/>
      <c r="BH143" s="110"/>
      <c r="BI143" s="110"/>
      <c r="BJ143" s="110"/>
      <c r="BK143" s="110"/>
      <c r="BL143" s="110"/>
      <c r="BM143" s="110"/>
      <c r="BN143" s="110"/>
      <c r="BO143" s="110"/>
      <c r="BP143" s="110"/>
      <c r="BQ143" s="110"/>
      <c r="BR143" s="110"/>
      <c r="BS143" s="110"/>
      <c r="BT143" s="110"/>
      <c r="BU143" s="110"/>
      <c r="BV143" s="110"/>
      <c r="BW143" s="110"/>
      <c r="BX143" s="110"/>
      <c r="BY143" s="110"/>
      <c r="BZ143" s="110"/>
      <c r="CA143" s="110"/>
      <c r="CB143" s="110"/>
      <c r="CC143" s="110"/>
      <c r="CD143" s="110"/>
      <c r="CE143" s="110"/>
      <c r="CF143" s="110"/>
    </row>
    <row r="144" spans="1:84" s="45" customFormat="1" x14ac:dyDescent="0.25">
      <c r="A144" t="str">
        <f>Funktional!A144</f>
        <v>Bischofszell</v>
      </c>
      <c r="B144" t="str">
        <f>Funktional!B144</f>
        <v>KiGa</v>
      </c>
      <c r="C144">
        <v>0.1817</v>
      </c>
      <c r="D144">
        <v>6.13E-2</v>
      </c>
      <c r="E144" s="26">
        <f t="shared" si="48"/>
        <v>12027781.800000001</v>
      </c>
      <c r="F144">
        <v>10430762</v>
      </c>
      <c r="G144">
        <v>1597019.8</v>
      </c>
      <c r="H144">
        <v>285992.09999999998</v>
      </c>
      <c r="I144" s="42">
        <f t="shared" si="49"/>
        <v>2.3777626228636769E-2</v>
      </c>
      <c r="J144" s="80">
        <f t="shared" si="50"/>
        <v>85592</v>
      </c>
      <c r="K144" s="43">
        <f>J144*'KiGa - PS'!L145</f>
        <v>9575.2640369927576</v>
      </c>
      <c r="L144" s="42">
        <f>K144/Funktional!E144</f>
        <v>1.545969723651771E-2</v>
      </c>
      <c r="M144">
        <v>90</v>
      </c>
      <c r="N144" s="43">
        <f>K144/Funktional!C144</f>
        <v>2393.8160092481894</v>
      </c>
      <c r="O144" s="44">
        <f>K144/Funktional!D144</f>
        <v>112.65016514109126</v>
      </c>
      <c r="P144">
        <v>22640</v>
      </c>
      <c r="Q144">
        <v>2264</v>
      </c>
      <c r="R144">
        <v>0</v>
      </c>
      <c r="S144" s="43">
        <f t="shared" si="51"/>
        <v>24904</v>
      </c>
      <c r="T144">
        <v>60008</v>
      </c>
      <c r="U144">
        <v>0</v>
      </c>
      <c r="V144">
        <v>0</v>
      </c>
      <c r="W144" s="43">
        <f t="shared" si="52"/>
        <v>60008</v>
      </c>
      <c r="X144">
        <v>680</v>
      </c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110"/>
      <c r="AJ144" s="110"/>
      <c r="AK144" s="110"/>
      <c r="AL144" s="110"/>
      <c r="AM144" s="110"/>
      <c r="AN144" s="110"/>
      <c r="AO144" s="110"/>
      <c r="AP144" s="110"/>
      <c r="AQ144" s="110"/>
      <c r="AR144" s="110"/>
      <c r="AS144" s="110"/>
      <c r="AT144" s="110"/>
      <c r="AU144" s="110"/>
      <c r="AV144" s="110"/>
      <c r="AW144" s="110"/>
      <c r="AX144" s="110"/>
      <c r="AY144" s="110"/>
      <c r="AZ144" s="110"/>
      <c r="BA144" s="110"/>
      <c r="BB144" s="110"/>
      <c r="BC144" s="110"/>
      <c r="BD144" s="110"/>
      <c r="BE144" s="110"/>
      <c r="BF144" s="110"/>
      <c r="BG144" s="110"/>
      <c r="BH144" s="110"/>
      <c r="BI144" s="110"/>
      <c r="BJ144" s="110"/>
      <c r="BK144" s="110"/>
      <c r="BL144" s="110"/>
      <c r="BM144" s="110"/>
      <c r="BN144" s="110"/>
      <c r="BO144" s="110"/>
      <c r="BP144" s="110"/>
      <c r="BQ144" s="110"/>
      <c r="BR144" s="110"/>
      <c r="BS144" s="110"/>
      <c r="BT144" s="110"/>
      <c r="BU144" s="110"/>
      <c r="BV144" s="110"/>
      <c r="BW144" s="110"/>
      <c r="BX144" s="110"/>
      <c r="BY144" s="110"/>
      <c r="BZ144" s="110"/>
      <c r="CA144" s="110"/>
      <c r="CB144" s="110"/>
      <c r="CC144" s="110"/>
      <c r="CD144" s="110"/>
      <c r="CE144" s="110"/>
      <c r="CF144" s="110"/>
    </row>
    <row r="145" spans="1:84" s="45" customFormat="1" x14ac:dyDescent="0.25">
      <c r="A145" t="str">
        <f>Funktional!A145</f>
        <v>Blidegg</v>
      </c>
      <c r="B145" t="str">
        <f>Funktional!B145</f>
        <v>KiGa</v>
      </c>
      <c r="C145">
        <v>0.40200000000000002</v>
      </c>
      <c r="D145">
        <v>6.1600000000000002E-2</v>
      </c>
      <c r="E145" s="26">
        <f t="shared" si="48"/>
        <v>557727.89</v>
      </c>
      <c r="F145">
        <v>236501</v>
      </c>
      <c r="G145">
        <v>321226.89</v>
      </c>
      <c r="H145">
        <v>18589.849999999999</v>
      </c>
      <c r="I145" s="42">
        <f t="shared" si="49"/>
        <v>3.3331397502821665E-2</v>
      </c>
      <c r="J145" s="80">
        <f t="shared" si="50"/>
        <v>9552</v>
      </c>
      <c r="K145" s="43">
        <f>J145*'KiGa - PS'!L146</f>
        <v>0</v>
      </c>
      <c r="L145" s="42"/>
      <c r="M145">
        <v>60</v>
      </c>
      <c r="N145" s="43"/>
      <c r="O145" s="44"/>
      <c r="P145">
        <v>1622</v>
      </c>
      <c r="Q145">
        <v>200</v>
      </c>
      <c r="R145">
        <v>0</v>
      </c>
      <c r="S145" s="43">
        <f t="shared" si="51"/>
        <v>1822</v>
      </c>
      <c r="T145">
        <v>6730</v>
      </c>
      <c r="U145">
        <v>350</v>
      </c>
      <c r="V145">
        <v>650</v>
      </c>
      <c r="W145" s="43">
        <f t="shared" si="52"/>
        <v>7730</v>
      </c>
      <c r="X145">
        <v>0</v>
      </c>
      <c r="Y145" s="110"/>
      <c r="Z145" s="110"/>
      <c r="AA145" s="110"/>
      <c r="AB145" s="110"/>
      <c r="AC145" s="110"/>
      <c r="AD145" s="110"/>
      <c r="AE145" s="110"/>
      <c r="AF145" s="110"/>
      <c r="AG145" s="110"/>
      <c r="AH145" s="110"/>
      <c r="AI145" s="110"/>
      <c r="AJ145" s="110"/>
      <c r="AK145" s="110"/>
      <c r="AL145" s="110"/>
      <c r="AM145" s="110"/>
      <c r="AN145" s="110"/>
      <c r="AO145" s="110"/>
      <c r="AP145" s="110"/>
      <c r="AQ145" s="110"/>
      <c r="AR145" s="110"/>
      <c r="AS145" s="110"/>
      <c r="AT145" s="110"/>
      <c r="AU145" s="110"/>
      <c r="AV145" s="110"/>
      <c r="AW145" s="110"/>
      <c r="AX145" s="110"/>
      <c r="AY145" s="110"/>
      <c r="AZ145" s="110"/>
      <c r="BA145" s="110"/>
      <c r="BB145" s="110"/>
      <c r="BC145" s="110"/>
      <c r="BD145" s="110"/>
      <c r="BE145" s="110"/>
      <c r="BF145" s="110"/>
      <c r="BG145" s="110"/>
      <c r="BH145" s="110"/>
      <c r="BI145" s="110"/>
      <c r="BJ145" s="110"/>
      <c r="BK145" s="110"/>
      <c r="BL145" s="110"/>
      <c r="BM145" s="110"/>
      <c r="BN145" s="110"/>
      <c r="BO145" s="110"/>
      <c r="BP145" s="110"/>
      <c r="BQ145" s="110"/>
      <c r="BR145" s="110"/>
      <c r="BS145" s="110"/>
      <c r="BT145" s="110"/>
      <c r="BU145" s="110"/>
      <c r="BV145" s="110"/>
      <c r="BW145" s="110"/>
      <c r="BX145" s="110"/>
      <c r="BY145" s="110"/>
      <c r="BZ145" s="110"/>
      <c r="CA145" s="110"/>
      <c r="CB145" s="110"/>
      <c r="CC145" s="110"/>
      <c r="CD145" s="110"/>
      <c r="CE145" s="110"/>
      <c r="CF145" s="110"/>
    </row>
    <row r="146" spans="1:84" s="45" customFormat="1" x14ac:dyDescent="0.25">
      <c r="A146" t="str">
        <f>Funktional!A146</f>
        <v>Bottighofen</v>
      </c>
      <c r="B146" t="str">
        <f>Funktional!B146</f>
        <v>KiGa</v>
      </c>
      <c r="C146">
        <v>3.0300000000000001E-2</v>
      </c>
      <c r="D146">
        <v>3.8E-3</v>
      </c>
      <c r="E146" s="26">
        <f t="shared" si="48"/>
        <v>18432754</v>
      </c>
      <c r="F146">
        <v>2227811.2999999998</v>
      </c>
      <c r="G146">
        <v>16204942.699999999</v>
      </c>
      <c r="H146">
        <v>487531.6</v>
      </c>
      <c r="I146" s="42">
        <f t="shared" si="49"/>
        <v>2.6449200157502236E-2</v>
      </c>
      <c r="J146" s="80">
        <f t="shared" si="50"/>
        <v>28045</v>
      </c>
      <c r="K146" s="43">
        <f>J146*'KiGa - PS'!L147</f>
        <v>5496.1040071085808</v>
      </c>
      <c r="L146" s="42">
        <f>K146/Funktional!E146</f>
        <v>3.0037628703527431E-3</v>
      </c>
      <c r="M146">
        <v>30</v>
      </c>
      <c r="N146" s="43">
        <f>K146/Funktional!C146</f>
        <v>2748.0520035542904</v>
      </c>
      <c r="O146" s="44">
        <f>K146/Funktional!D146</f>
        <v>177.2936776486639</v>
      </c>
      <c r="P146">
        <v>7355</v>
      </c>
      <c r="Q146">
        <v>1300</v>
      </c>
      <c r="R146">
        <v>2500</v>
      </c>
      <c r="S146" s="43">
        <f t="shared" si="51"/>
        <v>11155</v>
      </c>
      <c r="T146">
        <v>12340</v>
      </c>
      <c r="U146">
        <v>1300</v>
      </c>
      <c r="V146">
        <v>1250</v>
      </c>
      <c r="W146" s="43">
        <f t="shared" si="52"/>
        <v>14890</v>
      </c>
      <c r="X146">
        <v>2000</v>
      </c>
      <c r="Y146" s="110"/>
      <c r="Z146" s="110"/>
      <c r="AA146" s="110"/>
      <c r="AB146" s="110"/>
      <c r="AC146" s="110"/>
      <c r="AD146" s="110"/>
      <c r="AE146" s="110"/>
      <c r="AF146" s="110"/>
      <c r="AG146" s="110"/>
      <c r="AH146" s="110"/>
      <c r="AI146" s="110"/>
      <c r="AJ146" s="110"/>
      <c r="AK146" s="110"/>
      <c r="AL146" s="110"/>
      <c r="AM146" s="110"/>
      <c r="AN146" s="110"/>
      <c r="AO146" s="110"/>
      <c r="AP146" s="110"/>
      <c r="AQ146" s="110"/>
      <c r="AR146" s="110"/>
      <c r="AS146" s="110"/>
      <c r="AT146" s="110"/>
      <c r="AU146" s="110"/>
      <c r="AV146" s="110"/>
      <c r="AW146" s="110"/>
      <c r="AX146" s="110"/>
      <c r="AY146" s="110"/>
      <c r="AZ146" s="110"/>
      <c r="BA146" s="110"/>
      <c r="BB146" s="110"/>
      <c r="BC146" s="110"/>
      <c r="BD146" s="110"/>
      <c r="BE146" s="110"/>
      <c r="BF146" s="110"/>
      <c r="BG146" s="110"/>
      <c r="BH146" s="110"/>
      <c r="BI146" s="110"/>
      <c r="BJ146" s="110"/>
      <c r="BK146" s="110"/>
      <c r="BL146" s="110"/>
      <c r="BM146" s="110"/>
      <c r="BN146" s="110"/>
      <c r="BO146" s="110"/>
      <c r="BP146" s="110"/>
      <c r="BQ146" s="110"/>
      <c r="BR146" s="110"/>
      <c r="BS146" s="110"/>
      <c r="BT146" s="110"/>
      <c r="BU146" s="110"/>
      <c r="BV146" s="110"/>
      <c r="BW146" s="110"/>
      <c r="BX146" s="110"/>
      <c r="BY146" s="110"/>
      <c r="BZ146" s="110"/>
      <c r="CA146" s="110"/>
      <c r="CB146" s="110"/>
      <c r="CC146" s="110"/>
      <c r="CD146" s="110"/>
      <c r="CE146" s="110"/>
      <c r="CF146" s="110"/>
    </row>
    <row r="147" spans="1:84" s="45" customFormat="1" x14ac:dyDescent="0.25">
      <c r="A147" t="str">
        <f>Funktional!A147</f>
        <v>Braunau</v>
      </c>
      <c r="B147" t="str">
        <f>Funktional!B147</f>
        <v>KiGa</v>
      </c>
      <c r="C147">
        <v>0.1114</v>
      </c>
      <c r="D147">
        <v>3.32E-2</v>
      </c>
      <c r="E147" s="26">
        <f t="shared" ref="E147:E162" si="53">F147+G147</f>
        <v>1319185.6499999999</v>
      </c>
      <c r="F147">
        <v>1112516.7</v>
      </c>
      <c r="G147">
        <v>206668.95</v>
      </c>
      <c r="H147">
        <v>19951.599999999999</v>
      </c>
      <c r="I147" s="42">
        <f t="shared" si="49"/>
        <v>1.5124179072141969E-2</v>
      </c>
      <c r="J147" s="80">
        <f t="shared" si="50"/>
        <v>15050</v>
      </c>
      <c r="K147" s="43">
        <f>J147*'KiGa - PS'!L148</f>
        <v>2566.8173598710996</v>
      </c>
      <c r="L147" s="42">
        <f>K147/Funktional!E147</f>
        <v>1.795362120364417E-2</v>
      </c>
      <c r="M147">
        <v>40</v>
      </c>
      <c r="N147" s="43">
        <f>K147/Funktional!C147</f>
        <v>2566.8173598710996</v>
      </c>
      <c r="O147" s="44">
        <f>K147/Funktional!D147</f>
        <v>160.42608499194372</v>
      </c>
      <c r="P147">
        <v>4000</v>
      </c>
      <c r="Q147">
        <v>2000</v>
      </c>
      <c r="R147">
        <v>1200</v>
      </c>
      <c r="S147" s="43">
        <f t="shared" si="51"/>
        <v>7200</v>
      </c>
      <c r="T147">
        <v>5750</v>
      </c>
      <c r="U147">
        <v>0</v>
      </c>
      <c r="V147">
        <v>600</v>
      </c>
      <c r="W147" s="43">
        <f t="shared" si="52"/>
        <v>6350</v>
      </c>
      <c r="X147">
        <v>1500</v>
      </c>
      <c r="Y147" s="110"/>
      <c r="Z147" s="110"/>
      <c r="AA147" s="110"/>
      <c r="AB147" s="110"/>
      <c r="AC147" s="110"/>
      <c r="AD147" s="110"/>
      <c r="AE147" s="110"/>
      <c r="AF147" s="110"/>
      <c r="AG147" s="110"/>
      <c r="AH147" s="110"/>
      <c r="AI147" s="110"/>
      <c r="AJ147" s="110"/>
      <c r="AK147" s="110"/>
      <c r="AL147" s="110"/>
      <c r="AM147" s="110"/>
      <c r="AN147" s="110"/>
      <c r="AO147" s="110"/>
      <c r="AP147" s="110"/>
      <c r="AQ147" s="110"/>
      <c r="AR147" s="110"/>
      <c r="AS147" s="110"/>
      <c r="AT147" s="110"/>
      <c r="AU147" s="110"/>
      <c r="AV147" s="110"/>
      <c r="AW147" s="110"/>
      <c r="AX147" s="110"/>
      <c r="AY147" s="110"/>
      <c r="AZ147" s="110"/>
      <c r="BA147" s="110"/>
      <c r="BB147" s="110"/>
      <c r="BC147" s="110"/>
      <c r="BD147" s="110"/>
      <c r="BE147" s="110"/>
      <c r="BF147" s="110"/>
      <c r="BG147" s="110"/>
      <c r="BH147" s="110"/>
      <c r="BI147" s="110"/>
      <c r="BJ147" s="110"/>
      <c r="BK147" s="110"/>
      <c r="BL147" s="110"/>
      <c r="BM147" s="110"/>
      <c r="BN147" s="110"/>
      <c r="BO147" s="110"/>
      <c r="BP147" s="110"/>
      <c r="BQ147" s="110"/>
      <c r="BR147" s="110"/>
      <c r="BS147" s="110"/>
      <c r="BT147" s="110"/>
      <c r="BU147" s="110"/>
      <c r="BV147" s="110"/>
      <c r="BW147" s="110"/>
      <c r="BX147" s="110"/>
      <c r="BY147" s="110"/>
      <c r="BZ147" s="110"/>
      <c r="CA147" s="110"/>
      <c r="CB147" s="110"/>
      <c r="CC147" s="110"/>
      <c r="CD147" s="110"/>
      <c r="CE147" s="110"/>
      <c r="CF147" s="110"/>
    </row>
    <row r="148" spans="1:84" s="45" customFormat="1" x14ac:dyDescent="0.25">
      <c r="A148" t="str">
        <f>Funktional!A148</f>
        <v>Buch bei Frauenfeld</v>
      </c>
      <c r="B148" t="str">
        <f>Funktional!B148</f>
        <v>KiGa</v>
      </c>
      <c r="C148">
        <v>1.49E-2</v>
      </c>
      <c r="D148">
        <v>-1.1900000000000001E-2</v>
      </c>
      <c r="E148" s="26">
        <f t="shared" si="53"/>
        <v>491618.4</v>
      </c>
      <c r="F148">
        <v>204484</v>
      </c>
      <c r="G148">
        <v>287134.40000000002</v>
      </c>
      <c r="H148">
        <v>19203.650000000001</v>
      </c>
      <c r="I148" s="42">
        <f t="shared" si="49"/>
        <v>3.9062105893514158E-2</v>
      </c>
      <c r="J148" s="80">
        <f t="shared" si="50"/>
        <v>5800</v>
      </c>
      <c r="K148" s="43">
        <f>J148*'KiGa - PS'!L149</f>
        <v>0</v>
      </c>
      <c r="L148" s="42"/>
      <c r="M148">
        <v>60</v>
      </c>
      <c r="N148" s="43"/>
      <c r="O148" s="44"/>
      <c r="P148">
        <v>1500</v>
      </c>
      <c r="Q148">
        <v>0</v>
      </c>
      <c r="R148">
        <v>0</v>
      </c>
      <c r="S148" s="43">
        <f t="shared" si="51"/>
        <v>1500</v>
      </c>
      <c r="T148">
        <v>3500</v>
      </c>
      <c r="U148">
        <v>0</v>
      </c>
      <c r="V148">
        <v>0</v>
      </c>
      <c r="W148" s="43">
        <f t="shared" si="52"/>
        <v>3500</v>
      </c>
      <c r="X148">
        <v>800</v>
      </c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  <c r="AI148" s="110"/>
      <c r="AJ148" s="110"/>
      <c r="AK148" s="110"/>
      <c r="AL148" s="110"/>
      <c r="AM148" s="110"/>
      <c r="AN148" s="110"/>
      <c r="AO148" s="110"/>
      <c r="AP148" s="110"/>
      <c r="AQ148" s="110"/>
      <c r="AR148" s="110"/>
      <c r="AS148" s="110"/>
      <c r="AT148" s="110"/>
      <c r="AU148" s="110"/>
      <c r="AV148" s="110"/>
      <c r="AW148" s="110"/>
      <c r="AX148" s="110"/>
      <c r="AY148" s="110"/>
      <c r="AZ148" s="110"/>
      <c r="BA148" s="110"/>
      <c r="BB148" s="110"/>
      <c r="BC148" s="110"/>
      <c r="BD148" s="110"/>
      <c r="BE148" s="110"/>
      <c r="BF148" s="110"/>
      <c r="BG148" s="110"/>
      <c r="BH148" s="110"/>
      <c r="BI148" s="110"/>
      <c r="BJ148" s="110"/>
      <c r="BK148" s="110"/>
      <c r="BL148" s="110"/>
      <c r="BM148" s="110"/>
      <c r="BN148" s="110"/>
      <c r="BO148" s="110"/>
      <c r="BP148" s="110"/>
      <c r="BQ148" s="110"/>
      <c r="BR148" s="110"/>
      <c r="BS148" s="110"/>
      <c r="BT148" s="110"/>
      <c r="BU148" s="110"/>
      <c r="BV148" s="110"/>
      <c r="BW148" s="110"/>
      <c r="BX148" s="110"/>
      <c r="BY148" s="110"/>
      <c r="BZ148" s="110"/>
      <c r="CA148" s="110"/>
      <c r="CB148" s="110"/>
      <c r="CC148" s="110"/>
      <c r="CD148" s="110"/>
      <c r="CE148" s="110"/>
      <c r="CF148" s="110"/>
    </row>
    <row r="149" spans="1:84" s="45" customFormat="1" x14ac:dyDescent="0.25">
      <c r="A149" t="str">
        <f>Funktional!A149</f>
        <v>Buhwil-Neukirch an der Thur</v>
      </c>
      <c r="B149" t="str">
        <f>Funktional!B149</f>
        <v>KiGa</v>
      </c>
      <c r="C149">
        <v>6.9500000000000006E-2</v>
      </c>
      <c r="D149">
        <v>2.5700000000000001E-2</v>
      </c>
      <c r="E149" s="26">
        <f t="shared" si="53"/>
        <v>929262.6</v>
      </c>
      <c r="F149">
        <v>743963.85</v>
      </c>
      <c r="G149">
        <v>185298.75</v>
      </c>
      <c r="H149">
        <v>30505.200000000001</v>
      </c>
      <c r="I149" s="42">
        <f t="shared" si="49"/>
        <v>3.2827319209876735E-2</v>
      </c>
      <c r="J149" s="80">
        <f t="shared" si="50"/>
        <v>22494</v>
      </c>
      <c r="K149" s="43">
        <f>J149*'KiGa - PS'!L150</f>
        <v>3409.0100828938998</v>
      </c>
      <c r="L149" s="42">
        <f>K149/Funktional!E149</f>
        <v>1.9563527389047063E-2</v>
      </c>
      <c r="M149">
        <v>50</v>
      </c>
      <c r="N149" s="43">
        <f>K149/Funktional!C149</f>
        <v>3409.0100828938998</v>
      </c>
      <c r="O149" s="44">
        <f>K149/Funktional!D149</f>
        <v>189.3894490496611</v>
      </c>
      <c r="P149">
        <v>3000</v>
      </c>
      <c r="Q149">
        <v>0</v>
      </c>
      <c r="R149">
        <v>1000</v>
      </c>
      <c r="S149" s="43">
        <f t="shared" si="51"/>
        <v>4000</v>
      </c>
      <c r="T149">
        <v>8328</v>
      </c>
      <c r="U149">
        <v>0</v>
      </c>
      <c r="V149">
        <v>3166</v>
      </c>
      <c r="W149" s="43">
        <f t="shared" si="52"/>
        <v>11494</v>
      </c>
      <c r="X149">
        <v>7000</v>
      </c>
      <c r="Y149" s="110"/>
      <c r="Z149" s="110"/>
      <c r="AA149" s="110"/>
      <c r="AB149" s="110"/>
      <c r="AC149" s="110"/>
      <c r="AD149" s="110"/>
      <c r="AE149" s="110"/>
      <c r="AF149" s="110"/>
      <c r="AG149" s="110"/>
      <c r="AH149" s="110"/>
      <c r="AI149" s="110"/>
      <c r="AJ149" s="110"/>
      <c r="AK149" s="110"/>
      <c r="AL149" s="110"/>
      <c r="AM149" s="110"/>
      <c r="AN149" s="110"/>
      <c r="AO149" s="110"/>
      <c r="AP149" s="110"/>
      <c r="AQ149" s="110"/>
      <c r="AR149" s="110"/>
      <c r="AS149" s="110"/>
      <c r="AT149" s="110"/>
      <c r="AU149" s="110"/>
      <c r="AV149" s="110"/>
      <c r="AW149" s="110"/>
      <c r="AX149" s="110"/>
      <c r="AY149" s="110"/>
      <c r="AZ149" s="110"/>
      <c r="BA149" s="110"/>
      <c r="BB149" s="110"/>
      <c r="BC149" s="110"/>
      <c r="BD149" s="110"/>
      <c r="BE149" s="110"/>
      <c r="BF149" s="110"/>
      <c r="BG149" s="110"/>
      <c r="BH149" s="110"/>
      <c r="BI149" s="110"/>
      <c r="BJ149" s="110"/>
      <c r="BK149" s="110"/>
      <c r="BL149" s="110"/>
      <c r="BM149" s="110"/>
      <c r="BN149" s="110"/>
      <c r="BO149" s="110"/>
      <c r="BP149" s="110"/>
      <c r="BQ149" s="110"/>
      <c r="BR149" s="110"/>
      <c r="BS149" s="110"/>
      <c r="BT149" s="110"/>
      <c r="BU149" s="110"/>
      <c r="BV149" s="110"/>
      <c r="BW149" s="110"/>
      <c r="BX149" s="110"/>
      <c r="BY149" s="110"/>
      <c r="BZ149" s="110"/>
      <c r="CA149" s="110"/>
      <c r="CB149" s="110"/>
      <c r="CC149" s="110"/>
      <c r="CD149" s="110"/>
      <c r="CE149" s="110"/>
      <c r="CF149" s="110"/>
    </row>
    <row r="150" spans="1:84" s="45" customFormat="1" x14ac:dyDescent="0.25">
      <c r="A150" t="str">
        <f>Funktional!A150</f>
        <v>Bürglen</v>
      </c>
      <c r="B150" t="str">
        <f>Funktional!B150</f>
        <v>KiGa</v>
      </c>
      <c r="C150">
        <v>0.13250000000000001</v>
      </c>
      <c r="D150">
        <v>5.1299999999999998E-2</v>
      </c>
      <c r="E150" s="26">
        <f t="shared" si="53"/>
        <v>5614210</v>
      </c>
      <c r="F150">
        <v>4229774</v>
      </c>
      <c r="G150">
        <v>1384436</v>
      </c>
      <c r="H150">
        <v>54703.35</v>
      </c>
      <c r="I150" s="42">
        <f t="shared" si="49"/>
        <v>9.7437306406422276E-3</v>
      </c>
      <c r="J150" s="80">
        <f t="shared" si="50"/>
        <v>71071</v>
      </c>
      <c r="K150" s="43">
        <f>J150*'KiGa - PS'!L151</f>
        <v>7759.8679954797763</v>
      </c>
      <c r="L150" s="42">
        <f>K150/Funktional!E150</f>
        <v>2.0343952224129894E-2</v>
      </c>
      <c r="M150">
        <v>60</v>
      </c>
      <c r="N150" s="43">
        <f>K150/Funktional!C150</f>
        <v>2586.6226651599254</v>
      </c>
      <c r="O150" s="44">
        <f>K150/Funktional!D150</f>
        <v>117.57375750726933</v>
      </c>
      <c r="P150">
        <v>18712</v>
      </c>
      <c r="Q150">
        <v>480</v>
      </c>
      <c r="R150">
        <v>2000</v>
      </c>
      <c r="S150" s="43">
        <f t="shared" si="51"/>
        <v>21192</v>
      </c>
      <c r="T150">
        <v>36899</v>
      </c>
      <c r="U150">
        <v>480</v>
      </c>
      <c r="V150">
        <v>4500</v>
      </c>
      <c r="W150" s="43">
        <f t="shared" si="52"/>
        <v>41879</v>
      </c>
      <c r="X150">
        <v>8000</v>
      </c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  <c r="AL150" s="110"/>
      <c r="AM150" s="110"/>
      <c r="AN150" s="110"/>
      <c r="AO150" s="110"/>
      <c r="AP150" s="110"/>
      <c r="AQ150" s="110"/>
      <c r="AR150" s="110"/>
      <c r="AS150" s="110"/>
      <c r="AT150" s="110"/>
      <c r="AU150" s="110"/>
      <c r="AV150" s="110"/>
      <c r="AW150" s="110"/>
      <c r="AX150" s="110"/>
      <c r="AY150" s="110"/>
      <c r="AZ150" s="110"/>
      <c r="BA150" s="110"/>
      <c r="BB150" s="110"/>
      <c r="BC150" s="110"/>
      <c r="BD150" s="110"/>
      <c r="BE150" s="110"/>
      <c r="BF150" s="110"/>
      <c r="BG150" s="110"/>
      <c r="BH150" s="110"/>
      <c r="BI150" s="110"/>
      <c r="BJ150" s="110"/>
      <c r="BK150" s="110"/>
      <c r="BL150" s="110"/>
      <c r="BM150" s="110"/>
      <c r="BN150" s="110"/>
      <c r="BO150" s="110"/>
      <c r="BP150" s="110"/>
      <c r="BQ150" s="110"/>
      <c r="BR150" s="110"/>
      <c r="BS150" s="110"/>
      <c r="BT150" s="110"/>
      <c r="BU150" s="110"/>
      <c r="BV150" s="110"/>
      <c r="BW150" s="110"/>
      <c r="BX150" s="110"/>
      <c r="BY150" s="110"/>
      <c r="BZ150" s="110"/>
      <c r="CA150" s="110"/>
      <c r="CB150" s="110"/>
      <c r="CC150" s="110"/>
      <c r="CD150" s="110"/>
      <c r="CE150" s="110"/>
      <c r="CF150" s="110"/>
    </row>
    <row r="151" spans="1:84" s="45" customFormat="1" x14ac:dyDescent="0.25">
      <c r="A151" t="str">
        <f>Funktional!A151</f>
        <v>Bussnang-Rothenhausen</v>
      </c>
      <c r="B151" t="str">
        <f>Funktional!B151</f>
        <v>KiGa</v>
      </c>
      <c r="C151">
        <v>0.1424</v>
      </c>
      <c r="D151">
        <v>3.2599999999999997E-2</v>
      </c>
      <c r="E151" s="26">
        <f t="shared" si="53"/>
        <v>3650126.15</v>
      </c>
      <c r="F151">
        <v>2337892</v>
      </c>
      <c r="G151">
        <v>1312234.1499999999</v>
      </c>
      <c r="H151">
        <v>51291.5</v>
      </c>
      <c r="I151" s="42">
        <f t="shared" si="49"/>
        <v>1.4051980093893468E-2</v>
      </c>
      <c r="J151" s="80">
        <f t="shared" si="50"/>
        <v>30600</v>
      </c>
      <c r="K151" s="43">
        <f>J151*'KiGa - PS'!L152</f>
        <v>6060.0537024018531</v>
      </c>
      <c r="L151" s="42">
        <f>K151/Funktional!E151</f>
        <v>2.4388103674306914E-2</v>
      </c>
      <c r="M151">
        <v>60</v>
      </c>
      <c r="N151" s="43">
        <f>K151/Funktional!C151</f>
        <v>3030.0268512009266</v>
      </c>
      <c r="O151" s="44">
        <f>K151/Funktional!D151</f>
        <v>216.43048937149476</v>
      </c>
      <c r="P151">
        <v>5000</v>
      </c>
      <c r="Q151">
        <v>500</v>
      </c>
      <c r="R151">
        <v>500</v>
      </c>
      <c r="S151" s="43">
        <f t="shared" si="51"/>
        <v>6000</v>
      </c>
      <c r="T151">
        <v>14300</v>
      </c>
      <c r="U151">
        <v>500</v>
      </c>
      <c r="V151">
        <v>3000</v>
      </c>
      <c r="W151" s="43">
        <f t="shared" si="52"/>
        <v>17800</v>
      </c>
      <c r="X151">
        <v>6800</v>
      </c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  <c r="AI151" s="110"/>
      <c r="AJ151" s="110"/>
      <c r="AK151" s="110"/>
      <c r="AL151" s="110"/>
      <c r="AM151" s="110"/>
      <c r="AN151" s="110"/>
      <c r="AO151" s="110"/>
      <c r="AP151" s="110"/>
      <c r="AQ151" s="110"/>
      <c r="AR151" s="110"/>
      <c r="AS151" s="110"/>
      <c r="AT151" s="110"/>
      <c r="AU151" s="110"/>
      <c r="AV151" s="110"/>
      <c r="AW151" s="110"/>
      <c r="AX151" s="110"/>
      <c r="AY151" s="110"/>
      <c r="AZ151" s="110"/>
      <c r="BA151" s="110"/>
      <c r="BB151" s="110"/>
      <c r="BC151" s="110"/>
      <c r="BD151" s="110"/>
      <c r="BE151" s="110"/>
      <c r="BF151" s="110"/>
      <c r="BG151" s="110"/>
      <c r="BH151" s="110"/>
      <c r="BI151" s="110"/>
      <c r="BJ151" s="110"/>
      <c r="BK151" s="110"/>
      <c r="BL151" s="110"/>
      <c r="BM151" s="110"/>
      <c r="BN151" s="110"/>
      <c r="BO151" s="110"/>
      <c r="BP151" s="110"/>
      <c r="BQ151" s="110"/>
      <c r="BR151" s="110"/>
      <c r="BS151" s="110"/>
      <c r="BT151" s="110"/>
      <c r="BU151" s="110"/>
      <c r="BV151" s="110"/>
      <c r="BW151" s="110"/>
      <c r="BX151" s="110"/>
      <c r="BY151" s="110"/>
      <c r="BZ151" s="110"/>
      <c r="CA151" s="110"/>
      <c r="CB151" s="110"/>
      <c r="CC151" s="110"/>
      <c r="CD151" s="110"/>
      <c r="CE151" s="110"/>
      <c r="CF151" s="110"/>
    </row>
    <row r="152" spans="1:84" s="45" customFormat="1" x14ac:dyDescent="0.25">
      <c r="A152" t="str">
        <f>Funktional!A152</f>
        <v>Busswil</v>
      </c>
      <c r="B152" t="str">
        <f>Funktional!B152</f>
        <v>KiGa</v>
      </c>
      <c r="C152">
        <v>0.22750000000000001</v>
      </c>
      <c r="D152">
        <v>0.1</v>
      </c>
      <c r="E152" s="26">
        <f t="shared" si="53"/>
        <v>2825568.7</v>
      </c>
      <c r="F152">
        <v>2251785</v>
      </c>
      <c r="G152">
        <v>573783.69999999995</v>
      </c>
      <c r="H152">
        <v>18462.599999999999</v>
      </c>
      <c r="I152" s="42">
        <f t="shared" si="49"/>
        <v>6.5341182467090596E-3</v>
      </c>
      <c r="J152" s="80">
        <f t="shared" si="50"/>
        <v>19966</v>
      </c>
      <c r="K152" s="43">
        <f>J152*'KiGa - PS'!L153</f>
        <v>2760.890368451719</v>
      </c>
      <c r="L152" s="42">
        <f>K152/Funktional!E152</f>
        <v>1.8959477369462248E-2</v>
      </c>
      <c r="M152">
        <v>60</v>
      </c>
      <c r="N152" s="43">
        <f>K152/Funktional!C152</f>
        <v>2760.890368451719</v>
      </c>
      <c r="O152" s="44">
        <f>K152/Funktional!D152</f>
        <v>184.05935789678128</v>
      </c>
      <c r="P152">
        <v>3066</v>
      </c>
      <c r="Q152">
        <v>1500</v>
      </c>
      <c r="R152">
        <v>1500</v>
      </c>
      <c r="S152" s="43">
        <f t="shared" si="51"/>
        <v>6066</v>
      </c>
      <c r="T152">
        <v>8500</v>
      </c>
      <c r="U152">
        <v>500</v>
      </c>
      <c r="V152">
        <v>1500</v>
      </c>
      <c r="W152" s="43">
        <f t="shared" si="52"/>
        <v>10500</v>
      </c>
      <c r="X152">
        <v>3400</v>
      </c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  <c r="AI152" s="110"/>
      <c r="AJ152" s="110"/>
      <c r="AK152" s="110"/>
      <c r="AL152" s="110"/>
      <c r="AM152" s="110"/>
      <c r="AN152" s="110"/>
      <c r="AO152" s="110"/>
      <c r="AP152" s="110"/>
      <c r="AQ152" s="110"/>
      <c r="AR152" s="110"/>
      <c r="AS152" s="110"/>
      <c r="AT152" s="110"/>
      <c r="AU152" s="110"/>
      <c r="AV152" s="110"/>
      <c r="AW152" s="110"/>
      <c r="AX152" s="110"/>
      <c r="AY152" s="110"/>
      <c r="AZ152" s="110"/>
      <c r="BA152" s="110"/>
      <c r="BB152" s="110"/>
      <c r="BC152" s="110"/>
      <c r="BD152" s="110"/>
      <c r="BE152" s="110"/>
      <c r="BF152" s="110"/>
      <c r="BG152" s="110"/>
      <c r="BH152" s="110"/>
      <c r="BI152" s="110"/>
      <c r="BJ152" s="110"/>
      <c r="BK152" s="110"/>
      <c r="BL152" s="110"/>
      <c r="BM152" s="110"/>
      <c r="BN152" s="110"/>
      <c r="BO152" s="110"/>
      <c r="BP152" s="110"/>
      <c r="BQ152" s="110"/>
      <c r="BR152" s="110"/>
      <c r="BS152" s="110"/>
      <c r="BT152" s="110"/>
      <c r="BU152" s="110"/>
      <c r="BV152" s="110"/>
      <c r="BW152" s="110"/>
      <c r="BX152" s="110"/>
      <c r="BY152" s="110"/>
      <c r="BZ152" s="110"/>
      <c r="CA152" s="110"/>
      <c r="CB152" s="110"/>
      <c r="CC152" s="110"/>
      <c r="CD152" s="110"/>
      <c r="CE152" s="110"/>
      <c r="CF152" s="110"/>
    </row>
    <row r="153" spans="1:84" s="45" customFormat="1" x14ac:dyDescent="0.25">
      <c r="A153" t="str">
        <f>Funktional!A153</f>
        <v>Dettighofen-Lanzenneunforn</v>
      </c>
      <c r="B153" t="str">
        <f>Funktional!B153</f>
        <v>KiGa</v>
      </c>
      <c r="C153">
        <v>0.15379999999999999</v>
      </c>
      <c r="D153">
        <v>2.7900000000000001E-2</v>
      </c>
      <c r="E153" s="26">
        <f t="shared" si="53"/>
        <v>2746608.45</v>
      </c>
      <c r="F153">
        <v>2360352</v>
      </c>
      <c r="G153">
        <v>386256.45</v>
      </c>
      <c r="H153">
        <v>52533</v>
      </c>
      <c r="I153" s="42">
        <f t="shared" ref="I153:I168" si="54">H153/E153</f>
        <v>1.9126497626554669E-2</v>
      </c>
      <c r="J153" s="80">
        <f t="shared" ref="J153:J168" si="55">S153+W153+X153</f>
        <v>16900</v>
      </c>
      <c r="K153" s="43">
        <f>J153*'KiGa - PS'!L154</f>
        <v>2801.1218540871209</v>
      </c>
      <c r="L153" s="42">
        <f>K153/Funktional!E153</f>
        <v>1.5721178115320054E-2</v>
      </c>
      <c r="M153">
        <v>75</v>
      </c>
      <c r="N153" s="43">
        <f>K153/Funktional!C153</f>
        <v>2801.1218540871209</v>
      </c>
      <c r="O153" s="44">
        <f>K153/Funktional!D153</f>
        <v>112.04487416348483</v>
      </c>
      <c r="P153">
        <v>2300</v>
      </c>
      <c r="Q153">
        <v>800</v>
      </c>
      <c r="R153">
        <v>0</v>
      </c>
      <c r="S153" s="43">
        <f t="shared" ref="S153:S168" si="56">P153+Q153+R153</f>
        <v>3100</v>
      </c>
      <c r="T153">
        <v>6000</v>
      </c>
      <c r="U153">
        <v>800</v>
      </c>
      <c r="V153">
        <v>2500</v>
      </c>
      <c r="W153" s="43">
        <f t="shared" ref="W153:W168" si="57">T153+U153+V153</f>
        <v>9300</v>
      </c>
      <c r="X153">
        <v>4500</v>
      </c>
      <c r="Y153" s="110"/>
      <c r="Z153" s="110"/>
      <c r="AA153" s="110"/>
      <c r="AB153" s="110"/>
      <c r="AC153" s="110"/>
      <c r="AD153" s="110"/>
      <c r="AE153" s="110"/>
      <c r="AF153" s="110"/>
      <c r="AG153" s="110"/>
      <c r="AH153" s="110"/>
      <c r="AI153" s="110"/>
      <c r="AJ153" s="110"/>
      <c r="AK153" s="110"/>
      <c r="AL153" s="110"/>
      <c r="AM153" s="110"/>
      <c r="AN153" s="110"/>
      <c r="AO153" s="110"/>
      <c r="AP153" s="110"/>
      <c r="AQ153" s="110"/>
      <c r="AR153" s="110"/>
      <c r="AS153" s="110"/>
      <c r="AT153" s="110"/>
      <c r="AU153" s="110"/>
      <c r="AV153" s="110"/>
      <c r="AW153" s="110"/>
      <c r="AX153" s="110"/>
      <c r="AY153" s="110"/>
      <c r="AZ153" s="110"/>
      <c r="BA153" s="110"/>
      <c r="BB153" s="110"/>
      <c r="BC153" s="110"/>
      <c r="BD153" s="110"/>
      <c r="BE153" s="110"/>
      <c r="BF153" s="110"/>
      <c r="BG153" s="110"/>
      <c r="BH153" s="110"/>
      <c r="BI153" s="110"/>
      <c r="BJ153" s="110"/>
      <c r="BK153" s="110"/>
      <c r="BL153" s="110"/>
      <c r="BM153" s="110"/>
      <c r="BN153" s="110"/>
      <c r="BO153" s="110"/>
      <c r="BP153" s="110"/>
      <c r="BQ153" s="110"/>
      <c r="BR153" s="110"/>
      <c r="BS153" s="110"/>
      <c r="BT153" s="110"/>
      <c r="BU153" s="110"/>
      <c r="BV153" s="110"/>
      <c r="BW153" s="110"/>
      <c r="BX153" s="110"/>
      <c r="BY153" s="110"/>
      <c r="BZ153" s="110"/>
      <c r="CA153" s="110"/>
      <c r="CB153" s="110"/>
      <c r="CC153" s="110"/>
      <c r="CD153" s="110"/>
      <c r="CE153" s="110"/>
      <c r="CF153" s="110"/>
    </row>
    <row r="154" spans="1:84" s="45" customFormat="1" x14ac:dyDescent="0.25">
      <c r="A154" t="str">
        <f>Funktional!A154</f>
        <v>Diessenhofen</v>
      </c>
      <c r="B154" t="str">
        <f>Funktional!B154</f>
        <v>KiGa</v>
      </c>
      <c r="C154">
        <v>-2.35E-2</v>
      </c>
      <c r="D154">
        <v>-4.99E-2</v>
      </c>
      <c r="E154" s="26">
        <f t="shared" si="53"/>
        <v>2848824.1100000003</v>
      </c>
      <c r="F154">
        <v>1463162</v>
      </c>
      <c r="G154">
        <v>1385662.11</v>
      </c>
      <c r="H154">
        <v>263567.8</v>
      </c>
      <c r="I154" s="42">
        <f t="shared" si="54"/>
        <v>9.2518102144256265E-2</v>
      </c>
      <c r="J154" s="80">
        <f t="shared" si="55"/>
        <v>48234</v>
      </c>
      <c r="K154" s="43">
        <f>J154*'KiGa - PS'!L155</f>
        <v>7724.5663563652506</v>
      </c>
      <c r="L154" s="42">
        <f>K154/Funktional!E154</f>
        <v>1.5688146168611663E-2</v>
      </c>
      <c r="M154">
        <v>60</v>
      </c>
      <c r="N154" s="43">
        <f>K154/Funktional!C154</f>
        <v>2574.8554521217502</v>
      </c>
      <c r="O154" s="44">
        <f>K154/Funktional!D154</f>
        <v>117.03888418735228</v>
      </c>
      <c r="P154">
        <v>13934</v>
      </c>
      <c r="Q154">
        <v>0</v>
      </c>
      <c r="R154">
        <v>3400</v>
      </c>
      <c r="S154" s="43">
        <f t="shared" si="56"/>
        <v>17334</v>
      </c>
      <c r="T154">
        <v>27900</v>
      </c>
      <c r="U154">
        <v>0</v>
      </c>
      <c r="V154">
        <v>0</v>
      </c>
      <c r="W154" s="43">
        <f t="shared" si="57"/>
        <v>27900</v>
      </c>
      <c r="X154">
        <v>3000</v>
      </c>
      <c r="Y154" s="110"/>
      <c r="Z154" s="110"/>
      <c r="AA154" s="110"/>
      <c r="AB154" s="110"/>
      <c r="AC154" s="110"/>
      <c r="AD154" s="110"/>
      <c r="AE154" s="110"/>
      <c r="AF154" s="110"/>
      <c r="AG154" s="110"/>
      <c r="AH154" s="110"/>
      <c r="AI154" s="110"/>
      <c r="AJ154" s="110"/>
      <c r="AK154" s="110"/>
      <c r="AL154" s="110"/>
      <c r="AM154" s="110"/>
      <c r="AN154" s="110"/>
      <c r="AO154" s="110"/>
      <c r="AP154" s="110"/>
      <c r="AQ154" s="110"/>
      <c r="AR154" s="110"/>
      <c r="AS154" s="110"/>
      <c r="AT154" s="110"/>
      <c r="AU154" s="110"/>
      <c r="AV154" s="110"/>
      <c r="AW154" s="110"/>
      <c r="AX154" s="110"/>
      <c r="AY154" s="110"/>
      <c r="AZ154" s="110"/>
      <c r="BA154" s="110"/>
      <c r="BB154" s="110"/>
      <c r="BC154" s="110"/>
      <c r="BD154" s="110"/>
      <c r="BE154" s="110"/>
      <c r="BF154" s="110"/>
      <c r="BG154" s="110"/>
      <c r="BH154" s="110"/>
      <c r="BI154" s="110"/>
      <c r="BJ154" s="110"/>
      <c r="BK154" s="110"/>
      <c r="BL154" s="110"/>
      <c r="BM154" s="110"/>
      <c r="BN154" s="110"/>
      <c r="BO154" s="110"/>
      <c r="BP154" s="110"/>
      <c r="BQ154" s="110"/>
      <c r="BR154" s="110"/>
      <c r="BS154" s="110"/>
      <c r="BT154" s="110"/>
      <c r="BU154" s="110"/>
      <c r="BV154" s="110"/>
      <c r="BW154" s="110"/>
      <c r="BX154" s="110"/>
      <c r="BY154" s="110"/>
      <c r="BZ154" s="110"/>
      <c r="CA154" s="110"/>
      <c r="CB154" s="110"/>
      <c r="CC154" s="110"/>
      <c r="CD154" s="110"/>
      <c r="CE154" s="110"/>
      <c r="CF154" s="110"/>
    </row>
    <row r="155" spans="1:84" s="45" customFormat="1" x14ac:dyDescent="0.25">
      <c r="A155" t="str">
        <f>Funktional!A155</f>
        <v>Dingetswil</v>
      </c>
      <c r="B155" t="str">
        <f>Funktional!B155</f>
        <v>KiGa</v>
      </c>
      <c r="C155">
        <v>-3.3300000000000003E-2</v>
      </c>
      <c r="D155">
        <v>-6.5600000000000006E-2</v>
      </c>
      <c r="E155" s="26">
        <f t="shared" si="53"/>
        <v>136929.70000000001</v>
      </c>
      <c r="F155">
        <v>64710</v>
      </c>
      <c r="G155">
        <v>72219.7</v>
      </c>
      <c r="H155">
        <v>12379.9</v>
      </c>
      <c r="I155" s="42">
        <f t="shared" si="54"/>
        <v>9.0410626766873795E-2</v>
      </c>
      <c r="J155" s="80">
        <f t="shared" si="55"/>
        <v>3200</v>
      </c>
      <c r="K155" s="43">
        <f>J155*'KiGa - PS'!L156</f>
        <v>0</v>
      </c>
      <c r="L155" s="42"/>
      <c r="M155">
        <v>40</v>
      </c>
      <c r="N155" s="43">
        <f>K155/Funktional!C155</f>
        <v>0</v>
      </c>
      <c r="O155" s="44"/>
      <c r="P155">
        <v>600</v>
      </c>
      <c r="Q155">
        <v>0</v>
      </c>
      <c r="R155">
        <v>0</v>
      </c>
      <c r="S155" s="43">
        <f t="shared" si="56"/>
        <v>600</v>
      </c>
      <c r="T155">
        <v>2000</v>
      </c>
      <c r="U155">
        <v>0</v>
      </c>
      <c r="V155">
        <v>600</v>
      </c>
      <c r="W155" s="43">
        <f t="shared" si="57"/>
        <v>2600</v>
      </c>
      <c r="X155">
        <v>0</v>
      </c>
      <c r="Y155" s="110"/>
      <c r="Z155" s="110"/>
      <c r="AA155" s="110"/>
      <c r="AB155" s="110"/>
      <c r="AC155" s="110"/>
      <c r="AD155" s="110"/>
      <c r="AE155" s="110"/>
      <c r="AF155" s="110"/>
      <c r="AG155" s="110"/>
      <c r="AH155" s="110"/>
      <c r="AI155" s="110"/>
      <c r="AJ155" s="110"/>
      <c r="AK155" s="110"/>
      <c r="AL155" s="110"/>
      <c r="AM155" s="110"/>
      <c r="AN155" s="110"/>
      <c r="AO155" s="110"/>
      <c r="AP155" s="110"/>
      <c r="AQ155" s="110"/>
      <c r="AR155" s="110"/>
      <c r="AS155" s="110"/>
      <c r="AT155" s="110"/>
      <c r="AU155" s="110"/>
      <c r="AV155" s="110"/>
      <c r="AW155" s="110"/>
      <c r="AX155" s="110"/>
      <c r="AY155" s="110"/>
      <c r="AZ155" s="110"/>
      <c r="BA155" s="110"/>
      <c r="BB155" s="110"/>
      <c r="BC155" s="110"/>
      <c r="BD155" s="110"/>
      <c r="BE155" s="110"/>
      <c r="BF155" s="110"/>
      <c r="BG155" s="110"/>
      <c r="BH155" s="110"/>
      <c r="BI155" s="110"/>
      <c r="BJ155" s="110"/>
      <c r="BK155" s="110"/>
      <c r="BL155" s="110"/>
      <c r="BM155" s="110"/>
      <c r="BN155" s="110"/>
      <c r="BO155" s="110"/>
      <c r="BP155" s="110"/>
      <c r="BQ155" s="110"/>
      <c r="BR155" s="110"/>
      <c r="BS155" s="110"/>
      <c r="BT155" s="110"/>
      <c r="BU155" s="110"/>
      <c r="BV155" s="110"/>
      <c r="BW155" s="110"/>
      <c r="BX155" s="110"/>
      <c r="BY155" s="110"/>
      <c r="BZ155" s="110"/>
      <c r="CA155" s="110"/>
      <c r="CB155" s="110"/>
      <c r="CC155" s="110"/>
      <c r="CD155" s="110"/>
      <c r="CE155" s="110"/>
      <c r="CF155" s="110"/>
    </row>
    <row r="156" spans="1:84" s="45" customFormat="1" x14ac:dyDescent="0.25">
      <c r="A156" t="str">
        <f>Funktional!A156</f>
        <v>Donzhausen</v>
      </c>
      <c r="B156" t="str">
        <f>Funktional!B156</f>
        <v>KiGa</v>
      </c>
      <c r="C156">
        <v>0.1361</v>
      </c>
      <c r="D156">
        <v>3.7999999999999999E-2</v>
      </c>
      <c r="E156" s="26">
        <f t="shared" si="53"/>
        <v>1109766</v>
      </c>
      <c r="F156">
        <v>910559.5</v>
      </c>
      <c r="G156">
        <v>199206.5</v>
      </c>
      <c r="H156">
        <v>35853.599999999999</v>
      </c>
      <c r="I156" s="42">
        <f t="shared" si="54"/>
        <v>3.2307351279458912E-2</v>
      </c>
      <c r="J156" s="80">
        <f t="shared" si="55"/>
        <v>12200</v>
      </c>
      <c r="K156" s="43">
        <f>J156*'KiGa - PS'!L157</f>
        <v>1912.9595280524629</v>
      </c>
      <c r="L156" s="42">
        <f>K156/Funktional!E156</f>
        <v>1.9503495362084788E-2</v>
      </c>
      <c r="M156">
        <v>60</v>
      </c>
      <c r="N156" s="43">
        <f>K156/Funktional!C156</f>
        <v>3825.9190561049259</v>
      </c>
      <c r="O156" s="44">
        <f>K156/Funktional!D156</f>
        <v>173.90541164113299</v>
      </c>
      <c r="P156">
        <v>1700</v>
      </c>
      <c r="Q156">
        <v>1400</v>
      </c>
      <c r="R156">
        <v>500</v>
      </c>
      <c r="S156" s="43">
        <f t="shared" si="56"/>
        <v>3600</v>
      </c>
      <c r="T156">
        <v>4360</v>
      </c>
      <c r="U156">
        <v>1500</v>
      </c>
      <c r="V156">
        <v>1240</v>
      </c>
      <c r="W156" s="43">
        <f t="shared" si="57"/>
        <v>7100</v>
      </c>
      <c r="X156">
        <v>1500</v>
      </c>
      <c r="Y156" s="110"/>
      <c r="Z156" s="110"/>
      <c r="AA156" s="110"/>
      <c r="AB156" s="110"/>
      <c r="AC156" s="110"/>
      <c r="AD156" s="110"/>
      <c r="AE156" s="110"/>
      <c r="AF156" s="110"/>
      <c r="AG156" s="110"/>
      <c r="AH156" s="110"/>
      <c r="AI156" s="110"/>
      <c r="AJ156" s="110"/>
      <c r="AK156" s="110"/>
      <c r="AL156" s="110"/>
      <c r="AM156" s="110"/>
      <c r="AN156" s="110"/>
      <c r="AO156" s="110"/>
      <c r="AP156" s="110"/>
      <c r="AQ156" s="110"/>
      <c r="AR156" s="110"/>
      <c r="AS156" s="110"/>
      <c r="AT156" s="110"/>
      <c r="AU156" s="110"/>
      <c r="AV156" s="110"/>
      <c r="AW156" s="110"/>
      <c r="AX156" s="110"/>
      <c r="AY156" s="110"/>
      <c r="AZ156" s="110"/>
      <c r="BA156" s="110"/>
      <c r="BB156" s="110"/>
      <c r="BC156" s="110"/>
      <c r="BD156" s="110"/>
      <c r="BE156" s="110"/>
      <c r="BF156" s="110"/>
      <c r="BG156" s="110"/>
      <c r="BH156" s="110"/>
      <c r="BI156" s="110"/>
      <c r="BJ156" s="110"/>
      <c r="BK156" s="110"/>
      <c r="BL156" s="110"/>
      <c r="BM156" s="110"/>
      <c r="BN156" s="110"/>
      <c r="BO156" s="110"/>
      <c r="BP156" s="110"/>
      <c r="BQ156" s="110"/>
      <c r="BR156" s="110"/>
      <c r="BS156" s="110"/>
      <c r="BT156" s="110"/>
      <c r="BU156" s="110"/>
      <c r="BV156" s="110"/>
      <c r="BW156" s="110"/>
      <c r="BX156" s="110"/>
      <c r="BY156" s="110"/>
      <c r="BZ156" s="110"/>
      <c r="CA156" s="110"/>
      <c r="CB156" s="110"/>
      <c r="CC156" s="110"/>
      <c r="CD156" s="110"/>
      <c r="CE156" s="110"/>
      <c r="CF156" s="110"/>
    </row>
    <row r="157" spans="1:84" s="45" customFormat="1" x14ac:dyDescent="0.25">
      <c r="A157" t="str">
        <f>Funktional!A157</f>
        <v>Dozwil</v>
      </c>
      <c r="B157" t="str">
        <f>Funktional!B157</f>
        <v>KiGa</v>
      </c>
      <c r="C157">
        <v>0.1903</v>
      </c>
      <c r="D157">
        <v>9.64E-2</v>
      </c>
      <c r="E157" s="26">
        <f t="shared" si="53"/>
        <v>1795719.75</v>
      </c>
      <c r="F157">
        <v>1007168.2</v>
      </c>
      <c r="G157">
        <v>788551.55</v>
      </c>
      <c r="H157">
        <v>18801.7</v>
      </c>
      <c r="I157" s="42">
        <f t="shared" si="54"/>
        <v>1.047028635732274E-2</v>
      </c>
      <c r="J157" s="80">
        <f t="shared" si="55"/>
        <v>13400</v>
      </c>
      <c r="K157" s="43">
        <f>J157*'KiGa - PS'!L158</f>
        <v>0</v>
      </c>
      <c r="L157" s="42"/>
      <c r="M157">
        <v>50</v>
      </c>
      <c r="N157" s="43"/>
      <c r="O157" s="44"/>
      <c r="P157">
        <v>4000</v>
      </c>
      <c r="Q157">
        <v>0</v>
      </c>
      <c r="R157">
        <v>700</v>
      </c>
      <c r="S157" s="43">
        <f t="shared" si="56"/>
        <v>4700</v>
      </c>
      <c r="T157">
        <v>7000</v>
      </c>
      <c r="U157">
        <v>0</v>
      </c>
      <c r="V157">
        <v>700</v>
      </c>
      <c r="W157" s="43">
        <f t="shared" si="57"/>
        <v>7700</v>
      </c>
      <c r="X157">
        <v>1000</v>
      </c>
      <c r="Y157" s="110"/>
      <c r="Z157" s="110"/>
      <c r="AA157" s="110"/>
      <c r="AB157" s="110"/>
      <c r="AC157" s="110"/>
      <c r="AD157" s="110"/>
      <c r="AE157" s="110"/>
      <c r="AF157" s="110"/>
      <c r="AG157" s="110"/>
      <c r="AH157" s="110"/>
      <c r="AI157" s="110"/>
      <c r="AJ157" s="110"/>
      <c r="AK157" s="110"/>
      <c r="AL157" s="110"/>
      <c r="AM157" s="110"/>
      <c r="AN157" s="110"/>
      <c r="AO157" s="110"/>
      <c r="AP157" s="110"/>
      <c r="AQ157" s="110"/>
      <c r="AR157" s="110"/>
      <c r="AS157" s="110"/>
      <c r="AT157" s="110"/>
      <c r="AU157" s="110"/>
      <c r="AV157" s="110"/>
      <c r="AW157" s="110"/>
      <c r="AX157" s="110"/>
      <c r="AY157" s="110"/>
      <c r="AZ157" s="110"/>
      <c r="BA157" s="110"/>
      <c r="BB157" s="110"/>
      <c r="BC157" s="110"/>
      <c r="BD157" s="110"/>
      <c r="BE157" s="110"/>
      <c r="BF157" s="110"/>
      <c r="BG157" s="110"/>
      <c r="BH157" s="110"/>
      <c r="BI157" s="110"/>
      <c r="BJ157" s="110"/>
      <c r="BK157" s="110"/>
      <c r="BL157" s="110"/>
      <c r="BM157" s="110"/>
      <c r="BN157" s="110"/>
      <c r="BO157" s="110"/>
      <c r="BP157" s="110"/>
      <c r="BQ157" s="110"/>
      <c r="BR157" s="110"/>
      <c r="BS157" s="110"/>
      <c r="BT157" s="110"/>
      <c r="BU157" s="110"/>
      <c r="BV157" s="110"/>
      <c r="BW157" s="110"/>
      <c r="BX157" s="110"/>
      <c r="BY157" s="110"/>
      <c r="BZ157" s="110"/>
      <c r="CA157" s="110"/>
      <c r="CB157" s="110"/>
      <c r="CC157" s="110"/>
      <c r="CD157" s="110"/>
      <c r="CE157" s="110"/>
      <c r="CF157" s="110"/>
    </row>
    <row r="158" spans="1:84" s="45" customFormat="1" x14ac:dyDescent="0.25">
      <c r="A158" t="str">
        <f>Funktional!A158</f>
        <v>Dussnang-Oberwangen</v>
      </c>
      <c r="B158" t="str">
        <f>Funktional!B158</f>
        <v>KiGa</v>
      </c>
      <c r="C158">
        <v>0.1181</v>
      </c>
      <c r="D158">
        <v>5.0799999999999998E-2</v>
      </c>
      <c r="E158" s="26">
        <f t="shared" si="53"/>
        <v>3081662.9</v>
      </c>
      <c r="F158">
        <v>2268870.9</v>
      </c>
      <c r="G158">
        <v>812792</v>
      </c>
      <c r="H158">
        <v>38903.050000000003</v>
      </c>
      <c r="I158" s="42">
        <f t="shared" si="54"/>
        <v>1.2624044635122162E-2</v>
      </c>
      <c r="J158" s="80">
        <f t="shared" si="55"/>
        <v>34630</v>
      </c>
      <c r="K158" s="43">
        <f>J158*'KiGa - PS'!L159</f>
        <v>4096.8808773965902</v>
      </c>
      <c r="L158" s="42">
        <f>K158/Funktional!E158</f>
        <v>1.6065436755344047E-2</v>
      </c>
      <c r="M158">
        <v>70</v>
      </c>
      <c r="N158" s="43">
        <f>K158/Funktional!C158</f>
        <v>2048.4404386982951</v>
      </c>
      <c r="O158" s="44">
        <f>K158/Funktional!D158</f>
        <v>124.14790537565425</v>
      </c>
      <c r="P158">
        <v>6900</v>
      </c>
      <c r="Q158">
        <v>380</v>
      </c>
      <c r="R158">
        <v>3000</v>
      </c>
      <c r="S158" s="43">
        <f t="shared" si="56"/>
        <v>10280</v>
      </c>
      <c r="T158">
        <v>20300</v>
      </c>
      <c r="U158">
        <v>450</v>
      </c>
      <c r="V158">
        <v>3600</v>
      </c>
      <c r="W158" s="43">
        <f t="shared" si="57"/>
        <v>24350</v>
      </c>
      <c r="X158">
        <v>0</v>
      </c>
      <c r="Y158" s="110"/>
      <c r="Z158" s="110"/>
      <c r="AA158" s="110"/>
      <c r="AB158" s="110"/>
      <c r="AC158" s="110"/>
      <c r="AD158" s="110"/>
      <c r="AE158" s="110"/>
      <c r="AF158" s="110"/>
      <c r="AG158" s="110"/>
      <c r="AH158" s="110"/>
      <c r="AI158" s="110"/>
      <c r="AJ158" s="110"/>
      <c r="AK158" s="110"/>
      <c r="AL158" s="110"/>
      <c r="AM158" s="110"/>
      <c r="AN158" s="110"/>
      <c r="AO158" s="110"/>
      <c r="AP158" s="110"/>
      <c r="AQ158" s="110"/>
      <c r="AR158" s="110"/>
      <c r="AS158" s="110"/>
      <c r="AT158" s="110"/>
      <c r="AU158" s="110"/>
      <c r="AV158" s="110"/>
      <c r="AW158" s="110"/>
      <c r="AX158" s="110"/>
      <c r="AY158" s="110"/>
      <c r="AZ158" s="110"/>
      <c r="BA158" s="110"/>
      <c r="BB158" s="110"/>
      <c r="BC158" s="110"/>
      <c r="BD158" s="110"/>
      <c r="BE158" s="110"/>
      <c r="BF158" s="110"/>
      <c r="BG158" s="110"/>
      <c r="BH158" s="110"/>
      <c r="BI158" s="110"/>
      <c r="BJ158" s="110"/>
      <c r="BK158" s="110"/>
      <c r="BL158" s="110"/>
      <c r="BM158" s="110"/>
      <c r="BN158" s="110"/>
      <c r="BO158" s="110"/>
      <c r="BP158" s="110"/>
      <c r="BQ158" s="110"/>
      <c r="BR158" s="110"/>
      <c r="BS158" s="110"/>
      <c r="BT158" s="110"/>
      <c r="BU158" s="110"/>
      <c r="BV158" s="110"/>
      <c r="BW158" s="110"/>
      <c r="BX158" s="110"/>
      <c r="BY158" s="110"/>
      <c r="BZ158" s="110"/>
      <c r="CA158" s="110"/>
      <c r="CB158" s="110"/>
      <c r="CC158" s="110"/>
      <c r="CD158" s="110"/>
      <c r="CE158" s="110"/>
      <c r="CF158" s="110"/>
    </row>
    <row r="159" spans="1:84" s="45" customFormat="1" x14ac:dyDescent="0.25">
      <c r="A159" t="str">
        <f>Funktional!A159</f>
        <v>Egg</v>
      </c>
      <c r="B159" t="str">
        <f>Funktional!B159</f>
        <v>KiGa</v>
      </c>
      <c r="C159">
        <v>4.3299999999999998E-2</v>
      </c>
      <c r="D159">
        <v>2.1600000000000001E-2</v>
      </c>
      <c r="E159" s="26">
        <f t="shared" si="53"/>
        <v>829970.65</v>
      </c>
      <c r="F159">
        <v>308954</v>
      </c>
      <c r="G159">
        <v>521016.65</v>
      </c>
      <c r="H159">
        <v>14732.05</v>
      </c>
      <c r="I159" s="42">
        <f t="shared" si="54"/>
        <v>1.7750085500011354E-2</v>
      </c>
      <c r="J159" s="80">
        <f t="shared" si="55"/>
        <v>19900</v>
      </c>
      <c r="K159" s="43">
        <f>J159*'KiGa - PS'!L160</f>
        <v>2535.1214263594716</v>
      </c>
      <c r="L159" s="42">
        <f>K159/Funktional!E159</f>
        <v>2.3046823675758756E-2</v>
      </c>
      <c r="M159">
        <v>60</v>
      </c>
      <c r="N159" s="43">
        <f>K159/Funktional!C159</f>
        <v>2535.1214263594716</v>
      </c>
      <c r="O159" s="44">
        <f>K159/Funktional!D159</f>
        <v>120.7200679218796</v>
      </c>
      <c r="P159">
        <v>4000</v>
      </c>
      <c r="Q159">
        <v>2000</v>
      </c>
      <c r="R159">
        <v>800</v>
      </c>
      <c r="S159" s="43">
        <f t="shared" si="56"/>
        <v>6800</v>
      </c>
      <c r="T159">
        <v>7500</v>
      </c>
      <c r="U159">
        <v>2000</v>
      </c>
      <c r="V159">
        <v>800</v>
      </c>
      <c r="W159" s="43">
        <f t="shared" si="57"/>
        <v>10300</v>
      </c>
      <c r="X159">
        <v>2800</v>
      </c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  <c r="AU159" s="110"/>
      <c r="AV159" s="110"/>
      <c r="AW159" s="110"/>
      <c r="AX159" s="110"/>
      <c r="AY159" s="110"/>
      <c r="AZ159" s="110"/>
      <c r="BA159" s="110"/>
      <c r="BB159" s="110"/>
      <c r="BC159" s="110"/>
      <c r="BD159" s="110"/>
      <c r="BE159" s="110"/>
      <c r="BF159" s="110"/>
      <c r="BG159" s="110"/>
      <c r="BH159" s="110"/>
      <c r="BI159" s="110"/>
      <c r="BJ159" s="110"/>
      <c r="BK159" s="110"/>
      <c r="BL159" s="110"/>
      <c r="BM159" s="110"/>
      <c r="BN159" s="110"/>
      <c r="BO159" s="110"/>
      <c r="BP159" s="110"/>
      <c r="BQ159" s="110"/>
      <c r="BR159" s="110"/>
      <c r="BS159" s="110"/>
      <c r="BT159" s="110"/>
      <c r="BU159" s="110"/>
      <c r="BV159" s="110"/>
      <c r="BW159" s="110"/>
      <c r="BX159" s="110"/>
      <c r="BY159" s="110"/>
      <c r="BZ159" s="110"/>
      <c r="CA159" s="110"/>
      <c r="CB159" s="110"/>
      <c r="CC159" s="110"/>
      <c r="CD159" s="110"/>
      <c r="CE159" s="110"/>
      <c r="CF159" s="110"/>
    </row>
    <row r="160" spans="1:84" s="45" customFormat="1" x14ac:dyDescent="0.25">
      <c r="A160" t="str">
        <f>Funktional!A160</f>
        <v>Eggethof</v>
      </c>
      <c r="B160" t="str">
        <f>Funktional!B160</f>
        <v>KiGa</v>
      </c>
      <c r="C160">
        <v>-9.9000000000000008E-3</v>
      </c>
      <c r="D160">
        <v>-1.9900000000000001E-2</v>
      </c>
      <c r="E160" s="26">
        <f t="shared" si="53"/>
        <v>242071.25</v>
      </c>
      <c r="F160">
        <v>224756.75</v>
      </c>
      <c r="G160">
        <v>17314.5</v>
      </c>
      <c r="H160">
        <v>16101.7</v>
      </c>
      <c r="I160" s="42">
        <f t="shared" si="54"/>
        <v>6.6516366565628926E-2</v>
      </c>
      <c r="J160" s="80">
        <f t="shared" si="55"/>
        <v>9681</v>
      </c>
      <c r="K160" s="43">
        <f>J160*'KiGa - PS'!L161</f>
        <v>0</v>
      </c>
      <c r="L160" s="42"/>
      <c r="M160">
        <v>60</v>
      </c>
      <c r="N160" s="43"/>
      <c r="O160" s="44"/>
      <c r="P160">
        <v>2030</v>
      </c>
      <c r="Q160">
        <v>150</v>
      </c>
      <c r="R160">
        <v>0</v>
      </c>
      <c r="S160" s="43">
        <f t="shared" si="56"/>
        <v>2180</v>
      </c>
      <c r="T160">
        <v>5301</v>
      </c>
      <c r="U160">
        <v>200</v>
      </c>
      <c r="V160">
        <v>1500</v>
      </c>
      <c r="W160" s="43">
        <f t="shared" si="57"/>
        <v>7001</v>
      </c>
      <c r="X160">
        <v>500</v>
      </c>
      <c r="Y160" s="110"/>
      <c r="Z160" s="110"/>
      <c r="AA160" s="110"/>
      <c r="AB160" s="110"/>
      <c r="AC160" s="110"/>
      <c r="AD160" s="110"/>
      <c r="AE160" s="110"/>
      <c r="AF160" s="110"/>
      <c r="AG160" s="110"/>
      <c r="AH160" s="110"/>
      <c r="AI160" s="110"/>
      <c r="AJ160" s="110"/>
      <c r="AK160" s="110"/>
      <c r="AL160" s="110"/>
      <c r="AM160" s="110"/>
      <c r="AN160" s="110"/>
      <c r="AO160" s="110"/>
      <c r="AP160" s="110"/>
      <c r="AQ160" s="110"/>
      <c r="AR160" s="110"/>
      <c r="AS160" s="110"/>
      <c r="AT160" s="110"/>
      <c r="AU160" s="110"/>
      <c r="AV160" s="110"/>
      <c r="AW160" s="110"/>
      <c r="AX160" s="110"/>
      <c r="AY160" s="110"/>
      <c r="AZ160" s="110"/>
      <c r="BA160" s="110"/>
      <c r="BB160" s="110"/>
      <c r="BC160" s="110"/>
      <c r="BD160" s="110"/>
      <c r="BE160" s="110"/>
      <c r="BF160" s="110"/>
      <c r="BG160" s="110"/>
      <c r="BH160" s="110"/>
      <c r="BI160" s="110"/>
      <c r="BJ160" s="110"/>
      <c r="BK160" s="110"/>
      <c r="BL160" s="110"/>
      <c r="BM160" s="110"/>
      <c r="BN160" s="110"/>
      <c r="BO160" s="110"/>
      <c r="BP160" s="110"/>
      <c r="BQ160" s="110"/>
      <c r="BR160" s="110"/>
      <c r="BS160" s="110"/>
      <c r="BT160" s="110"/>
      <c r="BU160" s="110"/>
      <c r="BV160" s="110"/>
      <c r="BW160" s="110"/>
      <c r="BX160" s="110"/>
      <c r="BY160" s="110"/>
      <c r="BZ160" s="110"/>
      <c r="CA160" s="110"/>
      <c r="CB160" s="110"/>
      <c r="CC160" s="110"/>
      <c r="CD160" s="110"/>
      <c r="CE160" s="110"/>
      <c r="CF160" s="110"/>
    </row>
    <row r="161" spans="1:84" s="45" customFormat="1" x14ac:dyDescent="0.25">
      <c r="A161" t="str">
        <f>Funktional!A161</f>
        <v>Egnach</v>
      </c>
      <c r="B161" t="str">
        <f>Funktional!B161</f>
        <v>KiGa</v>
      </c>
      <c r="C161">
        <v>5.11E-2</v>
      </c>
      <c r="D161">
        <v>-1.5100000000000001E-2</v>
      </c>
      <c r="E161" s="26">
        <f t="shared" si="53"/>
        <v>1625997.65</v>
      </c>
      <c r="F161">
        <v>1542009</v>
      </c>
      <c r="G161">
        <v>83988.65</v>
      </c>
      <c r="H161">
        <v>79217.45</v>
      </c>
      <c r="I161" s="42">
        <f t="shared" si="54"/>
        <v>4.8719289354446485E-2</v>
      </c>
      <c r="J161" s="80">
        <f t="shared" si="55"/>
        <v>24140</v>
      </c>
      <c r="K161" s="43">
        <f>J161*'KiGa - PS'!L162</f>
        <v>3649.7265581015149</v>
      </c>
      <c r="L161" s="42">
        <f>K161/Funktional!E161</f>
        <v>1.5657269505161855E-2</v>
      </c>
      <c r="M161">
        <v>60</v>
      </c>
      <c r="N161" s="43">
        <f>K161/Funktional!C161</f>
        <v>1824.8632790507575</v>
      </c>
      <c r="O161" s="44">
        <f>K161/Funktional!D161</f>
        <v>114.05395494067234</v>
      </c>
      <c r="P161">
        <v>4800</v>
      </c>
      <c r="Q161">
        <v>1000</v>
      </c>
      <c r="R161">
        <v>0</v>
      </c>
      <c r="S161" s="43">
        <f t="shared" si="56"/>
        <v>5800</v>
      </c>
      <c r="T161">
        <v>12840</v>
      </c>
      <c r="U161">
        <v>0</v>
      </c>
      <c r="V161">
        <v>1500</v>
      </c>
      <c r="W161" s="43">
        <f t="shared" si="57"/>
        <v>14340</v>
      </c>
      <c r="X161">
        <v>4000</v>
      </c>
      <c r="Y161" s="110"/>
      <c r="Z161" s="110"/>
      <c r="AA161" s="110"/>
      <c r="AB161" s="110"/>
      <c r="AC161" s="110"/>
      <c r="AD161" s="110"/>
      <c r="AE161" s="110"/>
      <c r="AF161" s="110"/>
      <c r="AG161" s="110"/>
      <c r="AH161" s="110"/>
      <c r="AI161" s="110"/>
      <c r="AJ161" s="110"/>
      <c r="AK161" s="110"/>
      <c r="AL161" s="110"/>
      <c r="AM161" s="110"/>
      <c r="AN161" s="110"/>
      <c r="AO161" s="110"/>
      <c r="AP161" s="110"/>
      <c r="AQ161" s="110"/>
      <c r="AR161" s="110"/>
      <c r="AS161" s="110"/>
      <c r="AT161" s="110"/>
      <c r="AU161" s="110"/>
      <c r="AV161" s="110"/>
      <c r="AW161" s="110"/>
      <c r="AX161" s="110"/>
      <c r="AY161" s="110"/>
      <c r="AZ161" s="110"/>
      <c r="BA161" s="110"/>
      <c r="BB161" s="110"/>
      <c r="BC161" s="110"/>
      <c r="BD161" s="110"/>
      <c r="BE161" s="110"/>
      <c r="BF161" s="110"/>
      <c r="BG161" s="110"/>
      <c r="BH161" s="110"/>
      <c r="BI161" s="110"/>
      <c r="BJ161" s="110"/>
      <c r="BK161" s="110"/>
      <c r="BL161" s="110"/>
      <c r="BM161" s="110"/>
      <c r="BN161" s="110"/>
      <c r="BO161" s="110"/>
      <c r="BP161" s="110"/>
      <c r="BQ161" s="110"/>
      <c r="BR161" s="110"/>
      <c r="BS161" s="110"/>
      <c r="BT161" s="110"/>
      <c r="BU161" s="110"/>
      <c r="BV161" s="110"/>
      <c r="BW161" s="110"/>
      <c r="BX161" s="110"/>
      <c r="BY161" s="110"/>
      <c r="BZ161" s="110"/>
      <c r="CA161" s="110"/>
      <c r="CB161" s="110"/>
      <c r="CC161" s="110"/>
      <c r="CD161" s="110"/>
      <c r="CE161" s="110"/>
      <c r="CF161" s="110"/>
    </row>
    <row r="162" spans="1:84" s="45" customFormat="1" x14ac:dyDescent="0.25">
      <c r="A162" t="str">
        <f>Funktional!A162</f>
        <v>Engelswilen-Dotnacht</v>
      </c>
      <c r="B162" t="str">
        <f>Funktional!B162</f>
        <v>KiGa</v>
      </c>
      <c r="C162">
        <v>5.2200000000000003E-2</v>
      </c>
      <c r="D162">
        <v>1.4999999999999999E-2</v>
      </c>
      <c r="E162" s="26">
        <f t="shared" si="53"/>
        <v>520449.2</v>
      </c>
      <c r="F162">
        <v>366410.5</v>
      </c>
      <c r="G162">
        <v>154038.70000000001</v>
      </c>
      <c r="H162">
        <v>19280.599999999999</v>
      </c>
      <c r="I162" s="42">
        <f t="shared" si="54"/>
        <v>3.7046074813833894E-2</v>
      </c>
      <c r="J162" s="80">
        <f t="shared" si="55"/>
        <v>9500</v>
      </c>
      <c r="K162" s="43">
        <f>J162*'KiGa - PS'!L163</f>
        <v>0</v>
      </c>
      <c r="L162" s="42"/>
      <c r="M162">
        <v>60</v>
      </c>
      <c r="N162" s="43"/>
      <c r="O162" s="44"/>
      <c r="P162">
        <v>2000</v>
      </c>
      <c r="Q162">
        <v>0</v>
      </c>
      <c r="R162">
        <v>500</v>
      </c>
      <c r="S162" s="43">
        <f t="shared" si="56"/>
        <v>2500</v>
      </c>
      <c r="T162">
        <v>6500</v>
      </c>
      <c r="U162">
        <v>0</v>
      </c>
      <c r="V162">
        <v>500</v>
      </c>
      <c r="W162" s="43">
        <f t="shared" si="57"/>
        <v>7000</v>
      </c>
      <c r="X162">
        <v>0</v>
      </c>
      <c r="Y162" s="110"/>
      <c r="Z162" s="110"/>
      <c r="AA162" s="110"/>
      <c r="AB162" s="110"/>
      <c r="AC162" s="110"/>
      <c r="AD162" s="110"/>
      <c r="AE162" s="110"/>
      <c r="AF162" s="110"/>
      <c r="AG162" s="110"/>
      <c r="AH162" s="110"/>
      <c r="AI162" s="110"/>
      <c r="AJ162" s="110"/>
      <c r="AK162" s="110"/>
      <c r="AL162" s="110"/>
      <c r="AM162" s="110"/>
      <c r="AN162" s="110"/>
      <c r="AO162" s="110"/>
      <c r="AP162" s="110"/>
      <c r="AQ162" s="110"/>
      <c r="AR162" s="110"/>
      <c r="AS162" s="110"/>
      <c r="AT162" s="110"/>
      <c r="AU162" s="110"/>
      <c r="AV162" s="110"/>
      <c r="AW162" s="110"/>
      <c r="AX162" s="110"/>
      <c r="AY162" s="110"/>
      <c r="AZ162" s="110"/>
      <c r="BA162" s="110"/>
      <c r="BB162" s="110"/>
      <c r="BC162" s="110"/>
      <c r="BD162" s="110"/>
      <c r="BE162" s="110"/>
      <c r="BF162" s="110"/>
      <c r="BG162" s="110"/>
      <c r="BH162" s="110"/>
      <c r="BI162" s="110"/>
      <c r="BJ162" s="110"/>
      <c r="BK162" s="110"/>
      <c r="BL162" s="110"/>
      <c r="BM162" s="110"/>
      <c r="BN162" s="110"/>
      <c r="BO162" s="110"/>
      <c r="BP162" s="110"/>
      <c r="BQ162" s="110"/>
      <c r="BR162" s="110"/>
      <c r="BS162" s="110"/>
      <c r="BT162" s="110"/>
      <c r="BU162" s="110"/>
      <c r="BV162" s="110"/>
      <c r="BW162" s="110"/>
      <c r="BX162" s="110"/>
      <c r="BY162" s="110"/>
      <c r="BZ162" s="110"/>
      <c r="CA162" s="110"/>
      <c r="CB162" s="110"/>
      <c r="CC162" s="110"/>
      <c r="CD162" s="110"/>
      <c r="CE162" s="110"/>
      <c r="CF162" s="110"/>
    </row>
    <row r="163" spans="1:84" s="45" customFormat="1" x14ac:dyDescent="0.25">
      <c r="A163" t="str">
        <f>Funktional!A163</f>
        <v>Engwang-Wagerswil</v>
      </c>
      <c r="B163" t="str">
        <f>Funktional!B163</f>
        <v>KiGa</v>
      </c>
      <c r="C163">
        <v>0.12230000000000001</v>
      </c>
      <c r="D163">
        <v>2.01E-2</v>
      </c>
      <c r="E163" s="26">
        <f>F163+G163</f>
        <v>933007.85</v>
      </c>
      <c r="F163">
        <v>748871.95</v>
      </c>
      <c r="G163">
        <v>184135.9</v>
      </c>
      <c r="H163">
        <v>18718.75</v>
      </c>
      <c r="I163" s="42">
        <f t="shared" si="54"/>
        <v>2.0062800114704286E-2</v>
      </c>
      <c r="J163" s="80">
        <f t="shared" si="55"/>
        <v>6330</v>
      </c>
      <c r="K163" s="43">
        <f>J163*'KiGa - PS'!L164</f>
        <v>0</v>
      </c>
      <c r="L163" s="42"/>
      <c r="M163">
        <v>70</v>
      </c>
      <c r="N163" s="43"/>
      <c r="O163" s="44"/>
      <c r="P163">
        <v>1500</v>
      </c>
      <c r="Q163">
        <v>50</v>
      </c>
      <c r="R163">
        <v>0</v>
      </c>
      <c r="S163" s="43">
        <f t="shared" si="56"/>
        <v>1550</v>
      </c>
      <c r="T163">
        <v>4000</v>
      </c>
      <c r="U163">
        <v>100</v>
      </c>
      <c r="V163">
        <v>500</v>
      </c>
      <c r="W163" s="43">
        <f t="shared" si="57"/>
        <v>4600</v>
      </c>
      <c r="X163">
        <v>180</v>
      </c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  <c r="AI163" s="110"/>
      <c r="AJ163" s="110"/>
      <c r="AK163" s="110"/>
      <c r="AL163" s="110"/>
      <c r="AM163" s="110"/>
      <c r="AN163" s="110"/>
      <c r="AO163" s="110"/>
      <c r="AP163" s="110"/>
      <c r="AQ163" s="110"/>
      <c r="AR163" s="110"/>
      <c r="AS163" s="110"/>
      <c r="AT163" s="110"/>
      <c r="AU163" s="110"/>
      <c r="AV163" s="110"/>
      <c r="AW163" s="110"/>
      <c r="AX163" s="110"/>
      <c r="AY163" s="110"/>
      <c r="AZ163" s="110"/>
      <c r="BA163" s="110"/>
      <c r="BB163" s="110"/>
      <c r="BC163" s="110"/>
      <c r="BD163" s="110"/>
      <c r="BE163" s="110"/>
      <c r="BF163" s="110"/>
      <c r="BG163" s="110"/>
      <c r="BH163" s="110"/>
      <c r="BI163" s="110"/>
      <c r="BJ163" s="110"/>
      <c r="BK163" s="110"/>
      <c r="BL163" s="110"/>
      <c r="BM163" s="110"/>
      <c r="BN163" s="110"/>
      <c r="BO163" s="110"/>
      <c r="BP163" s="110"/>
      <c r="BQ163" s="110"/>
      <c r="BR163" s="110"/>
      <c r="BS163" s="110"/>
      <c r="BT163" s="110"/>
      <c r="BU163" s="110"/>
      <c r="BV163" s="110"/>
      <c r="BW163" s="110"/>
      <c r="BX163" s="110"/>
      <c r="BY163" s="110"/>
      <c r="BZ163" s="110"/>
      <c r="CA163" s="110"/>
      <c r="CB163" s="110"/>
      <c r="CC163" s="110"/>
      <c r="CD163" s="110"/>
      <c r="CE163" s="110"/>
      <c r="CF163" s="110"/>
    </row>
    <row r="164" spans="1:84" s="45" customFormat="1" x14ac:dyDescent="0.25">
      <c r="A164" t="str">
        <f>Funktional!A164</f>
        <v>Ermatingen</v>
      </c>
      <c r="B164" t="str">
        <f>Funktional!B164</f>
        <v>KiGa</v>
      </c>
      <c r="C164">
        <v>0.21199999999999999</v>
      </c>
      <c r="D164">
        <v>4.2500000000000003E-2</v>
      </c>
      <c r="E164" s="26">
        <f t="shared" ref="E164:E174" si="58">F164+G164</f>
        <v>6855730.9900000002</v>
      </c>
      <c r="F164">
        <v>6403468.4000000004</v>
      </c>
      <c r="G164">
        <v>452262.59</v>
      </c>
      <c r="H164">
        <v>46964.25</v>
      </c>
      <c r="I164" s="42">
        <f t="shared" si="54"/>
        <v>6.8503635963114125E-3</v>
      </c>
      <c r="J164" s="80">
        <f t="shared" si="55"/>
        <v>40200</v>
      </c>
      <c r="K164" s="43">
        <f>J164*'KiGa - PS'!L165</f>
        <v>6367.0012222626601</v>
      </c>
      <c r="L164" s="42">
        <f>K164/Funktional!E164</f>
        <v>1.3288582763723081E-2</v>
      </c>
      <c r="M164">
        <v>50</v>
      </c>
      <c r="N164" s="43">
        <f>K164/Funktional!C164</f>
        <v>2122.3337407542199</v>
      </c>
      <c r="O164" s="44">
        <f>K164/Funktional!D164</f>
        <v>115.76365858659382</v>
      </c>
      <c r="P164">
        <v>0</v>
      </c>
      <c r="Q164">
        <v>0</v>
      </c>
      <c r="R164">
        <v>0</v>
      </c>
      <c r="S164" s="43">
        <f t="shared" si="56"/>
        <v>0</v>
      </c>
      <c r="T164">
        <v>0</v>
      </c>
      <c r="U164">
        <v>0</v>
      </c>
      <c r="V164">
        <v>2400</v>
      </c>
      <c r="W164" s="43">
        <f t="shared" si="57"/>
        <v>2400</v>
      </c>
      <c r="X164">
        <v>37800</v>
      </c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  <c r="AK164" s="110"/>
      <c r="AL164" s="110"/>
      <c r="AM164" s="110"/>
      <c r="AN164" s="110"/>
      <c r="AO164" s="110"/>
      <c r="AP164" s="110"/>
      <c r="AQ164" s="110"/>
      <c r="AR164" s="110"/>
      <c r="AS164" s="110"/>
      <c r="AT164" s="110"/>
      <c r="AU164" s="110"/>
      <c r="AV164" s="110"/>
      <c r="AW164" s="110"/>
      <c r="AX164" s="110"/>
      <c r="AY164" s="110"/>
      <c r="AZ164" s="110"/>
      <c r="BA164" s="110"/>
      <c r="BB164" s="110"/>
      <c r="BC164" s="110"/>
      <c r="BD164" s="110"/>
      <c r="BE164" s="110"/>
      <c r="BF164" s="110"/>
      <c r="BG164" s="110"/>
      <c r="BH164" s="110"/>
      <c r="BI164" s="110"/>
      <c r="BJ164" s="110"/>
      <c r="BK164" s="110"/>
      <c r="BL164" s="110"/>
      <c r="BM164" s="110"/>
      <c r="BN164" s="110"/>
      <c r="BO164" s="110"/>
      <c r="BP164" s="110"/>
      <c r="BQ164" s="110"/>
      <c r="BR164" s="110"/>
      <c r="BS164" s="110"/>
      <c r="BT164" s="110"/>
      <c r="BU164" s="110"/>
      <c r="BV164" s="110"/>
      <c r="BW164" s="110"/>
      <c r="BX164" s="110"/>
      <c r="BY164" s="110"/>
      <c r="BZ164" s="110"/>
      <c r="CA164" s="110"/>
      <c r="CB164" s="110"/>
      <c r="CC164" s="110"/>
      <c r="CD164" s="110"/>
      <c r="CE164" s="110"/>
      <c r="CF164" s="110"/>
    </row>
    <row r="165" spans="1:84" s="45" customFormat="1" x14ac:dyDescent="0.25">
      <c r="A165" t="str">
        <f>Funktional!A165</f>
        <v>Eschenz</v>
      </c>
      <c r="B165" t="str">
        <f>Funktional!B165</f>
        <v>KiGa</v>
      </c>
      <c r="C165">
        <v>0.1042</v>
      </c>
      <c r="D165">
        <v>5.6399999999999999E-2</v>
      </c>
      <c r="E165" s="26">
        <f t="shared" si="58"/>
        <v>3140485.75</v>
      </c>
      <c r="F165">
        <v>2937974.55</v>
      </c>
      <c r="G165">
        <v>202511.2</v>
      </c>
      <c r="H165">
        <v>876.95</v>
      </c>
      <c r="I165" s="42">
        <f t="shared" si="54"/>
        <v>2.7924024173648932E-4</v>
      </c>
      <c r="J165" s="80">
        <f t="shared" si="55"/>
        <v>32800</v>
      </c>
      <c r="K165" s="43">
        <f>J165*'KiGa - PS'!L166</f>
        <v>5181.3293536387218</v>
      </c>
      <c r="L165" s="42">
        <f>K165/Funktional!E165</f>
        <v>2.0984733574335748E-2</v>
      </c>
      <c r="M165">
        <v>50</v>
      </c>
      <c r="N165" s="43">
        <f>K165/Funktional!C165</f>
        <v>2590.6646768193609</v>
      </c>
      <c r="O165" s="44">
        <f>K165/Funktional!D165</f>
        <v>107.94436153414004</v>
      </c>
      <c r="P165">
        <v>7200</v>
      </c>
      <c r="Q165">
        <v>3600</v>
      </c>
      <c r="R165">
        <v>0</v>
      </c>
      <c r="S165" s="43">
        <f t="shared" si="56"/>
        <v>10800</v>
      </c>
      <c r="T165">
        <v>18000</v>
      </c>
      <c r="U165">
        <v>4000</v>
      </c>
      <c r="V165">
        <v>0</v>
      </c>
      <c r="W165" s="43">
        <f t="shared" si="57"/>
        <v>22000</v>
      </c>
      <c r="X165">
        <v>0</v>
      </c>
      <c r="Y165" s="110"/>
      <c r="Z165" s="110"/>
      <c r="AA165" s="110"/>
      <c r="AB165" s="110"/>
      <c r="AC165" s="110"/>
      <c r="AD165" s="110"/>
      <c r="AE165" s="110"/>
      <c r="AF165" s="110"/>
      <c r="AG165" s="110"/>
      <c r="AH165" s="110"/>
      <c r="AI165" s="110"/>
      <c r="AJ165" s="110"/>
      <c r="AK165" s="110"/>
      <c r="AL165" s="110"/>
      <c r="AM165" s="110"/>
      <c r="AN165" s="110"/>
      <c r="AO165" s="110"/>
      <c r="AP165" s="110"/>
      <c r="AQ165" s="110"/>
      <c r="AR165" s="110"/>
      <c r="AS165" s="110"/>
      <c r="AT165" s="110"/>
      <c r="AU165" s="110"/>
      <c r="AV165" s="110"/>
      <c r="AW165" s="110"/>
      <c r="AX165" s="110"/>
      <c r="AY165" s="110"/>
      <c r="AZ165" s="110"/>
      <c r="BA165" s="110"/>
      <c r="BB165" s="110"/>
      <c r="BC165" s="110"/>
      <c r="BD165" s="110"/>
      <c r="BE165" s="110"/>
      <c r="BF165" s="110"/>
      <c r="BG165" s="110"/>
      <c r="BH165" s="110"/>
      <c r="BI165" s="110"/>
      <c r="BJ165" s="110"/>
      <c r="BK165" s="110"/>
      <c r="BL165" s="110"/>
      <c r="BM165" s="110"/>
      <c r="BN165" s="110"/>
      <c r="BO165" s="110"/>
      <c r="BP165" s="110"/>
      <c r="BQ165" s="110"/>
      <c r="BR165" s="110"/>
      <c r="BS165" s="110"/>
      <c r="BT165" s="110"/>
      <c r="BU165" s="110"/>
      <c r="BV165" s="110"/>
      <c r="BW165" s="110"/>
      <c r="BX165" s="110"/>
      <c r="BY165" s="110"/>
      <c r="BZ165" s="110"/>
      <c r="CA165" s="110"/>
      <c r="CB165" s="110"/>
      <c r="CC165" s="110"/>
      <c r="CD165" s="110"/>
      <c r="CE165" s="110"/>
      <c r="CF165" s="110"/>
    </row>
    <row r="166" spans="1:84" s="45" customFormat="1" x14ac:dyDescent="0.25">
      <c r="A166" t="str">
        <f>Funktional!A166</f>
        <v>Ettenhausen</v>
      </c>
      <c r="B166" t="str">
        <f>Funktional!B166</f>
        <v>KiGa</v>
      </c>
      <c r="C166">
        <v>7.6499999999999999E-2</v>
      </c>
      <c r="D166">
        <v>1.4200000000000001E-2</v>
      </c>
      <c r="E166" s="26">
        <f t="shared" si="58"/>
        <v>1263414.8500000001</v>
      </c>
      <c r="F166">
        <v>1091788</v>
      </c>
      <c r="G166">
        <v>171626.85</v>
      </c>
      <c r="H166">
        <v>40927.199999999997</v>
      </c>
      <c r="I166" s="42">
        <f t="shared" si="54"/>
        <v>3.2394110295600839E-2</v>
      </c>
      <c r="J166" s="80">
        <f t="shared" si="55"/>
        <v>17823</v>
      </c>
      <c r="K166" s="43">
        <f>J166*'KiGa - PS'!L167</f>
        <v>3001.9036739506073</v>
      </c>
      <c r="L166" s="42">
        <f>K166/Funktional!E166</f>
        <v>1.6902000686492641E-2</v>
      </c>
      <c r="M166">
        <v>50</v>
      </c>
      <c r="N166" s="43">
        <f>K166/Funktional!C166</f>
        <v>2001.2691159670715</v>
      </c>
      <c r="O166" s="44">
        <f>K166/Funktional!D166</f>
        <v>107.21084549823597</v>
      </c>
      <c r="P166">
        <v>2836</v>
      </c>
      <c r="Q166">
        <v>0</v>
      </c>
      <c r="R166">
        <v>1428</v>
      </c>
      <c r="S166" s="43">
        <f t="shared" si="56"/>
        <v>4264</v>
      </c>
      <c r="T166">
        <v>4977</v>
      </c>
      <c r="U166">
        <v>3810</v>
      </c>
      <c r="V166">
        <v>1757</v>
      </c>
      <c r="W166" s="43">
        <f t="shared" si="57"/>
        <v>10544</v>
      </c>
      <c r="X166">
        <v>3015</v>
      </c>
      <c r="Y166" s="110"/>
      <c r="Z166" s="110"/>
      <c r="AA166" s="110"/>
      <c r="AB166" s="110"/>
      <c r="AC166" s="110"/>
      <c r="AD166" s="110"/>
      <c r="AE166" s="110"/>
      <c r="AF166" s="110"/>
      <c r="AG166" s="110"/>
      <c r="AH166" s="110"/>
      <c r="AI166" s="110"/>
      <c r="AJ166" s="110"/>
      <c r="AK166" s="110"/>
      <c r="AL166" s="110"/>
      <c r="AM166" s="110"/>
      <c r="AN166" s="110"/>
      <c r="AO166" s="110"/>
      <c r="AP166" s="110"/>
      <c r="AQ166" s="110"/>
      <c r="AR166" s="110"/>
      <c r="AS166" s="110"/>
      <c r="AT166" s="110"/>
      <c r="AU166" s="110"/>
      <c r="AV166" s="110"/>
      <c r="AW166" s="110"/>
      <c r="AX166" s="110"/>
      <c r="AY166" s="110"/>
      <c r="AZ166" s="110"/>
      <c r="BA166" s="110"/>
      <c r="BB166" s="110"/>
      <c r="BC166" s="110"/>
      <c r="BD166" s="110"/>
      <c r="BE166" s="110"/>
      <c r="BF166" s="110"/>
      <c r="BG166" s="110"/>
      <c r="BH166" s="110"/>
      <c r="BI166" s="110"/>
      <c r="BJ166" s="110"/>
      <c r="BK166" s="110"/>
      <c r="BL166" s="110"/>
      <c r="BM166" s="110"/>
      <c r="BN166" s="110"/>
      <c r="BO166" s="110"/>
      <c r="BP166" s="110"/>
      <c r="BQ166" s="110"/>
      <c r="BR166" s="110"/>
      <c r="BS166" s="110"/>
      <c r="BT166" s="110"/>
      <c r="BU166" s="110"/>
      <c r="BV166" s="110"/>
      <c r="BW166" s="110"/>
      <c r="BX166" s="110"/>
      <c r="BY166" s="110"/>
      <c r="BZ166" s="110"/>
      <c r="CA166" s="110"/>
      <c r="CB166" s="110"/>
      <c r="CC166" s="110"/>
      <c r="CD166" s="110"/>
      <c r="CE166" s="110"/>
      <c r="CF166" s="110"/>
    </row>
    <row r="167" spans="1:84" s="45" customFormat="1" x14ac:dyDescent="0.25">
      <c r="A167" t="str">
        <f>Funktional!A167</f>
        <v>Felben-Wellhausen</v>
      </c>
      <c r="B167" t="str">
        <f>Funktional!B167</f>
        <v>KiGa</v>
      </c>
      <c r="C167">
        <v>6.5000000000000002E-2</v>
      </c>
      <c r="D167">
        <v>1.41E-2</v>
      </c>
      <c r="E167" s="26">
        <f t="shared" si="58"/>
        <v>4900320.3499999996</v>
      </c>
      <c r="F167">
        <v>2510100.6</v>
      </c>
      <c r="G167">
        <v>2390219.75</v>
      </c>
      <c r="H167">
        <v>65261.8</v>
      </c>
      <c r="I167" s="42">
        <f t="shared" si="54"/>
        <v>1.3317864004544112E-2</v>
      </c>
      <c r="J167" s="80">
        <f t="shared" si="55"/>
        <v>38652</v>
      </c>
      <c r="K167" s="43">
        <f>J167*'KiGa - PS'!L168</f>
        <v>5850.8621420692762</v>
      </c>
      <c r="L167" s="42">
        <f>K167/Funktional!E167</f>
        <v>1.7307596723861621E-2</v>
      </c>
      <c r="M167">
        <v>50</v>
      </c>
      <c r="N167" s="43">
        <f>K167/Funktional!C167</f>
        <v>1950.2873806897587</v>
      </c>
      <c r="O167" s="44">
        <f>K167/Funktional!D167</f>
        <v>97.514369034487942</v>
      </c>
      <c r="P167">
        <v>6660</v>
      </c>
      <c r="Q167">
        <v>1500</v>
      </c>
      <c r="R167">
        <v>0</v>
      </c>
      <c r="S167" s="43">
        <f t="shared" si="56"/>
        <v>8160</v>
      </c>
      <c r="T167">
        <v>20228</v>
      </c>
      <c r="U167">
        <v>1500</v>
      </c>
      <c r="V167">
        <v>6000</v>
      </c>
      <c r="W167" s="43">
        <f t="shared" si="57"/>
        <v>27728</v>
      </c>
      <c r="X167">
        <v>2764</v>
      </c>
      <c r="Y167" s="110"/>
      <c r="Z167" s="110"/>
      <c r="AA167" s="110"/>
      <c r="AB167" s="110"/>
      <c r="AC167" s="110"/>
      <c r="AD167" s="110"/>
      <c r="AE167" s="110"/>
      <c r="AF167" s="110"/>
      <c r="AG167" s="110"/>
      <c r="AH167" s="110"/>
      <c r="AI167" s="110"/>
      <c r="AJ167" s="110"/>
      <c r="AK167" s="110"/>
      <c r="AL167" s="110"/>
      <c r="AM167" s="110"/>
      <c r="AN167" s="110"/>
      <c r="AO167" s="110"/>
      <c r="AP167" s="110"/>
      <c r="AQ167" s="110"/>
      <c r="AR167" s="110"/>
      <c r="AS167" s="110"/>
      <c r="AT167" s="110"/>
      <c r="AU167" s="110"/>
      <c r="AV167" s="110"/>
      <c r="AW167" s="110"/>
      <c r="AX167" s="110"/>
      <c r="AY167" s="110"/>
      <c r="AZ167" s="110"/>
      <c r="BA167" s="110"/>
      <c r="BB167" s="110"/>
      <c r="BC167" s="110"/>
      <c r="BD167" s="110"/>
      <c r="BE167" s="110"/>
      <c r="BF167" s="110"/>
      <c r="BG167" s="110"/>
      <c r="BH167" s="110"/>
      <c r="BI167" s="110"/>
      <c r="BJ167" s="110"/>
      <c r="BK167" s="110"/>
      <c r="BL167" s="110"/>
      <c r="BM167" s="110"/>
      <c r="BN167" s="110"/>
      <c r="BO167" s="110"/>
      <c r="BP167" s="110"/>
      <c r="BQ167" s="110"/>
      <c r="BR167" s="110"/>
      <c r="BS167" s="110"/>
      <c r="BT167" s="110"/>
      <c r="BU167" s="110"/>
      <c r="BV167" s="110"/>
      <c r="BW167" s="110"/>
      <c r="BX167" s="110"/>
      <c r="BY167" s="110"/>
      <c r="BZ167" s="110"/>
      <c r="CA167" s="110"/>
      <c r="CB167" s="110"/>
      <c r="CC167" s="110"/>
      <c r="CD167" s="110"/>
      <c r="CE167" s="110"/>
      <c r="CF167" s="110"/>
    </row>
    <row r="168" spans="1:84" s="45" customFormat="1" x14ac:dyDescent="0.25">
      <c r="A168" t="str">
        <f>Funktional!A168</f>
        <v>Fimmelsberg-Holzhäusern</v>
      </c>
      <c r="B168" t="str">
        <f>Funktional!B168</f>
        <v>KiGa</v>
      </c>
      <c r="C168">
        <v>0.10780000000000001</v>
      </c>
      <c r="D168">
        <v>4.3299999999999998E-2</v>
      </c>
      <c r="E168" s="26">
        <f t="shared" si="58"/>
        <v>1170261.6499999999</v>
      </c>
      <c r="F168">
        <v>728373</v>
      </c>
      <c r="G168">
        <v>441888.65</v>
      </c>
      <c r="H168">
        <v>30544.1</v>
      </c>
      <c r="I168" s="42">
        <f t="shared" si="54"/>
        <v>2.6100231516601437E-2</v>
      </c>
      <c r="J168" s="80">
        <f t="shared" si="55"/>
        <v>10500</v>
      </c>
      <c r="K168" s="43">
        <f>J168*'KiGa - PS'!L169</f>
        <v>2142.7145465771773</v>
      </c>
      <c r="L168" s="42">
        <f>K168/Funktional!E168</f>
        <v>1.4763957226481805E-2</v>
      </c>
      <c r="M168">
        <v>50</v>
      </c>
      <c r="N168" s="43">
        <f>K168/Funktional!C168</f>
        <v>4285.4290931543546</v>
      </c>
      <c r="O168" s="44">
        <f>K168/Funktional!D168</f>
        <v>142.84763643847847</v>
      </c>
      <c r="P168">
        <v>1200</v>
      </c>
      <c r="Q168">
        <v>0</v>
      </c>
      <c r="R168">
        <v>300</v>
      </c>
      <c r="S168" s="43">
        <f t="shared" si="56"/>
        <v>1500</v>
      </c>
      <c r="T168">
        <v>8000</v>
      </c>
      <c r="U168">
        <v>0</v>
      </c>
      <c r="V168">
        <v>1000</v>
      </c>
      <c r="W168" s="43">
        <f t="shared" si="57"/>
        <v>9000</v>
      </c>
      <c r="X168">
        <v>0</v>
      </c>
      <c r="Y168" s="110"/>
      <c r="Z168" s="110"/>
      <c r="AA168" s="110"/>
      <c r="AB168" s="110"/>
      <c r="AC168" s="110"/>
      <c r="AD168" s="110"/>
      <c r="AE168" s="110"/>
      <c r="AF168" s="110"/>
      <c r="AG168" s="110"/>
      <c r="AH168" s="110"/>
      <c r="AI168" s="110"/>
      <c r="AJ168" s="110"/>
      <c r="AK168" s="110"/>
      <c r="AL168" s="110"/>
      <c r="AM168" s="110"/>
      <c r="AN168" s="110"/>
      <c r="AO168" s="110"/>
      <c r="AP168" s="110"/>
      <c r="AQ168" s="110"/>
      <c r="AR168" s="110"/>
      <c r="AS168" s="110"/>
      <c r="AT168" s="110"/>
      <c r="AU168" s="110"/>
      <c r="AV168" s="110"/>
      <c r="AW168" s="110"/>
      <c r="AX168" s="110"/>
      <c r="AY168" s="110"/>
      <c r="AZ168" s="110"/>
      <c r="BA168" s="110"/>
      <c r="BB168" s="110"/>
      <c r="BC168" s="110"/>
      <c r="BD168" s="110"/>
      <c r="BE168" s="110"/>
      <c r="BF168" s="110"/>
      <c r="BG168" s="110"/>
      <c r="BH168" s="110"/>
      <c r="BI168" s="110"/>
      <c r="BJ168" s="110"/>
      <c r="BK168" s="110"/>
      <c r="BL168" s="110"/>
      <c r="BM168" s="110"/>
      <c r="BN168" s="110"/>
      <c r="BO168" s="110"/>
      <c r="BP168" s="110"/>
      <c r="BQ168" s="110"/>
      <c r="BR168" s="110"/>
      <c r="BS168" s="110"/>
      <c r="BT168" s="110"/>
      <c r="BU168" s="110"/>
      <c r="BV168" s="110"/>
      <c r="BW168" s="110"/>
      <c r="BX168" s="110"/>
      <c r="BY168" s="110"/>
      <c r="BZ168" s="110"/>
      <c r="CA168" s="110"/>
      <c r="CB168" s="110"/>
      <c r="CC168" s="110"/>
      <c r="CD168" s="110"/>
      <c r="CE168" s="110"/>
      <c r="CF168" s="110"/>
    </row>
    <row r="169" spans="1:84" s="45" customFormat="1" x14ac:dyDescent="0.25">
      <c r="A169" t="str">
        <f>Funktional!A169</f>
        <v>Fischingen</v>
      </c>
      <c r="B169" t="str">
        <f>Funktional!B169</f>
        <v>KiGa</v>
      </c>
      <c r="C169">
        <v>2.53E-2</v>
      </c>
      <c r="D169">
        <v>2.9999999999999997E-4</v>
      </c>
      <c r="E169" s="26">
        <f t="shared" si="58"/>
        <v>337137.35000000003</v>
      </c>
      <c r="F169">
        <v>262240.90000000002</v>
      </c>
      <c r="G169">
        <v>74896.45</v>
      </c>
      <c r="H169">
        <v>19400.95</v>
      </c>
      <c r="I169" s="42">
        <f t="shared" ref="I169:I184" si="59">H169/E169</f>
        <v>5.7546130679380372E-2</v>
      </c>
      <c r="J169" s="80">
        <f t="shared" ref="J169:J184" si="60">S169+W169+X169</f>
        <v>8625</v>
      </c>
      <c r="K169" s="43">
        <f>J169*'KiGa - PS'!L170</f>
        <v>2113.9081729189043</v>
      </c>
      <c r="L169" s="42">
        <f>K169/Funktional!E169</f>
        <v>1.3447026316804923E-2</v>
      </c>
      <c r="M169">
        <v>50</v>
      </c>
      <c r="N169" s="43">
        <f>K169/Funktional!C169</f>
        <v>2113.9081729189043</v>
      </c>
      <c r="O169" s="44">
        <f>K169/Funktional!D169</f>
        <v>105.69540864594521</v>
      </c>
      <c r="P169">
        <v>1210</v>
      </c>
      <c r="Q169">
        <v>250</v>
      </c>
      <c r="R169">
        <v>600</v>
      </c>
      <c r="S169" s="43">
        <f t="shared" ref="S169:S184" si="61">P169+Q169+R169</f>
        <v>2060</v>
      </c>
      <c r="T169">
        <v>4700</v>
      </c>
      <c r="U169">
        <v>250</v>
      </c>
      <c r="V169">
        <v>1415</v>
      </c>
      <c r="W169" s="43">
        <f t="shared" ref="W169:W184" si="62">T169+U169+V169</f>
        <v>6365</v>
      </c>
      <c r="X169">
        <v>200</v>
      </c>
      <c r="Y169" s="110"/>
      <c r="Z169" s="110"/>
      <c r="AA169" s="110"/>
      <c r="AB169" s="110"/>
      <c r="AC169" s="110"/>
      <c r="AD169" s="110"/>
      <c r="AE169" s="110"/>
      <c r="AF169" s="110"/>
      <c r="AG169" s="110"/>
      <c r="AH169" s="110"/>
      <c r="AI169" s="110"/>
      <c r="AJ169" s="110"/>
      <c r="AK169" s="110"/>
      <c r="AL169" s="110"/>
      <c r="AM169" s="110"/>
      <c r="AN169" s="110"/>
      <c r="AO169" s="110"/>
      <c r="AP169" s="110"/>
      <c r="AQ169" s="110"/>
      <c r="AR169" s="110"/>
      <c r="AS169" s="110"/>
      <c r="AT169" s="110"/>
      <c r="AU169" s="110"/>
      <c r="AV169" s="110"/>
      <c r="AW169" s="110"/>
      <c r="AX169" s="110"/>
      <c r="AY169" s="110"/>
      <c r="AZ169" s="110"/>
      <c r="BA169" s="110"/>
      <c r="BB169" s="110"/>
      <c r="BC169" s="110"/>
      <c r="BD169" s="110"/>
      <c r="BE169" s="110"/>
      <c r="BF169" s="110"/>
      <c r="BG169" s="110"/>
      <c r="BH169" s="110"/>
      <c r="BI169" s="110"/>
      <c r="BJ169" s="110"/>
      <c r="BK169" s="110"/>
      <c r="BL169" s="110"/>
      <c r="BM169" s="110"/>
      <c r="BN169" s="110"/>
      <c r="BO169" s="110"/>
      <c r="BP169" s="110"/>
      <c r="BQ169" s="110"/>
      <c r="BR169" s="110"/>
      <c r="BS169" s="110"/>
      <c r="BT169" s="110"/>
      <c r="BU169" s="110"/>
      <c r="BV169" s="110"/>
      <c r="BW169" s="110"/>
      <c r="BX169" s="110"/>
      <c r="BY169" s="110"/>
      <c r="BZ169" s="110"/>
      <c r="CA169" s="110"/>
      <c r="CB169" s="110"/>
      <c r="CC169" s="110"/>
      <c r="CD169" s="110"/>
      <c r="CE169" s="110"/>
      <c r="CF169" s="110"/>
    </row>
    <row r="170" spans="1:84" s="45" customFormat="1" x14ac:dyDescent="0.25">
      <c r="A170" t="str">
        <f>Funktional!A170</f>
        <v>Frauenfeld</v>
      </c>
      <c r="B170" t="str">
        <f>Funktional!B170</f>
        <v>KiGa</v>
      </c>
      <c r="C170">
        <v>0.10440000000000001</v>
      </c>
      <c r="D170">
        <v>4.4699999999999997E-2</v>
      </c>
      <c r="E170" s="26">
        <f t="shared" si="58"/>
        <v>35656382.899999999</v>
      </c>
      <c r="F170">
        <v>14815931.15</v>
      </c>
      <c r="G170">
        <v>20840451.75</v>
      </c>
      <c r="H170">
        <v>410096.6</v>
      </c>
      <c r="I170" s="42">
        <f t="shared" si="59"/>
        <v>1.150135169767879E-2</v>
      </c>
      <c r="J170" s="80">
        <f t="shared" si="60"/>
        <v>0</v>
      </c>
      <c r="K170" s="43">
        <f>J170*'KiGa - PS'!L171</f>
        <v>0</v>
      </c>
      <c r="L170" s="42">
        <f>K170/Funktional!E170</f>
        <v>0</v>
      </c>
      <c r="M170">
        <v>0</v>
      </c>
      <c r="N170" s="43">
        <f>K170/Funktional!C170</f>
        <v>0</v>
      </c>
      <c r="O170" s="44">
        <f>K170/Funktional!D170</f>
        <v>0</v>
      </c>
      <c r="P170">
        <v>0</v>
      </c>
      <c r="Q170">
        <v>0</v>
      </c>
      <c r="R170">
        <v>0</v>
      </c>
      <c r="S170" s="43">
        <f t="shared" si="61"/>
        <v>0</v>
      </c>
      <c r="T170">
        <v>0</v>
      </c>
      <c r="U170">
        <v>0</v>
      </c>
      <c r="V170">
        <v>0</v>
      </c>
      <c r="W170" s="43">
        <f t="shared" si="62"/>
        <v>0</v>
      </c>
      <c r="X170">
        <v>0</v>
      </c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  <c r="AK170" s="110"/>
      <c r="AL170" s="110"/>
      <c r="AM170" s="110"/>
      <c r="AN170" s="110"/>
      <c r="AO170" s="110"/>
      <c r="AP170" s="110"/>
      <c r="AQ170" s="110"/>
      <c r="AR170" s="110"/>
      <c r="AS170" s="110"/>
      <c r="AT170" s="110"/>
      <c r="AU170" s="110"/>
      <c r="AV170" s="110"/>
      <c r="AW170" s="110"/>
      <c r="AX170" s="110"/>
      <c r="AY170" s="110"/>
      <c r="AZ170" s="110"/>
      <c r="BA170" s="110"/>
      <c r="BB170" s="110"/>
      <c r="BC170" s="110"/>
      <c r="BD170" s="110"/>
      <c r="BE170" s="110"/>
      <c r="BF170" s="110"/>
      <c r="BG170" s="110"/>
      <c r="BH170" s="110"/>
      <c r="BI170" s="110"/>
      <c r="BJ170" s="110"/>
      <c r="BK170" s="110"/>
      <c r="BL170" s="110"/>
      <c r="BM170" s="110"/>
      <c r="BN170" s="110"/>
      <c r="BO170" s="110"/>
      <c r="BP170" s="110"/>
      <c r="BQ170" s="110"/>
      <c r="BR170" s="110"/>
      <c r="BS170" s="110"/>
      <c r="BT170" s="110"/>
      <c r="BU170" s="110"/>
      <c r="BV170" s="110"/>
      <c r="BW170" s="110"/>
      <c r="BX170" s="110"/>
      <c r="BY170" s="110"/>
      <c r="BZ170" s="110"/>
      <c r="CA170" s="110"/>
      <c r="CB170" s="110"/>
      <c r="CC170" s="110"/>
      <c r="CD170" s="110"/>
      <c r="CE170" s="110"/>
      <c r="CF170" s="110"/>
    </row>
    <row r="171" spans="1:84" s="45" customFormat="1" x14ac:dyDescent="0.25">
      <c r="A171" t="str">
        <f>Funktional!A171</f>
        <v>Friltschen</v>
      </c>
      <c r="B171" t="str">
        <f>Funktional!B171</f>
        <v>KiGa</v>
      </c>
      <c r="C171">
        <v>0.18759999999999999</v>
      </c>
      <c r="D171">
        <v>8.09E-2</v>
      </c>
      <c r="E171" s="26">
        <f t="shared" si="58"/>
        <v>1644208.3</v>
      </c>
      <c r="F171">
        <v>1102770</v>
      </c>
      <c r="G171">
        <v>541438.30000000005</v>
      </c>
      <c r="H171">
        <v>30854</v>
      </c>
      <c r="I171" s="42">
        <f t="shared" si="59"/>
        <v>1.8765262284590096E-2</v>
      </c>
      <c r="J171" s="80">
        <f t="shared" si="60"/>
        <v>8920.7999999999993</v>
      </c>
      <c r="K171" s="43">
        <f>J171*'KiGa - PS'!L172</f>
        <v>0</v>
      </c>
      <c r="L171" s="42"/>
      <c r="M171">
        <v>55</v>
      </c>
      <c r="N171" s="43"/>
      <c r="O171" s="44"/>
      <c r="P171">
        <v>2000</v>
      </c>
      <c r="Q171">
        <v>200</v>
      </c>
      <c r="R171">
        <v>500</v>
      </c>
      <c r="S171" s="43">
        <f t="shared" si="61"/>
        <v>2700</v>
      </c>
      <c r="T171">
        <v>4360.8</v>
      </c>
      <c r="U171">
        <v>200</v>
      </c>
      <c r="V171">
        <v>500</v>
      </c>
      <c r="W171" s="43">
        <f t="shared" si="62"/>
        <v>5060.8</v>
      </c>
      <c r="X171">
        <v>1160</v>
      </c>
      <c r="Y171" s="110"/>
      <c r="Z171" s="110"/>
      <c r="AA171" s="110"/>
      <c r="AB171" s="110"/>
      <c r="AC171" s="110"/>
      <c r="AD171" s="110"/>
      <c r="AE171" s="110"/>
      <c r="AF171" s="110"/>
      <c r="AG171" s="110"/>
      <c r="AH171" s="110"/>
      <c r="AI171" s="110"/>
      <c r="AJ171" s="110"/>
      <c r="AK171" s="110"/>
      <c r="AL171" s="110"/>
      <c r="AM171" s="110"/>
      <c r="AN171" s="110"/>
      <c r="AO171" s="110"/>
      <c r="AP171" s="110"/>
      <c r="AQ171" s="110"/>
      <c r="AR171" s="110"/>
      <c r="AS171" s="110"/>
      <c r="AT171" s="110"/>
      <c r="AU171" s="110"/>
      <c r="AV171" s="110"/>
      <c r="AW171" s="110"/>
      <c r="AX171" s="110"/>
      <c r="AY171" s="110"/>
      <c r="AZ171" s="110"/>
      <c r="BA171" s="110"/>
      <c r="BB171" s="110"/>
      <c r="BC171" s="110"/>
      <c r="BD171" s="110"/>
      <c r="BE171" s="110"/>
      <c r="BF171" s="110"/>
      <c r="BG171" s="110"/>
      <c r="BH171" s="110"/>
      <c r="BI171" s="110"/>
      <c r="BJ171" s="110"/>
      <c r="BK171" s="110"/>
      <c r="BL171" s="110"/>
      <c r="BM171" s="110"/>
      <c r="BN171" s="110"/>
      <c r="BO171" s="110"/>
      <c r="BP171" s="110"/>
      <c r="BQ171" s="110"/>
      <c r="BR171" s="110"/>
      <c r="BS171" s="110"/>
      <c r="BT171" s="110"/>
      <c r="BU171" s="110"/>
      <c r="BV171" s="110"/>
      <c r="BW171" s="110"/>
      <c r="BX171" s="110"/>
      <c r="BY171" s="110"/>
      <c r="BZ171" s="110"/>
      <c r="CA171" s="110"/>
      <c r="CB171" s="110"/>
      <c r="CC171" s="110"/>
      <c r="CD171" s="110"/>
      <c r="CE171" s="110"/>
      <c r="CF171" s="110"/>
    </row>
    <row r="172" spans="1:84" s="45" customFormat="1" x14ac:dyDescent="0.25">
      <c r="A172" t="str">
        <f>Funktional!A172</f>
        <v>Gachnang</v>
      </c>
      <c r="B172" t="str">
        <f>Funktional!B172</f>
        <v>KiGa</v>
      </c>
      <c r="C172">
        <v>8.0100000000000005E-2</v>
      </c>
      <c r="D172">
        <v>3.5700000000000003E-2</v>
      </c>
      <c r="E172" s="26">
        <f t="shared" si="58"/>
        <v>6346550.6200000001</v>
      </c>
      <c r="F172">
        <v>3328771</v>
      </c>
      <c r="G172">
        <v>3017779.62</v>
      </c>
      <c r="H172">
        <v>95719.05</v>
      </c>
      <c r="I172" s="42">
        <f t="shared" si="59"/>
        <v>1.5082058858611925E-2</v>
      </c>
      <c r="J172" s="80">
        <f t="shared" si="60"/>
        <v>97000</v>
      </c>
      <c r="K172" s="43">
        <f>J172*'KiGa - PS'!L173</f>
        <v>16304.237324928665</v>
      </c>
      <c r="L172" s="42">
        <f>K172/Funktional!E172</f>
        <v>2.9523183841017962E-2</v>
      </c>
      <c r="M172">
        <v>70</v>
      </c>
      <c r="N172" s="43">
        <f>K172/Funktional!C172</f>
        <v>4076.0593312321662</v>
      </c>
      <c r="O172" s="44">
        <f>K172/Funktional!D172</f>
        <v>187.40502672331797</v>
      </c>
      <c r="P172">
        <v>21000</v>
      </c>
      <c r="Q172">
        <v>0</v>
      </c>
      <c r="R172">
        <v>7000</v>
      </c>
      <c r="S172" s="43">
        <f t="shared" si="61"/>
        <v>28000</v>
      </c>
      <c r="T172">
        <v>29000</v>
      </c>
      <c r="U172">
        <v>0</v>
      </c>
      <c r="V172">
        <v>13800</v>
      </c>
      <c r="W172" s="43">
        <f t="shared" si="62"/>
        <v>42800</v>
      </c>
      <c r="X172">
        <v>26200</v>
      </c>
      <c r="Y172" s="110"/>
      <c r="Z172" s="110"/>
      <c r="AA172" s="110"/>
      <c r="AB172" s="110"/>
      <c r="AC172" s="110"/>
      <c r="AD172" s="110"/>
      <c r="AE172" s="110"/>
      <c r="AF172" s="110"/>
      <c r="AG172" s="110"/>
      <c r="AH172" s="110"/>
      <c r="AI172" s="110"/>
      <c r="AJ172" s="110"/>
      <c r="AK172" s="110"/>
      <c r="AL172" s="110"/>
      <c r="AM172" s="110"/>
      <c r="AN172" s="110"/>
      <c r="AO172" s="110"/>
      <c r="AP172" s="110"/>
      <c r="AQ172" s="110"/>
      <c r="AR172" s="110"/>
      <c r="AS172" s="110"/>
      <c r="AT172" s="110"/>
      <c r="AU172" s="110"/>
      <c r="AV172" s="110"/>
      <c r="AW172" s="110"/>
      <c r="AX172" s="110"/>
      <c r="AY172" s="110"/>
      <c r="AZ172" s="110"/>
      <c r="BA172" s="110"/>
      <c r="BB172" s="110"/>
      <c r="BC172" s="110"/>
      <c r="BD172" s="110"/>
      <c r="BE172" s="110"/>
      <c r="BF172" s="110"/>
      <c r="BG172" s="110"/>
      <c r="BH172" s="110"/>
      <c r="BI172" s="110"/>
      <c r="BJ172" s="110"/>
      <c r="BK172" s="110"/>
      <c r="BL172" s="110"/>
      <c r="BM172" s="110"/>
      <c r="BN172" s="110"/>
      <c r="BO172" s="110"/>
      <c r="BP172" s="110"/>
      <c r="BQ172" s="110"/>
      <c r="BR172" s="110"/>
      <c r="BS172" s="110"/>
      <c r="BT172" s="110"/>
      <c r="BU172" s="110"/>
      <c r="BV172" s="110"/>
      <c r="BW172" s="110"/>
      <c r="BX172" s="110"/>
      <c r="BY172" s="110"/>
      <c r="BZ172" s="110"/>
      <c r="CA172" s="110"/>
      <c r="CB172" s="110"/>
      <c r="CC172" s="110"/>
      <c r="CD172" s="110"/>
      <c r="CE172" s="110"/>
      <c r="CF172" s="110"/>
    </row>
    <row r="173" spans="1:84" s="45" customFormat="1" x14ac:dyDescent="0.25">
      <c r="A173" t="str">
        <f>Funktional!A173</f>
        <v>Götighofen</v>
      </c>
      <c r="B173" t="str">
        <f>Funktional!B173</f>
        <v>KiGa</v>
      </c>
      <c r="C173">
        <v>0.15479999999999999</v>
      </c>
      <c r="D173">
        <v>3.1699999999999999E-2</v>
      </c>
      <c r="E173" s="26">
        <f t="shared" si="58"/>
        <v>1898290.48</v>
      </c>
      <c r="F173">
        <v>1573844.9</v>
      </c>
      <c r="G173">
        <v>324445.58</v>
      </c>
      <c r="H173">
        <v>20028.55</v>
      </c>
      <c r="I173" s="42">
        <f t="shared" si="59"/>
        <v>1.0550835191461319E-2</v>
      </c>
      <c r="J173" s="80">
        <f t="shared" si="60"/>
        <v>13700</v>
      </c>
      <c r="K173" s="43">
        <f>J173*'KiGa - PS'!L174</f>
        <v>2775.2220978088244</v>
      </c>
      <c r="L173" s="42">
        <f>K173/Funktional!E173</f>
        <v>1.6104147047084235E-2</v>
      </c>
      <c r="M173">
        <v>60</v>
      </c>
      <c r="N173" s="43">
        <f>K173/Funktional!C173</f>
        <v>2775.2220978088244</v>
      </c>
      <c r="O173" s="44">
        <f>K173/Funktional!D173</f>
        <v>154.17900543382359</v>
      </c>
      <c r="P173">
        <v>3000</v>
      </c>
      <c r="Q173">
        <v>0</v>
      </c>
      <c r="R173">
        <v>700</v>
      </c>
      <c r="S173" s="43">
        <f t="shared" si="61"/>
        <v>3700</v>
      </c>
      <c r="T173">
        <v>8500</v>
      </c>
      <c r="U173">
        <v>0</v>
      </c>
      <c r="V173">
        <v>1500</v>
      </c>
      <c r="W173" s="43">
        <f t="shared" si="62"/>
        <v>10000</v>
      </c>
      <c r="X173">
        <v>0</v>
      </c>
      <c r="Y173" s="110"/>
      <c r="Z173" s="110"/>
      <c r="AA173" s="110"/>
      <c r="AB173" s="110"/>
      <c r="AC173" s="110"/>
      <c r="AD173" s="110"/>
      <c r="AE173" s="110"/>
      <c r="AF173" s="110"/>
      <c r="AG173" s="110"/>
      <c r="AH173" s="110"/>
      <c r="AI173" s="110"/>
      <c r="AJ173" s="110"/>
      <c r="AK173" s="110"/>
      <c r="AL173" s="110"/>
      <c r="AM173" s="110"/>
      <c r="AN173" s="110"/>
      <c r="AO173" s="110"/>
      <c r="AP173" s="110"/>
      <c r="AQ173" s="110"/>
      <c r="AR173" s="110"/>
      <c r="AS173" s="110"/>
      <c r="AT173" s="110"/>
      <c r="AU173" s="110"/>
      <c r="AV173" s="110"/>
      <c r="AW173" s="110"/>
      <c r="AX173" s="110"/>
      <c r="AY173" s="110"/>
      <c r="AZ173" s="110"/>
      <c r="BA173" s="110"/>
      <c r="BB173" s="110"/>
      <c r="BC173" s="110"/>
      <c r="BD173" s="110"/>
      <c r="BE173" s="110"/>
      <c r="BF173" s="110"/>
      <c r="BG173" s="110"/>
      <c r="BH173" s="110"/>
      <c r="BI173" s="110"/>
      <c r="BJ173" s="110"/>
      <c r="BK173" s="110"/>
      <c r="BL173" s="110"/>
      <c r="BM173" s="110"/>
      <c r="BN173" s="110"/>
      <c r="BO173" s="110"/>
      <c r="BP173" s="110"/>
      <c r="BQ173" s="110"/>
      <c r="BR173" s="110"/>
      <c r="BS173" s="110"/>
      <c r="BT173" s="110"/>
      <c r="BU173" s="110"/>
      <c r="BV173" s="110"/>
      <c r="BW173" s="110"/>
      <c r="BX173" s="110"/>
      <c r="BY173" s="110"/>
      <c r="BZ173" s="110"/>
      <c r="CA173" s="110"/>
      <c r="CB173" s="110"/>
      <c r="CC173" s="110"/>
      <c r="CD173" s="110"/>
      <c r="CE173" s="110"/>
      <c r="CF173" s="110"/>
    </row>
    <row r="174" spans="1:84" s="45" customFormat="1" x14ac:dyDescent="0.25">
      <c r="A174" t="str">
        <f>Funktional!A174</f>
        <v>Gottlieben</v>
      </c>
      <c r="B174" t="str">
        <f>Funktional!B174</f>
        <v>KiGa</v>
      </c>
      <c r="C174">
        <v>-8.1199999999999994E-2</v>
      </c>
      <c r="D174">
        <v>-0.11559999999999999</v>
      </c>
      <c r="E174" s="26">
        <f t="shared" si="58"/>
        <v>562427.85</v>
      </c>
      <c r="F174">
        <v>132879</v>
      </c>
      <c r="G174">
        <v>429548.85</v>
      </c>
      <c r="H174">
        <v>28600.95</v>
      </c>
      <c r="I174" s="42">
        <f t="shared" si="59"/>
        <v>5.0852656034013968E-2</v>
      </c>
      <c r="J174" s="80">
        <f t="shared" si="60"/>
        <v>3600</v>
      </c>
      <c r="K174" s="43">
        <f>J174*'KiGa - PS'!L175</f>
        <v>0</v>
      </c>
      <c r="L174" s="42"/>
      <c r="M174">
        <v>50</v>
      </c>
      <c r="N174" s="43"/>
      <c r="O174" s="44"/>
      <c r="P174">
        <v>1300</v>
      </c>
      <c r="Q174">
        <v>0</v>
      </c>
      <c r="R174">
        <v>0</v>
      </c>
      <c r="S174" s="43">
        <f t="shared" si="61"/>
        <v>1300</v>
      </c>
      <c r="T174">
        <v>2300</v>
      </c>
      <c r="U174">
        <v>0</v>
      </c>
      <c r="V174">
        <v>0</v>
      </c>
      <c r="W174" s="43">
        <f t="shared" si="62"/>
        <v>2300</v>
      </c>
      <c r="X174">
        <v>0</v>
      </c>
      <c r="Y174" s="110"/>
      <c r="Z174" s="110"/>
      <c r="AA174" s="110"/>
      <c r="AB174" s="110"/>
      <c r="AC174" s="110"/>
      <c r="AD174" s="110"/>
      <c r="AE174" s="110"/>
      <c r="AF174" s="110"/>
      <c r="AG174" s="110"/>
      <c r="AH174" s="110"/>
      <c r="AI174" s="110"/>
      <c r="AJ174" s="110"/>
      <c r="AK174" s="110"/>
      <c r="AL174" s="110"/>
      <c r="AM174" s="110"/>
      <c r="AN174" s="110"/>
      <c r="AO174" s="110"/>
      <c r="AP174" s="110"/>
      <c r="AQ174" s="110"/>
      <c r="AR174" s="110"/>
      <c r="AS174" s="110"/>
      <c r="AT174" s="110"/>
      <c r="AU174" s="110"/>
      <c r="AV174" s="110"/>
      <c r="AW174" s="110"/>
      <c r="AX174" s="110"/>
      <c r="AY174" s="110"/>
      <c r="AZ174" s="110"/>
      <c r="BA174" s="110"/>
      <c r="BB174" s="110"/>
      <c r="BC174" s="110"/>
      <c r="BD174" s="110"/>
      <c r="BE174" s="110"/>
      <c r="BF174" s="110"/>
      <c r="BG174" s="110"/>
      <c r="BH174" s="110"/>
      <c r="BI174" s="110"/>
      <c r="BJ174" s="110"/>
      <c r="BK174" s="110"/>
      <c r="BL174" s="110"/>
      <c r="BM174" s="110"/>
      <c r="BN174" s="110"/>
      <c r="BO174" s="110"/>
      <c r="BP174" s="110"/>
      <c r="BQ174" s="110"/>
      <c r="BR174" s="110"/>
      <c r="BS174" s="110"/>
      <c r="BT174" s="110"/>
      <c r="BU174" s="110"/>
      <c r="BV174" s="110"/>
      <c r="BW174" s="110"/>
      <c r="BX174" s="110"/>
      <c r="BY174" s="110"/>
      <c r="BZ174" s="110"/>
      <c r="CA174" s="110"/>
      <c r="CB174" s="110"/>
      <c r="CC174" s="110"/>
      <c r="CD174" s="110"/>
      <c r="CE174" s="110"/>
      <c r="CF174" s="110"/>
    </row>
    <row r="175" spans="1:84" s="45" customFormat="1" x14ac:dyDescent="0.25">
      <c r="A175" t="str">
        <f>Funktional!A175</f>
        <v>Gottshaus</v>
      </c>
      <c r="B175" t="str">
        <f>Funktional!B175</f>
        <v>KiGa</v>
      </c>
      <c r="C175">
        <v>2.2000000000000001E-3</v>
      </c>
      <c r="D175">
        <v>-1.0699999999999999E-2</v>
      </c>
      <c r="E175" s="26">
        <f t="shared" ref="E175:E186" si="63">F175+G175</f>
        <v>382999.5</v>
      </c>
      <c r="F175">
        <v>266020</v>
      </c>
      <c r="G175">
        <v>116979.5</v>
      </c>
      <c r="H175">
        <v>27501.1</v>
      </c>
      <c r="I175" s="42">
        <f t="shared" si="59"/>
        <v>7.1804532381896061E-2</v>
      </c>
      <c r="J175" s="80">
        <f t="shared" si="60"/>
        <v>23200</v>
      </c>
      <c r="K175" s="43">
        <f>J175*'KiGa - PS'!L176</f>
        <v>3077.9204125382548</v>
      </c>
      <c r="L175" s="42">
        <f>K175/Funktional!E175</f>
        <v>2.4403647693163683E-2</v>
      </c>
      <c r="M175">
        <v>80</v>
      </c>
      <c r="N175" s="43">
        <f>K175/Funktional!C175</f>
        <v>6155.8408250765096</v>
      </c>
      <c r="O175" s="44">
        <f>K175/Funktional!D175</f>
        <v>181.05414191401499</v>
      </c>
      <c r="P175">
        <v>5000</v>
      </c>
      <c r="Q175">
        <v>500</v>
      </c>
      <c r="R175">
        <v>500</v>
      </c>
      <c r="S175" s="43">
        <f t="shared" si="61"/>
        <v>6000</v>
      </c>
      <c r="T175">
        <v>10000</v>
      </c>
      <c r="U175">
        <v>1000</v>
      </c>
      <c r="V175">
        <v>1000</v>
      </c>
      <c r="W175" s="43">
        <f t="shared" si="62"/>
        <v>12000</v>
      </c>
      <c r="X175">
        <v>5200</v>
      </c>
      <c r="Y175" s="110"/>
      <c r="Z175" s="110"/>
      <c r="AA175" s="110"/>
      <c r="AB175" s="110"/>
      <c r="AC175" s="110"/>
      <c r="AD175" s="110"/>
      <c r="AE175" s="110"/>
      <c r="AF175" s="110"/>
      <c r="AG175" s="110"/>
      <c r="AH175" s="110"/>
      <c r="AI175" s="110"/>
      <c r="AJ175" s="110"/>
      <c r="AK175" s="110"/>
      <c r="AL175" s="110"/>
      <c r="AM175" s="110"/>
      <c r="AN175" s="110"/>
      <c r="AO175" s="110"/>
      <c r="AP175" s="110"/>
      <c r="AQ175" s="110"/>
      <c r="AR175" s="110"/>
      <c r="AS175" s="110"/>
      <c r="AT175" s="110"/>
      <c r="AU175" s="110"/>
      <c r="AV175" s="110"/>
      <c r="AW175" s="110"/>
      <c r="AX175" s="110"/>
      <c r="AY175" s="110"/>
      <c r="AZ175" s="110"/>
      <c r="BA175" s="110"/>
      <c r="BB175" s="110"/>
      <c r="BC175" s="110"/>
      <c r="BD175" s="110"/>
      <c r="BE175" s="110"/>
      <c r="BF175" s="110"/>
      <c r="BG175" s="110"/>
      <c r="BH175" s="110"/>
      <c r="BI175" s="110"/>
      <c r="BJ175" s="110"/>
      <c r="BK175" s="110"/>
      <c r="BL175" s="110"/>
      <c r="BM175" s="110"/>
      <c r="BN175" s="110"/>
      <c r="BO175" s="110"/>
      <c r="BP175" s="110"/>
      <c r="BQ175" s="110"/>
      <c r="BR175" s="110"/>
      <c r="BS175" s="110"/>
      <c r="BT175" s="110"/>
      <c r="BU175" s="110"/>
      <c r="BV175" s="110"/>
      <c r="BW175" s="110"/>
      <c r="BX175" s="110"/>
      <c r="BY175" s="110"/>
      <c r="BZ175" s="110"/>
      <c r="CA175" s="110"/>
      <c r="CB175" s="110"/>
      <c r="CC175" s="110"/>
      <c r="CD175" s="110"/>
      <c r="CE175" s="110"/>
      <c r="CF175" s="110"/>
    </row>
    <row r="176" spans="1:84" s="45" customFormat="1" x14ac:dyDescent="0.25">
      <c r="A176" t="str">
        <f>Funktional!A176</f>
        <v>Gündelhart-Hörhausen</v>
      </c>
      <c r="B176" t="str">
        <f>Funktional!B176</f>
        <v>KiGa</v>
      </c>
      <c r="C176">
        <v>7.6899999999999996E-2</v>
      </c>
      <c r="D176">
        <v>0.03</v>
      </c>
      <c r="E176" s="26">
        <f t="shared" si="63"/>
        <v>874530.65</v>
      </c>
      <c r="F176">
        <v>652840</v>
      </c>
      <c r="G176">
        <v>221690.65</v>
      </c>
      <c r="H176">
        <v>7895.15</v>
      </c>
      <c r="I176" s="42">
        <f t="shared" si="59"/>
        <v>9.027871121498143E-3</v>
      </c>
      <c r="J176" s="80">
        <f t="shared" si="60"/>
        <v>16165</v>
      </c>
      <c r="K176" s="43">
        <f>J176*'KiGa - PS'!L177</f>
        <v>1991.4918091930579</v>
      </c>
      <c r="L176" s="42">
        <f>K176/Funktional!E176</f>
        <v>1.8755186972332707E-2</v>
      </c>
      <c r="M176">
        <v>53.5</v>
      </c>
      <c r="N176" s="43">
        <f>K176/Funktional!C176</f>
        <v>3982.9836183861157</v>
      </c>
      <c r="O176" s="44">
        <f>K176/Funktional!D176</f>
        <v>99.574590459652896</v>
      </c>
      <c r="P176">
        <v>2076</v>
      </c>
      <c r="Q176">
        <v>1040</v>
      </c>
      <c r="R176">
        <v>900</v>
      </c>
      <c r="S176" s="43">
        <f t="shared" si="61"/>
        <v>4016</v>
      </c>
      <c r="T176">
        <v>6260</v>
      </c>
      <c r="U176">
        <v>1200</v>
      </c>
      <c r="V176">
        <v>1800</v>
      </c>
      <c r="W176" s="43">
        <f t="shared" si="62"/>
        <v>9260</v>
      </c>
      <c r="X176">
        <v>2889</v>
      </c>
      <c r="Y176" s="110"/>
      <c r="Z176" s="110"/>
      <c r="AA176" s="110"/>
      <c r="AB176" s="110"/>
      <c r="AC176" s="110"/>
      <c r="AD176" s="110"/>
      <c r="AE176" s="110"/>
      <c r="AF176" s="110"/>
      <c r="AG176" s="110"/>
      <c r="AH176" s="110"/>
      <c r="AI176" s="110"/>
      <c r="AJ176" s="110"/>
      <c r="AK176" s="110"/>
      <c r="AL176" s="110"/>
      <c r="AM176" s="110"/>
      <c r="AN176" s="110"/>
      <c r="AO176" s="110"/>
      <c r="AP176" s="110"/>
      <c r="AQ176" s="110"/>
      <c r="AR176" s="110"/>
      <c r="AS176" s="110"/>
      <c r="AT176" s="110"/>
      <c r="AU176" s="110"/>
      <c r="AV176" s="110"/>
      <c r="AW176" s="110"/>
      <c r="AX176" s="110"/>
      <c r="AY176" s="110"/>
      <c r="AZ176" s="110"/>
      <c r="BA176" s="110"/>
      <c r="BB176" s="110"/>
      <c r="BC176" s="110"/>
      <c r="BD176" s="110"/>
      <c r="BE176" s="110"/>
      <c r="BF176" s="110"/>
      <c r="BG176" s="110"/>
      <c r="BH176" s="110"/>
      <c r="BI176" s="110"/>
      <c r="BJ176" s="110"/>
      <c r="BK176" s="110"/>
      <c r="BL176" s="110"/>
      <c r="BM176" s="110"/>
      <c r="BN176" s="110"/>
      <c r="BO176" s="110"/>
      <c r="BP176" s="110"/>
      <c r="BQ176" s="110"/>
      <c r="BR176" s="110"/>
      <c r="BS176" s="110"/>
      <c r="BT176" s="110"/>
      <c r="BU176" s="110"/>
      <c r="BV176" s="110"/>
      <c r="BW176" s="110"/>
      <c r="BX176" s="110"/>
      <c r="BY176" s="110"/>
      <c r="BZ176" s="110"/>
      <c r="CA176" s="110"/>
      <c r="CB176" s="110"/>
      <c r="CC176" s="110"/>
      <c r="CD176" s="110"/>
      <c r="CE176" s="110"/>
      <c r="CF176" s="110"/>
    </row>
    <row r="177" spans="1:84" s="45" customFormat="1" x14ac:dyDescent="0.25">
      <c r="A177" t="str">
        <f>Funktional!A177</f>
        <v>Guntershausen</v>
      </c>
      <c r="B177" t="str">
        <f>Funktional!B177</f>
        <v>KiGa</v>
      </c>
      <c r="C177">
        <v>0.25119999999999998</v>
      </c>
      <c r="D177">
        <v>0.1022</v>
      </c>
      <c r="E177" s="26">
        <f t="shared" si="63"/>
        <v>4093455.74</v>
      </c>
      <c r="F177">
        <v>3806762.2</v>
      </c>
      <c r="G177">
        <v>286693.53999999998</v>
      </c>
      <c r="H177">
        <v>26949.55</v>
      </c>
      <c r="I177" s="42">
        <f t="shared" si="59"/>
        <v>6.583569412185704E-3</v>
      </c>
      <c r="J177" s="80">
        <f t="shared" si="60"/>
        <v>18310</v>
      </c>
      <c r="K177" s="43">
        <f>J177*'KiGa - PS'!L178</f>
        <v>2083.6192488102665</v>
      </c>
      <c r="L177" s="42">
        <f>K177/Funktional!E177</f>
        <v>1.0779319420617059E-2</v>
      </c>
      <c r="M177">
        <v>60</v>
      </c>
      <c r="N177" s="43">
        <f>K177/Funktional!C177</f>
        <v>2083.6192488102665</v>
      </c>
      <c r="O177" s="44">
        <f>K177/Funktional!D177</f>
        <v>104.18096244051333</v>
      </c>
      <c r="P177">
        <v>3350</v>
      </c>
      <c r="Q177">
        <v>200</v>
      </c>
      <c r="R177">
        <v>1500</v>
      </c>
      <c r="S177" s="43">
        <f t="shared" si="61"/>
        <v>5050</v>
      </c>
      <c r="T177">
        <v>5800</v>
      </c>
      <c r="U177">
        <v>200</v>
      </c>
      <c r="V177">
        <v>3500</v>
      </c>
      <c r="W177" s="43">
        <f t="shared" si="62"/>
        <v>9500</v>
      </c>
      <c r="X177">
        <v>3760</v>
      </c>
      <c r="Y177" s="110"/>
      <c r="Z177" s="110"/>
      <c r="AA177" s="110"/>
      <c r="AB177" s="110"/>
      <c r="AC177" s="110"/>
      <c r="AD177" s="110"/>
      <c r="AE177" s="110"/>
      <c r="AF177" s="110"/>
      <c r="AG177" s="110"/>
      <c r="AH177" s="110"/>
      <c r="AI177" s="110"/>
      <c r="AJ177" s="110"/>
      <c r="AK177" s="110"/>
      <c r="AL177" s="110"/>
      <c r="AM177" s="110"/>
      <c r="AN177" s="110"/>
      <c r="AO177" s="110"/>
      <c r="AP177" s="110"/>
      <c r="AQ177" s="110"/>
      <c r="AR177" s="110"/>
      <c r="AS177" s="110"/>
      <c r="AT177" s="110"/>
      <c r="AU177" s="110"/>
      <c r="AV177" s="110"/>
      <c r="AW177" s="110"/>
      <c r="AX177" s="110"/>
      <c r="AY177" s="110"/>
      <c r="AZ177" s="110"/>
      <c r="BA177" s="110"/>
      <c r="BB177" s="110"/>
      <c r="BC177" s="110"/>
      <c r="BD177" s="110"/>
      <c r="BE177" s="110"/>
      <c r="BF177" s="110"/>
      <c r="BG177" s="110"/>
      <c r="BH177" s="110"/>
      <c r="BI177" s="110"/>
      <c r="BJ177" s="110"/>
      <c r="BK177" s="110"/>
      <c r="BL177" s="110"/>
      <c r="BM177" s="110"/>
      <c r="BN177" s="110"/>
      <c r="BO177" s="110"/>
      <c r="BP177" s="110"/>
      <c r="BQ177" s="110"/>
      <c r="BR177" s="110"/>
      <c r="BS177" s="110"/>
      <c r="BT177" s="110"/>
      <c r="BU177" s="110"/>
      <c r="BV177" s="110"/>
      <c r="BW177" s="110"/>
      <c r="BX177" s="110"/>
      <c r="BY177" s="110"/>
      <c r="BZ177" s="110"/>
      <c r="CA177" s="110"/>
      <c r="CB177" s="110"/>
      <c r="CC177" s="110"/>
      <c r="CD177" s="110"/>
      <c r="CE177" s="110"/>
      <c r="CF177" s="110"/>
    </row>
    <row r="178" spans="1:84" s="45" customFormat="1" x14ac:dyDescent="0.25">
      <c r="A178" t="str">
        <f>Funktional!A178</f>
        <v>Güttingen</v>
      </c>
      <c r="B178" t="str">
        <f>Funktional!B178</f>
        <v>KiGa</v>
      </c>
      <c r="C178">
        <v>2.63E-2</v>
      </c>
      <c r="D178">
        <v>2.63E-2</v>
      </c>
      <c r="E178" s="26">
        <f t="shared" si="63"/>
        <v>236667.65</v>
      </c>
      <c r="F178">
        <v>87319.5</v>
      </c>
      <c r="G178">
        <v>149348.15</v>
      </c>
      <c r="H178">
        <v>180</v>
      </c>
      <c r="I178" s="42">
        <f t="shared" si="59"/>
        <v>7.6056022020753577E-4</v>
      </c>
      <c r="J178" s="80">
        <f t="shared" si="60"/>
        <v>29911</v>
      </c>
      <c r="K178" s="43">
        <f>J178*'KiGa - PS'!L179</f>
        <v>4102.1893259258877</v>
      </c>
      <c r="L178" s="42">
        <f>K178/Funktional!E178</f>
        <v>2.2199417431355738E-2</v>
      </c>
      <c r="M178">
        <v>60</v>
      </c>
      <c r="N178" s="43">
        <f>K178/Funktional!C178</f>
        <v>2734.7928839505917</v>
      </c>
      <c r="O178" s="44">
        <f>K178/Funktional!D178</f>
        <v>136.7396441975296</v>
      </c>
      <c r="P178">
        <v>10800</v>
      </c>
      <c r="Q178">
        <v>1500</v>
      </c>
      <c r="R178">
        <v>1000</v>
      </c>
      <c r="S178" s="43">
        <f t="shared" si="61"/>
        <v>13300</v>
      </c>
      <c r="T178">
        <v>7500</v>
      </c>
      <c r="U178">
        <v>1000</v>
      </c>
      <c r="V178">
        <v>1500</v>
      </c>
      <c r="W178" s="43">
        <f t="shared" si="62"/>
        <v>10000</v>
      </c>
      <c r="X178">
        <v>6611</v>
      </c>
      <c r="Y178" s="110"/>
      <c r="Z178" s="110"/>
      <c r="AA178" s="110"/>
      <c r="AB178" s="110"/>
      <c r="AC178" s="110"/>
      <c r="AD178" s="110"/>
      <c r="AE178" s="110"/>
      <c r="AF178" s="110"/>
      <c r="AG178" s="110"/>
      <c r="AH178" s="110"/>
      <c r="AI178" s="110"/>
      <c r="AJ178" s="110"/>
      <c r="AK178" s="110"/>
      <c r="AL178" s="110"/>
      <c r="AM178" s="110"/>
      <c r="AN178" s="110"/>
      <c r="AO178" s="110"/>
      <c r="AP178" s="110"/>
      <c r="AQ178" s="110"/>
      <c r="AR178" s="110"/>
      <c r="AS178" s="110"/>
      <c r="AT178" s="110"/>
      <c r="AU178" s="110"/>
      <c r="AV178" s="110"/>
      <c r="AW178" s="110"/>
      <c r="AX178" s="110"/>
      <c r="AY178" s="110"/>
      <c r="AZ178" s="110"/>
      <c r="BA178" s="110"/>
      <c r="BB178" s="110"/>
      <c r="BC178" s="110"/>
      <c r="BD178" s="110"/>
      <c r="BE178" s="110"/>
      <c r="BF178" s="110"/>
      <c r="BG178" s="110"/>
      <c r="BH178" s="110"/>
      <c r="BI178" s="110"/>
      <c r="BJ178" s="110"/>
      <c r="BK178" s="110"/>
      <c r="BL178" s="110"/>
      <c r="BM178" s="110"/>
      <c r="BN178" s="110"/>
      <c r="BO178" s="110"/>
      <c r="BP178" s="110"/>
      <c r="BQ178" s="110"/>
      <c r="BR178" s="110"/>
      <c r="BS178" s="110"/>
      <c r="BT178" s="110"/>
      <c r="BU178" s="110"/>
      <c r="BV178" s="110"/>
      <c r="BW178" s="110"/>
      <c r="BX178" s="110"/>
      <c r="BY178" s="110"/>
      <c r="BZ178" s="110"/>
      <c r="CA178" s="110"/>
      <c r="CB178" s="110"/>
      <c r="CC178" s="110"/>
      <c r="CD178" s="110"/>
      <c r="CE178" s="110"/>
      <c r="CF178" s="110"/>
    </row>
    <row r="179" spans="1:84" s="45" customFormat="1" x14ac:dyDescent="0.25">
      <c r="A179" t="str">
        <f>Funktional!A179</f>
        <v>Halden-Kenzenau</v>
      </c>
      <c r="B179" t="str">
        <f>Funktional!B179</f>
        <v>KiGa</v>
      </c>
      <c r="C179">
        <v>4.1399999999999999E-2</v>
      </c>
      <c r="D179">
        <v>-8.3999999999999995E-3</v>
      </c>
      <c r="E179" s="26">
        <f t="shared" si="63"/>
        <v>737715.42999999993</v>
      </c>
      <c r="F179">
        <v>593741.44999999995</v>
      </c>
      <c r="G179">
        <v>143973.98000000001</v>
      </c>
      <c r="H179">
        <v>28623.15</v>
      </c>
      <c r="I179" s="42">
        <f t="shared" si="59"/>
        <v>3.8799717121275348E-2</v>
      </c>
      <c r="J179" s="80">
        <f t="shared" si="60"/>
        <v>12970</v>
      </c>
      <c r="K179" s="43">
        <f>J179*'KiGa - PS'!L180</f>
        <v>1678.6355512210012</v>
      </c>
      <c r="L179" s="42">
        <f>K179/Funktional!E179</f>
        <v>1.7992515280112385E-2</v>
      </c>
      <c r="M179">
        <v>50</v>
      </c>
      <c r="N179" s="43">
        <f>K179/Funktional!C179</f>
        <v>1678.6355512210012</v>
      </c>
      <c r="O179" s="44">
        <f>K179/Funktional!D179</f>
        <v>72.984154400913098</v>
      </c>
      <c r="P179">
        <v>2000</v>
      </c>
      <c r="Q179">
        <v>0</v>
      </c>
      <c r="R179">
        <v>1000</v>
      </c>
      <c r="S179" s="43">
        <f t="shared" si="61"/>
        <v>3000</v>
      </c>
      <c r="T179">
        <v>5500</v>
      </c>
      <c r="U179">
        <v>0</v>
      </c>
      <c r="V179">
        <v>1000</v>
      </c>
      <c r="W179" s="43">
        <f t="shared" si="62"/>
        <v>6500</v>
      </c>
      <c r="X179">
        <v>3470</v>
      </c>
      <c r="Y179" s="110"/>
      <c r="Z179" s="110"/>
      <c r="AA179" s="110"/>
      <c r="AB179" s="110"/>
      <c r="AC179" s="110"/>
      <c r="AD179" s="110"/>
      <c r="AE179" s="110"/>
      <c r="AF179" s="110"/>
      <c r="AG179" s="110"/>
      <c r="AH179" s="110"/>
      <c r="AI179" s="110"/>
      <c r="AJ179" s="110"/>
      <c r="AK179" s="110"/>
      <c r="AL179" s="110"/>
      <c r="AM179" s="110"/>
      <c r="AN179" s="110"/>
      <c r="AO179" s="110"/>
      <c r="AP179" s="110"/>
      <c r="AQ179" s="110"/>
      <c r="AR179" s="110"/>
      <c r="AS179" s="110"/>
      <c r="AT179" s="110"/>
      <c r="AU179" s="110"/>
      <c r="AV179" s="110"/>
      <c r="AW179" s="110"/>
      <c r="AX179" s="110"/>
      <c r="AY179" s="110"/>
      <c r="AZ179" s="110"/>
      <c r="BA179" s="110"/>
      <c r="BB179" s="110"/>
      <c r="BC179" s="110"/>
      <c r="BD179" s="110"/>
      <c r="BE179" s="110"/>
      <c r="BF179" s="110"/>
      <c r="BG179" s="110"/>
      <c r="BH179" s="110"/>
      <c r="BI179" s="110"/>
      <c r="BJ179" s="110"/>
      <c r="BK179" s="110"/>
      <c r="BL179" s="110"/>
      <c r="BM179" s="110"/>
      <c r="BN179" s="110"/>
      <c r="BO179" s="110"/>
      <c r="BP179" s="110"/>
      <c r="BQ179" s="110"/>
      <c r="BR179" s="110"/>
      <c r="BS179" s="110"/>
      <c r="BT179" s="110"/>
      <c r="BU179" s="110"/>
      <c r="BV179" s="110"/>
      <c r="BW179" s="110"/>
      <c r="BX179" s="110"/>
      <c r="BY179" s="110"/>
      <c r="BZ179" s="110"/>
      <c r="CA179" s="110"/>
      <c r="CB179" s="110"/>
      <c r="CC179" s="110"/>
      <c r="CD179" s="110"/>
      <c r="CE179" s="110"/>
      <c r="CF179" s="110"/>
    </row>
    <row r="180" spans="1:84" s="45" customFormat="1" x14ac:dyDescent="0.25">
      <c r="A180" t="str">
        <f>Funktional!A180</f>
        <v>Hauptwil</v>
      </c>
      <c r="B180" t="str">
        <f>Funktional!B180</f>
        <v>KiGa</v>
      </c>
      <c r="C180">
        <v>0.1181</v>
      </c>
      <c r="D180">
        <v>0.1181</v>
      </c>
      <c r="E180" s="26">
        <f t="shared" si="63"/>
        <v>3090038.2399999998</v>
      </c>
      <c r="F180">
        <v>2660849.4</v>
      </c>
      <c r="G180">
        <v>429188.84</v>
      </c>
      <c r="H180">
        <v>8986.2000000000007</v>
      </c>
      <c r="I180" s="42">
        <f t="shared" si="59"/>
        <v>2.9081193506524379E-3</v>
      </c>
      <c r="J180" s="80">
        <f t="shared" si="60"/>
        <v>21921</v>
      </c>
      <c r="K180" s="43">
        <f>J180*'KiGa - PS'!L181</f>
        <v>2591.2986012829706</v>
      </c>
      <c r="L180" s="42">
        <f>K180/Funktional!E180</f>
        <v>1.1531602619742761E-2</v>
      </c>
      <c r="M180">
        <v>80</v>
      </c>
      <c r="N180" s="43">
        <f>K180/Funktional!C180</f>
        <v>2591.2986012829706</v>
      </c>
      <c r="O180" s="44">
        <f>K180/Funktional!D180</f>
        <v>117.78630005831684</v>
      </c>
      <c r="P180">
        <v>6041</v>
      </c>
      <c r="Q180">
        <v>400</v>
      </c>
      <c r="R180">
        <v>1500</v>
      </c>
      <c r="S180" s="43">
        <f t="shared" si="61"/>
        <v>7941</v>
      </c>
      <c r="T180">
        <v>12080</v>
      </c>
      <c r="U180">
        <v>400</v>
      </c>
      <c r="V180">
        <v>1500</v>
      </c>
      <c r="W180" s="43">
        <f t="shared" si="62"/>
        <v>13980</v>
      </c>
      <c r="X180">
        <v>0</v>
      </c>
      <c r="Y180" s="110"/>
      <c r="Z180" s="110"/>
      <c r="AA180" s="110"/>
      <c r="AB180" s="110"/>
      <c r="AC180" s="110"/>
      <c r="AD180" s="110"/>
      <c r="AE180" s="110"/>
      <c r="AF180" s="110"/>
      <c r="AG180" s="110"/>
      <c r="AH180" s="110"/>
      <c r="AI180" s="110"/>
      <c r="AJ180" s="110"/>
      <c r="AK180" s="110"/>
      <c r="AL180" s="110"/>
      <c r="AM180" s="110"/>
      <c r="AN180" s="110"/>
      <c r="AO180" s="110"/>
      <c r="AP180" s="110"/>
      <c r="AQ180" s="110"/>
      <c r="AR180" s="110"/>
      <c r="AS180" s="110"/>
      <c r="AT180" s="110"/>
      <c r="AU180" s="110"/>
      <c r="AV180" s="110"/>
      <c r="AW180" s="110"/>
      <c r="AX180" s="110"/>
      <c r="AY180" s="110"/>
      <c r="AZ180" s="110"/>
      <c r="BA180" s="110"/>
      <c r="BB180" s="110"/>
      <c r="BC180" s="110"/>
      <c r="BD180" s="110"/>
      <c r="BE180" s="110"/>
      <c r="BF180" s="110"/>
      <c r="BG180" s="110"/>
      <c r="BH180" s="110"/>
      <c r="BI180" s="110"/>
      <c r="BJ180" s="110"/>
      <c r="BK180" s="110"/>
      <c r="BL180" s="110"/>
      <c r="BM180" s="110"/>
      <c r="BN180" s="110"/>
      <c r="BO180" s="110"/>
      <c r="BP180" s="110"/>
      <c r="BQ180" s="110"/>
      <c r="BR180" s="110"/>
      <c r="BS180" s="110"/>
      <c r="BT180" s="110"/>
      <c r="BU180" s="110"/>
      <c r="BV180" s="110"/>
      <c r="BW180" s="110"/>
      <c r="BX180" s="110"/>
      <c r="BY180" s="110"/>
      <c r="BZ180" s="110"/>
      <c r="CA180" s="110"/>
      <c r="CB180" s="110"/>
      <c r="CC180" s="110"/>
      <c r="CD180" s="110"/>
      <c r="CE180" s="110"/>
      <c r="CF180" s="110"/>
    </row>
    <row r="181" spans="1:84" s="45" customFormat="1" x14ac:dyDescent="0.25">
      <c r="A181" t="str">
        <f>Funktional!A181</f>
        <v>Häuslenen-Aawangen</v>
      </c>
      <c r="B181" t="str">
        <f>Funktional!B181</f>
        <v>KiGa</v>
      </c>
      <c r="C181">
        <v>0.1004</v>
      </c>
      <c r="D181">
        <v>3.3799999999999997E-2</v>
      </c>
      <c r="E181" s="26">
        <f t="shared" si="63"/>
        <v>1043702.35</v>
      </c>
      <c r="F181">
        <v>743430</v>
      </c>
      <c r="G181">
        <v>300272.34999999998</v>
      </c>
      <c r="H181">
        <v>20179.05</v>
      </c>
      <c r="I181" s="42">
        <f t="shared" si="59"/>
        <v>1.9334104210841339E-2</v>
      </c>
      <c r="J181" s="80">
        <f t="shared" si="60"/>
        <v>8850</v>
      </c>
      <c r="K181" s="43">
        <f>J181*'KiGa - PS'!L182</f>
        <v>1413.0905763844939</v>
      </c>
      <c r="L181" s="42">
        <f>K181/Funktional!E181</f>
        <v>1.1818250530352337E-2</v>
      </c>
      <c r="M181">
        <v>50</v>
      </c>
      <c r="N181" s="43">
        <f>K181/Funktional!C181</f>
        <v>1413.0905763844939</v>
      </c>
      <c r="O181" s="44">
        <f>K181/Funktional!D181</f>
        <v>128.46277967131763</v>
      </c>
      <c r="P181">
        <v>2060</v>
      </c>
      <c r="Q181">
        <v>0</v>
      </c>
      <c r="R181">
        <v>500</v>
      </c>
      <c r="S181" s="43">
        <f t="shared" si="61"/>
        <v>2560</v>
      </c>
      <c r="T181">
        <v>5090</v>
      </c>
      <c r="U181">
        <v>0</v>
      </c>
      <c r="V181">
        <v>1000</v>
      </c>
      <c r="W181" s="43">
        <f t="shared" si="62"/>
        <v>6090</v>
      </c>
      <c r="X181">
        <v>200</v>
      </c>
      <c r="Y181" s="110"/>
      <c r="Z181" s="110"/>
      <c r="AA181" s="110"/>
      <c r="AB181" s="110"/>
      <c r="AC181" s="110"/>
      <c r="AD181" s="110"/>
      <c r="AE181" s="110"/>
      <c r="AF181" s="110"/>
      <c r="AG181" s="110"/>
      <c r="AH181" s="110"/>
      <c r="AI181" s="110"/>
      <c r="AJ181" s="110"/>
      <c r="AK181" s="110"/>
      <c r="AL181" s="110"/>
      <c r="AM181" s="110"/>
      <c r="AN181" s="110"/>
      <c r="AO181" s="110"/>
      <c r="AP181" s="110"/>
      <c r="AQ181" s="110"/>
      <c r="AR181" s="110"/>
      <c r="AS181" s="110"/>
      <c r="AT181" s="110"/>
      <c r="AU181" s="110"/>
      <c r="AV181" s="110"/>
      <c r="AW181" s="110"/>
      <c r="AX181" s="110"/>
      <c r="AY181" s="110"/>
      <c r="AZ181" s="110"/>
      <c r="BA181" s="110"/>
      <c r="BB181" s="110"/>
      <c r="BC181" s="110"/>
      <c r="BD181" s="110"/>
      <c r="BE181" s="110"/>
      <c r="BF181" s="110"/>
      <c r="BG181" s="110"/>
      <c r="BH181" s="110"/>
      <c r="BI181" s="110"/>
      <c r="BJ181" s="110"/>
      <c r="BK181" s="110"/>
      <c r="BL181" s="110"/>
      <c r="BM181" s="110"/>
      <c r="BN181" s="110"/>
      <c r="BO181" s="110"/>
      <c r="BP181" s="110"/>
      <c r="BQ181" s="110"/>
      <c r="BR181" s="110"/>
      <c r="BS181" s="110"/>
      <c r="BT181" s="110"/>
      <c r="BU181" s="110"/>
      <c r="BV181" s="110"/>
      <c r="BW181" s="110"/>
      <c r="BX181" s="110"/>
      <c r="BY181" s="110"/>
      <c r="BZ181" s="110"/>
      <c r="CA181" s="110"/>
      <c r="CB181" s="110"/>
      <c r="CC181" s="110"/>
      <c r="CD181" s="110"/>
      <c r="CE181" s="110"/>
      <c r="CF181" s="110"/>
    </row>
    <row r="182" spans="1:84" s="45" customFormat="1" x14ac:dyDescent="0.25">
      <c r="A182" t="str">
        <f>Funktional!A182</f>
        <v>Hefenhofen</v>
      </c>
      <c r="B182" t="str">
        <f>Funktional!B182</f>
        <v>KiGa</v>
      </c>
      <c r="C182">
        <v>0.1103</v>
      </c>
      <c r="D182">
        <v>3.2199999999999999E-2</v>
      </c>
      <c r="E182" s="26">
        <f t="shared" si="63"/>
        <v>2600450.65</v>
      </c>
      <c r="F182">
        <v>2023190.25</v>
      </c>
      <c r="G182">
        <v>577260.4</v>
      </c>
      <c r="H182">
        <v>30272.95</v>
      </c>
      <c r="I182" s="42">
        <f t="shared" si="59"/>
        <v>1.1641424535397356E-2</v>
      </c>
      <c r="J182" s="80">
        <f t="shared" si="60"/>
        <v>25034</v>
      </c>
      <c r="K182" s="43">
        <f>J182*'KiGa - PS'!L183</f>
        <v>3463.2912617293655</v>
      </c>
      <c r="L182" s="42">
        <f>K182/Funktional!E182</f>
        <v>1.7313178517757748E-2</v>
      </c>
      <c r="M182">
        <v>65</v>
      </c>
      <c r="N182" s="43">
        <f>K182/Funktional!C182</f>
        <v>3463.2912617293655</v>
      </c>
      <c r="O182" s="44">
        <f>K182/Funktional!D182</f>
        <v>80.541657249520128</v>
      </c>
      <c r="P182">
        <v>2700</v>
      </c>
      <c r="Q182">
        <v>500</v>
      </c>
      <c r="R182">
        <v>0</v>
      </c>
      <c r="S182" s="43">
        <f t="shared" si="61"/>
        <v>3200</v>
      </c>
      <c r="T182">
        <v>20350</v>
      </c>
      <c r="U182">
        <v>0</v>
      </c>
      <c r="V182">
        <v>1200</v>
      </c>
      <c r="W182" s="43">
        <f t="shared" si="62"/>
        <v>21550</v>
      </c>
      <c r="X182">
        <v>284</v>
      </c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  <c r="AI182" s="110"/>
      <c r="AJ182" s="110"/>
      <c r="AK182" s="110"/>
      <c r="AL182" s="110"/>
      <c r="AM182" s="110"/>
      <c r="AN182" s="110"/>
      <c r="AO182" s="110"/>
      <c r="AP182" s="110"/>
      <c r="AQ182" s="110"/>
      <c r="AR182" s="110"/>
      <c r="AS182" s="110"/>
      <c r="AT182" s="110"/>
      <c r="AU182" s="110"/>
      <c r="AV182" s="110"/>
      <c r="AW182" s="110"/>
      <c r="AX182" s="110"/>
      <c r="AY182" s="110"/>
      <c r="AZ182" s="110"/>
      <c r="BA182" s="110"/>
      <c r="BB182" s="110"/>
      <c r="BC182" s="110"/>
      <c r="BD182" s="110"/>
      <c r="BE182" s="110"/>
      <c r="BF182" s="110"/>
      <c r="BG182" s="110"/>
      <c r="BH182" s="110"/>
      <c r="BI182" s="110"/>
      <c r="BJ182" s="110"/>
      <c r="BK182" s="110"/>
      <c r="BL182" s="110"/>
      <c r="BM182" s="110"/>
      <c r="BN182" s="110"/>
      <c r="BO182" s="110"/>
      <c r="BP182" s="110"/>
      <c r="BQ182" s="110"/>
      <c r="BR182" s="110"/>
      <c r="BS182" s="110"/>
      <c r="BT182" s="110"/>
      <c r="BU182" s="110"/>
      <c r="BV182" s="110"/>
      <c r="BW182" s="110"/>
      <c r="BX182" s="110"/>
      <c r="BY182" s="110"/>
      <c r="BZ182" s="110"/>
      <c r="CA182" s="110"/>
      <c r="CB182" s="110"/>
      <c r="CC182" s="110"/>
      <c r="CD182" s="110"/>
      <c r="CE182" s="110"/>
      <c r="CF182" s="110"/>
    </row>
    <row r="183" spans="1:84" s="45" customFormat="1" x14ac:dyDescent="0.25">
      <c r="A183" t="str">
        <f>Funktional!A183</f>
        <v>Hegi-Winden</v>
      </c>
      <c r="B183" t="str">
        <f>Funktional!B183</f>
        <v>KiGa</v>
      </c>
      <c r="C183">
        <v>5.5500000000000001E-2</v>
      </c>
      <c r="D183">
        <v>-2E-3</v>
      </c>
      <c r="E183" s="26">
        <f t="shared" si="63"/>
        <v>649406</v>
      </c>
      <c r="F183">
        <v>478202</v>
      </c>
      <c r="G183">
        <v>171204</v>
      </c>
      <c r="H183">
        <v>26014.85</v>
      </c>
      <c r="I183" s="42">
        <f t="shared" si="59"/>
        <v>4.0059454332112727E-2</v>
      </c>
      <c r="J183" s="80">
        <f t="shared" si="60"/>
        <v>8000</v>
      </c>
      <c r="K183" s="43">
        <f>J183*'KiGa - PS'!L184</f>
        <v>1723.2373200613902</v>
      </c>
      <c r="L183" s="42">
        <f>K183/Funktional!E183</f>
        <v>1.4749889352783152E-2</v>
      </c>
      <c r="M183">
        <v>60</v>
      </c>
      <c r="N183" s="43">
        <f>K183/Funktional!C183</f>
        <v>1723.2373200613902</v>
      </c>
      <c r="O183" s="44">
        <f>K183/Funktional!D183</f>
        <v>90.696701055862647</v>
      </c>
      <c r="P183">
        <v>2500</v>
      </c>
      <c r="Q183">
        <v>0</v>
      </c>
      <c r="R183">
        <v>0</v>
      </c>
      <c r="S183" s="43">
        <f t="shared" si="61"/>
        <v>2500</v>
      </c>
      <c r="T183">
        <v>5500</v>
      </c>
      <c r="U183">
        <v>0</v>
      </c>
      <c r="V183">
        <v>0</v>
      </c>
      <c r="W183" s="43">
        <f t="shared" si="62"/>
        <v>5500</v>
      </c>
      <c r="X183">
        <v>0</v>
      </c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  <c r="AI183" s="110"/>
      <c r="AJ183" s="110"/>
      <c r="AK183" s="110"/>
      <c r="AL183" s="110"/>
      <c r="AM183" s="110"/>
      <c r="AN183" s="110"/>
      <c r="AO183" s="110"/>
      <c r="AP183" s="110"/>
      <c r="AQ183" s="110"/>
      <c r="AR183" s="110"/>
      <c r="AS183" s="110"/>
      <c r="AT183" s="110"/>
      <c r="AU183" s="110"/>
      <c r="AV183" s="110"/>
      <c r="AW183" s="110"/>
      <c r="AX183" s="110"/>
      <c r="AY183" s="110"/>
      <c r="AZ183" s="110"/>
      <c r="BA183" s="110"/>
      <c r="BB183" s="110"/>
      <c r="BC183" s="110"/>
      <c r="BD183" s="110"/>
      <c r="BE183" s="110"/>
      <c r="BF183" s="110"/>
      <c r="BG183" s="110"/>
      <c r="BH183" s="110"/>
      <c r="BI183" s="110"/>
      <c r="BJ183" s="110"/>
      <c r="BK183" s="110"/>
      <c r="BL183" s="110"/>
      <c r="BM183" s="110"/>
      <c r="BN183" s="110"/>
      <c r="BO183" s="110"/>
      <c r="BP183" s="110"/>
      <c r="BQ183" s="110"/>
      <c r="BR183" s="110"/>
      <c r="BS183" s="110"/>
      <c r="BT183" s="110"/>
      <c r="BU183" s="110"/>
      <c r="BV183" s="110"/>
      <c r="BW183" s="110"/>
      <c r="BX183" s="110"/>
      <c r="BY183" s="110"/>
      <c r="BZ183" s="110"/>
      <c r="CA183" s="110"/>
      <c r="CB183" s="110"/>
      <c r="CC183" s="110"/>
      <c r="CD183" s="110"/>
      <c r="CE183" s="110"/>
      <c r="CF183" s="110"/>
    </row>
    <row r="184" spans="1:84" s="45" customFormat="1" x14ac:dyDescent="0.25">
      <c r="A184" t="str">
        <f>Funktional!A184</f>
        <v>Herdern</v>
      </c>
      <c r="B184" t="str">
        <f>Funktional!B184</f>
        <v>KiGa</v>
      </c>
      <c r="C184">
        <v>5.1999999999999998E-3</v>
      </c>
      <c r="D184">
        <v>-1.9800000000000002E-2</v>
      </c>
      <c r="E184" s="26">
        <f t="shared" si="63"/>
        <v>696081.14</v>
      </c>
      <c r="F184">
        <v>276198</v>
      </c>
      <c r="G184">
        <v>419883.14</v>
      </c>
      <c r="H184">
        <v>34653.550000000003</v>
      </c>
      <c r="I184" s="42">
        <f t="shared" si="59"/>
        <v>4.9783779517428101E-2</v>
      </c>
      <c r="J184" s="80">
        <f t="shared" si="60"/>
        <v>14888</v>
      </c>
      <c r="K184" s="43">
        <f>J184*'KiGa - PS'!L185</f>
        <v>2170.3961619187371</v>
      </c>
      <c r="L184" s="42">
        <f>K184/Funktional!E184</f>
        <v>2.2814812771575266E-2</v>
      </c>
      <c r="M184">
        <v>75</v>
      </c>
      <c r="N184" s="43">
        <f>K184/Funktional!C184</f>
        <v>2170.3961619187371</v>
      </c>
      <c r="O184" s="44">
        <f>K184/Funktional!D184</f>
        <v>120.57756455104095</v>
      </c>
      <c r="P184">
        <v>1600</v>
      </c>
      <c r="Q184">
        <v>1000</v>
      </c>
      <c r="R184">
        <v>500</v>
      </c>
      <c r="S184" s="43">
        <f t="shared" si="61"/>
        <v>3100</v>
      </c>
      <c r="T184">
        <v>9288</v>
      </c>
      <c r="U184">
        <v>0</v>
      </c>
      <c r="V184">
        <v>2500</v>
      </c>
      <c r="W184" s="43">
        <f t="shared" si="62"/>
        <v>11788</v>
      </c>
      <c r="X184">
        <v>0</v>
      </c>
      <c r="Y184" s="110"/>
      <c r="Z184" s="110"/>
      <c r="AA184" s="110"/>
      <c r="AB184" s="110"/>
      <c r="AC184" s="110"/>
      <c r="AD184" s="110"/>
      <c r="AE184" s="110"/>
      <c r="AF184" s="110"/>
      <c r="AG184" s="110"/>
      <c r="AH184" s="110"/>
      <c r="AI184" s="110"/>
      <c r="AJ184" s="110"/>
      <c r="AK184" s="110"/>
      <c r="AL184" s="110"/>
      <c r="AM184" s="110"/>
      <c r="AN184" s="110"/>
      <c r="AO184" s="110"/>
      <c r="AP184" s="110"/>
      <c r="AQ184" s="110"/>
      <c r="AR184" s="110"/>
      <c r="AS184" s="110"/>
      <c r="AT184" s="110"/>
      <c r="AU184" s="110"/>
      <c r="AV184" s="110"/>
      <c r="AW184" s="110"/>
      <c r="AX184" s="110"/>
      <c r="AY184" s="110"/>
      <c r="AZ184" s="110"/>
      <c r="BA184" s="110"/>
      <c r="BB184" s="110"/>
      <c r="BC184" s="110"/>
      <c r="BD184" s="110"/>
      <c r="BE184" s="110"/>
      <c r="BF184" s="110"/>
      <c r="BG184" s="110"/>
      <c r="BH184" s="110"/>
      <c r="BI184" s="110"/>
      <c r="BJ184" s="110"/>
      <c r="BK184" s="110"/>
      <c r="BL184" s="110"/>
      <c r="BM184" s="110"/>
      <c r="BN184" s="110"/>
      <c r="BO184" s="110"/>
      <c r="BP184" s="110"/>
      <c r="BQ184" s="110"/>
      <c r="BR184" s="110"/>
      <c r="BS184" s="110"/>
      <c r="BT184" s="110"/>
      <c r="BU184" s="110"/>
      <c r="BV184" s="110"/>
      <c r="BW184" s="110"/>
      <c r="BX184" s="110"/>
      <c r="BY184" s="110"/>
      <c r="BZ184" s="110"/>
      <c r="CA184" s="110"/>
      <c r="CB184" s="110"/>
      <c r="CC184" s="110"/>
      <c r="CD184" s="110"/>
      <c r="CE184" s="110"/>
      <c r="CF184" s="110"/>
    </row>
    <row r="185" spans="1:84" s="45" customFormat="1" x14ac:dyDescent="0.25">
      <c r="A185" t="str">
        <f>Funktional!A185</f>
        <v>Herrenhof-Langrickenbach</v>
      </c>
      <c r="B185" t="str">
        <f>Funktional!B185</f>
        <v>KiGa</v>
      </c>
      <c r="C185">
        <v>7.9699999999999993E-2</v>
      </c>
      <c r="D185">
        <v>1.17E-2</v>
      </c>
      <c r="E185" s="26">
        <f t="shared" si="63"/>
        <v>762448.5</v>
      </c>
      <c r="F185">
        <v>346986.6</v>
      </c>
      <c r="G185">
        <v>415461.9</v>
      </c>
      <c r="H185">
        <v>20666.400000000001</v>
      </c>
      <c r="I185" s="42">
        <f t="shared" ref="I185:I200" si="64">H185/E185</f>
        <v>2.7105306128872967E-2</v>
      </c>
      <c r="J185" s="80">
        <f t="shared" ref="J185:J200" si="65">S185+W185+X185</f>
        <v>11019</v>
      </c>
      <c r="K185" s="43">
        <f>J185*'KiGa - PS'!L186</f>
        <v>2441.8350221063533</v>
      </c>
      <c r="L185" s="42">
        <f>K185/Funktional!E185</f>
        <v>2.0598685396720981E-2</v>
      </c>
      <c r="M185">
        <v>60</v>
      </c>
      <c r="N185" s="43">
        <f>K185/Funktional!C185</f>
        <v>2441.8350221063533</v>
      </c>
      <c r="O185" s="44">
        <f>K185/Funktional!D185</f>
        <v>116.27785819554063</v>
      </c>
      <c r="P185">
        <v>2550</v>
      </c>
      <c r="Q185">
        <v>0</v>
      </c>
      <c r="R185">
        <v>0</v>
      </c>
      <c r="S185" s="43">
        <f t="shared" ref="S185:S200" si="66">P185+Q185+R185</f>
        <v>2550</v>
      </c>
      <c r="T185">
        <v>7069</v>
      </c>
      <c r="U185">
        <v>0</v>
      </c>
      <c r="V185">
        <v>1400</v>
      </c>
      <c r="W185" s="43">
        <f t="shared" ref="W185:W200" si="67">T185+U185+V185</f>
        <v>8469</v>
      </c>
      <c r="X185">
        <v>0</v>
      </c>
      <c r="Y185" s="110"/>
      <c r="Z185" s="110"/>
      <c r="AA185" s="110"/>
      <c r="AB185" s="110"/>
      <c r="AC185" s="110"/>
      <c r="AD185" s="110"/>
      <c r="AE185" s="110"/>
      <c r="AF185" s="110"/>
      <c r="AG185" s="110"/>
      <c r="AH185" s="110"/>
      <c r="AI185" s="110"/>
      <c r="AJ185" s="110"/>
      <c r="AK185" s="110"/>
      <c r="AL185" s="110"/>
      <c r="AM185" s="110"/>
      <c r="AN185" s="110"/>
      <c r="AO185" s="110"/>
      <c r="AP185" s="110"/>
      <c r="AQ185" s="110"/>
      <c r="AR185" s="110"/>
      <c r="AS185" s="110"/>
      <c r="AT185" s="110"/>
      <c r="AU185" s="110"/>
      <c r="AV185" s="110"/>
      <c r="AW185" s="110"/>
      <c r="AX185" s="110"/>
      <c r="AY185" s="110"/>
      <c r="AZ185" s="110"/>
      <c r="BA185" s="110"/>
      <c r="BB185" s="110"/>
      <c r="BC185" s="110"/>
      <c r="BD185" s="110"/>
      <c r="BE185" s="110"/>
      <c r="BF185" s="110"/>
      <c r="BG185" s="110"/>
      <c r="BH185" s="110"/>
      <c r="BI185" s="110"/>
      <c r="BJ185" s="110"/>
      <c r="BK185" s="110"/>
      <c r="BL185" s="110"/>
      <c r="BM185" s="110"/>
      <c r="BN185" s="110"/>
      <c r="BO185" s="110"/>
      <c r="BP185" s="110"/>
      <c r="BQ185" s="110"/>
      <c r="BR185" s="110"/>
      <c r="BS185" s="110"/>
      <c r="BT185" s="110"/>
      <c r="BU185" s="110"/>
      <c r="BV185" s="110"/>
      <c r="BW185" s="110"/>
      <c r="BX185" s="110"/>
      <c r="BY185" s="110"/>
      <c r="BZ185" s="110"/>
      <c r="CA185" s="110"/>
      <c r="CB185" s="110"/>
      <c r="CC185" s="110"/>
      <c r="CD185" s="110"/>
      <c r="CE185" s="110"/>
      <c r="CF185" s="110"/>
    </row>
    <row r="186" spans="1:84" s="45" customFormat="1" x14ac:dyDescent="0.25">
      <c r="A186" t="str">
        <f>Funktional!A186</f>
        <v>Hohentannen</v>
      </c>
      <c r="B186" t="str">
        <f>Funktional!B186</f>
        <v>KiGa</v>
      </c>
      <c r="C186">
        <v>0.1079</v>
      </c>
      <c r="D186">
        <v>5.8799999999999998E-2</v>
      </c>
      <c r="E186" s="26">
        <f t="shared" si="63"/>
        <v>657003.94999999995</v>
      </c>
      <c r="F186">
        <v>281808.7</v>
      </c>
      <c r="G186">
        <v>375195.25</v>
      </c>
      <c r="H186">
        <v>13630.6</v>
      </c>
      <c r="I186" s="42">
        <f t="shared" si="64"/>
        <v>2.0746602817228118E-2</v>
      </c>
      <c r="J186" s="80">
        <f t="shared" si="65"/>
        <v>14140</v>
      </c>
      <c r="K186" s="43">
        <f>J186*'KiGa - PS'!L187</f>
        <v>3959.6771757582878</v>
      </c>
      <c r="L186" s="42">
        <f>K186/Funktional!E186</f>
        <v>2.4685232731640968E-2</v>
      </c>
      <c r="M186">
        <v>60</v>
      </c>
      <c r="N186" s="43">
        <f>K186/Funktional!C186</f>
        <v>3959.6771757582878</v>
      </c>
      <c r="O186" s="44">
        <f>K186/Funktional!D186</f>
        <v>359.97065234166251</v>
      </c>
      <c r="P186">
        <v>6000</v>
      </c>
      <c r="Q186">
        <v>500</v>
      </c>
      <c r="R186">
        <v>0</v>
      </c>
      <c r="S186" s="43">
        <f t="shared" si="66"/>
        <v>6500</v>
      </c>
      <c r="T186">
        <v>6640</v>
      </c>
      <c r="U186">
        <v>0</v>
      </c>
      <c r="V186">
        <v>1000</v>
      </c>
      <c r="W186" s="43">
        <f t="shared" si="67"/>
        <v>7640</v>
      </c>
      <c r="X186">
        <v>0</v>
      </c>
      <c r="Y186" s="110"/>
      <c r="Z186" s="110"/>
      <c r="AA186" s="110"/>
      <c r="AB186" s="110"/>
      <c r="AC186" s="110"/>
      <c r="AD186" s="110"/>
      <c r="AE186" s="110"/>
      <c r="AF186" s="110"/>
      <c r="AG186" s="110"/>
      <c r="AH186" s="110"/>
      <c r="AI186" s="110"/>
      <c r="AJ186" s="110"/>
      <c r="AK186" s="110"/>
      <c r="AL186" s="110"/>
      <c r="AM186" s="110"/>
      <c r="AN186" s="110"/>
      <c r="AO186" s="110"/>
      <c r="AP186" s="110"/>
      <c r="AQ186" s="110"/>
      <c r="AR186" s="110"/>
      <c r="AS186" s="110"/>
      <c r="AT186" s="110"/>
      <c r="AU186" s="110"/>
      <c r="AV186" s="110"/>
      <c r="AW186" s="110"/>
      <c r="AX186" s="110"/>
      <c r="AY186" s="110"/>
      <c r="AZ186" s="110"/>
      <c r="BA186" s="110"/>
      <c r="BB186" s="110"/>
      <c r="BC186" s="110"/>
      <c r="BD186" s="110"/>
      <c r="BE186" s="110"/>
      <c r="BF186" s="110"/>
      <c r="BG186" s="110"/>
      <c r="BH186" s="110"/>
      <c r="BI186" s="110"/>
      <c r="BJ186" s="110"/>
      <c r="BK186" s="110"/>
      <c r="BL186" s="110"/>
      <c r="BM186" s="110"/>
      <c r="BN186" s="110"/>
      <c r="BO186" s="110"/>
      <c r="BP186" s="110"/>
      <c r="BQ186" s="110"/>
      <c r="BR186" s="110"/>
      <c r="BS186" s="110"/>
      <c r="BT186" s="110"/>
      <c r="BU186" s="110"/>
      <c r="BV186" s="110"/>
      <c r="BW186" s="110"/>
      <c r="BX186" s="110"/>
      <c r="BY186" s="110"/>
      <c r="BZ186" s="110"/>
      <c r="CA186" s="110"/>
      <c r="CB186" s="110"/>
      <c r="CC186" s="110"/>
      <c r="CD186" s="110"/>
      <c r="CE186" s="110"/>
      <c r="CF186" s="110"/>
    </row>
    <row r="187" spans="1:84" s="45" customFormat="1" x14ac:dyDescent="0.25">
      <c r="A187" t="str">
        <f>Funktional!A187</f>
        <v>Homburg-Hörstetten</v>
      </c>
      <c r="B187" t="str">
        <f>Funktional!B187</f>
        <v>KiGa</v>
      </c>
      <c r="C187">
        <v>0.1716</v>
      </c>
      <c r="D187">
        <v>5.7099999999999998E-2</v>
      </c>
      <c r="E187" s="26">
        <f t="shared" ref="E187:E202" si="68">F187+G187</f>
        <v>2440648.0499999998</v>
      </c>
      <c r="F187">
        <v>2139816</v>
      </c>
      <c r="G187">
        <v>300832.05</v>
      </c>
      <c r="H187">
        <v>36343.65</v>
      </c>
      <c r="I187" s="42">
        <f t="shared" si="64"/>
        <v>1.4890983564795426E-2</v>
      </c>
      <c r="J187" s="80">
        <f t="shared" si="65"/>
        <v>17257</v>
      </c>
      <c r="K187" s="43">
        <f>J187*'KiGa - PS'!L188</f>
        <v>2381.8860367412362</v>
      </c>
      <c r="L187" s="42">
        <f>K187/Funktional!E187</f>
        <v>1.508678881367545E-2</v>
      </c>
      <c r="M187">
        <v>70</v>
      </c>
      <c r="N187" s="43">
        <f>K187/Funktional!C187</f>
        <v>2381.8860367412362</v>
      </c>
      <c r="O187" s="44">
        <f>K187/Funktional!D187</f>
        <v>91.61100141312447</v>
      </c>
      <c r="P187">
        <v>2800</v>
      </c>
      <c r="Q187">
        <v>182</v>
      </c>
      <c r="R187">
        <v>500</v>
      </c>
      <c r="S187" s="43">
        <f t="shared" si="66"/>
        <v>3482</v>
      </c>
      <c r="T187">
        <v>11825</v>
      </c>
      <c r="U187">
        <v>0</v>
      </c>
      <c r="V187">
        <v>0</v>
      </c>
      <c r="W187" s="43">
        <f t="shared" si="67"/>
        <v>11825</v>
      </c>
      <c r="X187">
        <v>1950</v>
      </c>
      <c r="Y187" s="110"/>
      <c r="Z187" s="110"/>
      <c r="AA187" s="110"/>
      <c r="AB187" s="110"/>
      <c r="AC187" s="110"/>
      <c r="AD187" s="110"/>
      <c r="AE187" s="110"/>
      <c r="AF187" s="110"/>
      <c r="AG187" s="110"/>
      <c r="AH187" s="110"/>
      <c r="AI187" s="110"/>
      <c r="AJ187" s="110"/>
      <c r="AK187" s="110"/>
      <c r="AL187" s="110"/>
      <c r="AM187" s="110"/>
      <c r="AN187" s="110"/>
      <c r="AO187" s="110"/>
      <c r="AP187" s="110"/>
      <c r="AQ187" s="110"/>
      <c r="AR187" s="110"/>
      <c r="AS187" s="110"/>
      <c r="AT187" s="110"/>
      <c r="AU187" s="110"/>
      <c r="AV187" s="110"/>
      <c r="AW187" s="110"/>
      <c r="AX187" s="110"/>
      <c r="AY187" s="110"/>
      <c r="AZ187" s="110"/>
      <c r="BA187" s="110"/>
      <c r="BB187" s="110"/>
      <c r="BC187" s="110"/>
      <c r="BD187" s="110"/>
      <c r="BE187" s="110"/>
      <c r="BF187" s="110"/>
      <c r="BG187" s="110"/>
      <c r="BH187" s="110"/>
      <c r="BI187" s="110"/>
      <c r="BJ187" s="110"/>
      <c r="BK187" s="110"/>
      <c r="BL187" s="110"/>
      <c r="BM187" s="110"/>
      <c r="BN187" s="110"/>
      <c r="BO187" s="110"/>
      <c r="BP187" s="110"/>
      <c r="BQ187" s="110"/>
      <c r="BR187" s="110"/>
      <c r="BS187" s="110"/>
      <c r="BT187" s="110"/>
      <c r="BU187" s="110"/>
      <c r="BV187" s="110"/>
      <c r="BW187" s="110"/>
      <c r="BX187" s="110"/>
      <c r="BY187" s="110"/>
      <c r="BZ187" s="110"/>
      <c r="CA187" s="110"/>
      <c r="CB187" s="110"/>
      <c r="CC187" s="110"/>
      <c r="CD187" s="110"/>
      <c r="CE187" s="110"/>
      <c r="CF187" s="110"/>
    </row>
    <row r="188" spans="1:84" s="45" customFormat="1" x14ac:dyDescent="0.25">
      <c r="A188" t="str">
        <f>Funktional!A188</f>
        <v>Hugelshofen-Lippoldswilen</v>
      </c>
      <c r="B188" t="str">
        <f>Funktional!B188</f>
        <v>KiGa</v>
      </c>
      <c r="C188">
        <v>6.9800000000000001E-2</v>
      </c>
      <c r="D188">
        <v>3.7499999999999999E-2</v>
      </c>
      <c r="E188" s="26">
        <f t="shared" si="68"/>
        <v>1365912</v>
      </c>
      <c r="F188">
        <v>740164</v>
      </c>
      <c r="G188">
        <v>625748</v>
      </c>
      <c r="H188">
        <v>43676.75</v>
      </c>
      <c r="I188" s="42">
        <f t="shared" si="64"/>
        <v>3.1976254692835264E-2</v>
      </c>
      <c r="J188" s="80">
        <f t="shared" si="65"/>
        <v>14893</v>
      </c>
      <c r="K188" s="43">
        <f>J188*'KiGa - PS'!L189</f>
        <v>3706.192087047601</v>
      </c>
      <c r="L188" s="42">
        <f>K188/Funktional!E188</f>
        <v>1.707405321720883E-2</v>
      </c>
      <c r="M188">
        <v>60</v>
      </c>
      <c r="N188" s="43">
        <f>K188/Funktional!C188</f>
        <v>3706.192087047601</v>
      </c>
      <c r="O188" s="44">
        <f>K188/Funktional!D188</f>
        <v>205.89956039153338</v>
      </c>
      <c r="P188">
        <v>3475</v>
      </c>
      <c r="Q188">
        <v>1500</v>
      </c>
      <c r="R188">
        <v>0</v>
      </c>
      <c r="S188" s="43">
        <f t="shared" si="66"/>
        <v>4975</v>
      </c>
      <c r="T188">
        <v>7768</v>
      </c>
      <c r="U188">
        <v>0</v>
      </c>
      <c r="V188">
        <v>1350</v>
      </c>
      <c r="W188" s="43">
        <f t="shared" si="67"/>
        <v>9118</v>
      </c>
      <c r="X188">
        <v>800</v>
      </c>
      <c r="Y188" s="110"/>
      <c r="Z188" s="110"/>
      <c r="AA188" s="110"/>
      <c r="AB188" s="110"/>
      <c r="AC188" s="110"/>
      <c r="AD188" s="110"/>
      <c r="AE188" s="110"/>
      <c r="AF188" s="110"/>
      <c r="AG188" s="110"/>
      <c r="AH188" s="110"/>
      <c r="AI188" s="110"/>
      <c r="AJ188" s="110"/>
      <c r="AK188" s="110"/>
      <c r="AL188" s="110"/>
      <c r="AM188" s="110"/>
      <c r="AN188" s="110"/>
      <c r="AO188" s="110"/>
      <c r="AP188" s="110"/>
      <c r="AQ188" s="110"/>
      <c r="AR188" s="110"/>
      <c r="AS188" s="110"/>
      <c r="AT188" s="110"/>
      <c r="AU188" s="110"/>
      <c r="AV188" s="110"/>
      <c r="AW188" s="110"/>
      <c r="AX188" s="110"/>
      <c r="AY188" s="110"/>
      <c r="AZ188" s="110"/>
      <c r="BA188" s="110"/>
      <c r="BB188" s="110"/>
      <c r="BC188" s="110"/>
      <c r="BD188" s="110"/>
      <c r="BE188" s="110"/>
      <c r="BF188" s="110"/>
      <c r="BG188" s="110"/>
      <c r="BH188" s="110"/>
      <c r="BI188" s="110"/>
      <c r="BJ188" s="110"/>
      <c r="BK188" s="110"/>
      <c r="BL188" s="110"/>
      <c r="BM188" s="110"/>
      <c r="BN188" s="110"/>
      <c r="BO188" s="110"/>
      <c r="BP188" s="110"/>
      <c r="BQ188" s="110"/>
      <c r="BR188" s="110"/>
      <c r="BS188" s="110"/>
      <c r="BT188" s="110"/>
      <c r="BU188" s="110"/>
      <c r="BV188" s="110"/>
      <c r="BW188" s="110"/>
      <c r="BX188" s="110"/>
      <c r="BY188" s="110"/>
      <c r="BZ188" s="110"/>
      <c r="CA188" s="110"/>
      <c r="CB188" s="110"/>
      <c r="CC188" s="110"/>
      <c r="CD188" s="110"/>
      <c r="CE188" s="110"/>
      <c r="CF188" s="110"/>
    </row>
    <row r="189" spans="1:84" s="45" customFormat="1" x14ac:dyDescent="0.25">
      <c r="A189" t="str">
        <f>Funktional!A189</f>
        <v>Hüttlingen</v>
      </c>
      <c r="B189" t="str">
        <f>Funktional!B189</f>
        <v>KiGa</v>
      </c>
      <c r="C189">
        <v>6.1600000000000002E-2</v>
      </c>
      <c r="D189">
        <v>-1.46E-2</v>
      </c>
      <c r="E189" s="26">
        <f t="shared" si="68"/>
        <v>1411678</v>
      </c>
      <c r="F189">
        <v>939850</v>
      </c>
      <c r="G189">
        <v>471828</v>
      </c>
      <c r="H189">
        <v>28889.65</v>
      </c>
      <c r="I189" s="42">
        <f t="shared" si="64"/>
        <v>2.0464758960612832E-2</v>
      </c>
      <c r="J189" s="80">
        <f t="shared" si="65"/>
        <v>19380</v>
      </c>
      <c r="K189" s="43">
        <f>J189*'KiGa - PS'!L190</f>
        <v>3909.6671706473335</v>
      </c>
      <c r="L189" s="42">
        <f>K189/Funktional!E189</f>
        <v>1.7827909343701119E-2</v>
      </c>
      <c r="M189">
        <v>60</v>
      </c>
      <c r="N189" s="43">
        <f>K189/Funktional!C189</f>
        <v>1954.8335853236667</v>
      </c>
      <c r="O189" s="44">
        <f>K189/Funktional!D189</f>
        <v>134.81610933266668</v>
      </c>
      <c r="P189">
        <v>3680</v>
      </c>
      <c r="Q189">
        <v>450</v>
      </c>
      <c r="R189">
        <v>3200</v>
      </c>
      <c r="S189" s="43">
        <f t="shared" si="66"/>
        <v>7330</v>
      </c>
      <c r="T189">
        <v>8400</v>
      </c>
      <c r="U189">
        <v>450</v>
      </c>
      <c r="V189">
        <v>3200</v>
      </c>
      <c r="W189" s="43">
        <f t="shared" si="67"/>
        <v>12050</v>
      </c>
      <c r="X189">
        <v>0</v>
      </c>
      <c r="Y189" s="110"/>
      <c r="Z189" s="110"/>
      <c r="AA189" s="110"/>
      <c r="AB189" s="110"/>
      <c r="AC189" s="110"/>
      <c r="AD189" s="110"/>
      <c r="AE189" s="110"/>
      <c r="AF189" s="110"/>
      <c r="AG189" s="110"/>
      <c r="AH189" s="110"/>
      <c r="AI189" s="110"/>
      <c r="AJ189" s="110"/>
      <c r="AK189" s="110"/>
      <c r="AL189" s="110"/>
      <c r="AM189" s="110"/>
      <c r="AN189" s="110"/>
      <c r="AO189" s="110"/>
      <c r="AP189" s="110"/>
      <c r="AQ189" s="110"/>
      <c r="AR189" s="110"/>
      <c r="AS189" s="110"/>
      <c r="AT189" s="110"/>
      <c r="AU189" s="110"/>
      <c r="AV189" s="110"/>
      <c r="AW189" s="110"/>
      <c r="AX189" s="110"/>
      <c r="AY189" s="110"/>
      <c r="AZ189" s="110"/>
      <c r="BA189" s="110"/>
      <c r="BB189" s="110"/>
      <c r="BC189" s="110"/>
      <c r="BD189" s="110"/>
      <c r="BE189" s="110"/>
      <c r="BF189" s="110"/>
      <c r="BG189" s="110"/>
      <c r="BH189" s="110"/>
      <c r="BI189" s="110"/>
      <c r="BJ189" s="110"/>
      <c r="BK189" s="110"/>
      <c r="BL189" s="110"/>
      <c r="BM189" s="110"/>
      <c r="BN189" s="110"/>
      <c r="BO189" s="110"/>
      <c r="BP189" s="110"/>
      <c r="BQ189" s="110"/>
      <c r="BR189" s="110"/>
      <c r="BS189" s="110"/>
      <c r="BT189" s="110"/>
      <c r="BU189" s="110"/>
      <c r="BV189" s="110"/>
      <c r="BW189" s="110"/>
      <c r="BX189" s="110"/>
      <c r="BY189" s="110"/>
      <c r="BZ189" s="110"/>
      <c r="CA189" s="110"/>
      <c r="CB189" s="110"/>
      <c r="CC189" s="110"/>
      <c r="CD189" s="110"/>
      <c r="CE189" s="110"/>
      <c r="CF189" s="110"/>
    </row>
    <row r="190" spans="1:84" s="45" customFormat="1" x14ac:dyDescent="0.25">
      <c r="A190" t="str">
        <f>Funktional!A190</f>
        <v>Hüttwilen</v>
      </c>
      <c r="B190" t="str">
        <f>Funktional!B190</f>
        <v>KiGa</v>
      </c>
      <c r="C190">
        <v>0.13059999999999999</v>
      </c>
      <c r="D190">
        <v>3.8199999999999998E-2</v>
      </c>
      <c r="E190" s="26">
        <f t="shared" si="68"/>
        <v>2166139.15</v>
      </c>
      <c r="F190">
        <v>1792000</v>
      </c>
      <c r="G190">
        <v>374139.15</v>
      </c>
      <c r="H190">
        <v>18757.8</v>
      </c>
      <c r="I190" s="42">
        <f t="shared" si="64"/>
        <v>8.6595544889163743E-3</v>
      </c>
      <c r="J190" s="80">
        <f t="shared" si="65"/>
        <v>14600</v>
      </c>
      <c r="K190" s="43">
        <f>J190*'KiGa - PS'!L191</f>
        <v>1651.8164133757277</v>
      </c>
      <c r="L190" s="42">
        <f>K190/Funktional!E190</f>
        <v>1.2231618600035956E-2</v>
      </c>
      <c r="M190">
        <v>70</v>
      </c>
      <c r="N190" s="43">
        <f>K190/Funktional!C190</f>
        <v>1651.8164133757277</v>
      </c>
      <c r="O190" s="44">
        <f>K190/Funktional!D190</f>
        <v>66.072656535029111</v>
      </c>
      <c r="P190">
        <v>3500</v>
      </c>
      <c r="Q190">
        <v>200</v>
      </c>
      <c r="R190">
        <v>1800</v>
      </c>
      <c r="S190" s="43">
        <f t="shared" si="66"/>
        <v>5500</v>
      </c>
      <c r="T190">
        <v>6500</v>
      </c>
      <c r="U190">
        <v>0</v>
      </c>
      <c r="V190">
        <v>1800</v>
      </c>
      <c r="W190" s="43">
        <f t="shared" si="67"/>
        <v>8300</v>
      </c>
      <c r="X190">
        <v>800</v>
      </c>
      <c r="Y190" s="110"/>
      <c r="Z190" s="110"/>
      <c r="AA190" s="110"/>
      <c r="AB190" s="110"/>
      <c r="AC190" s="110"/>
      <c r="AD190" s="110"/>
      <c r="AE190" s="110"/>
      <c r="AF190" s="110"/>
      <c r="AG190" s="110"/>
      <c r="AH190" s="110"/>
      <c r="AI190" s="110"/>
      <c r="AJ190" s="110"/>
      <c r="AK190" s="110"/>
      <c r="AL190" s="110"/>
      <c r="AM190" s="110"/>
      <c r="AN190" s="110"/>
      <c r="AO190" s="110"/>
      <c r="AP190" s="110"/>
      <c r="AQ190" s="110"/>
      <c r="AR190" s="110"/>
      <c r="AS190" s="110"/>
      <c r="AT190" s="110"/>
      <c r="AU190" s="110"/>
      <c r="AV190" s="110"/>
      <c r="AW190" s="110"/>
      <c r="AX190" s="110"/>
      <c r="AY190" s="110"/>
      <c r="AZ190" s="110"/>
      <c r="BA190" s="110"/>
      <c r="BB190" s="110"/>
      <c r="BC190" s="110"/>
      <c r="BD190" s="110"/>
      <c r="BE190" s="110"/>
      <c r="BF190" s="110"/>
      <c r="BG190" s="110"/>
      <c r="BH190" s="110"/>
      <c r="BI190" s="110"/>
      <c r="BJ190" s="110"/>
      <c r="BK190" s="110"/>
      <c r="BL190" s="110"/>
      <c r="BM190" s="110"/>
      <c r="BN190" s="110"/>
      <c r="BO190" s="110"/>
      <c r="BP190" s="110"/>
      <c r="BQ190" s="110"/>
      <c r="BR190" s="110"/>
      <c r="BS190" s="110"/>
      <c r="BT190" s="110"/>
      <c r="BU190" s="110"/>
      <c r="BV190" s="110"/>
      <c r="BW190" s="110"/>
      <c r="BX190" s="110"/>
      <c r="BY190" s="110"/>
      <c r="BZ190" s="110"/>
      <c r="CA190" s="110"/>
      <c r="CB190" s="110"/>
      <c r="CC190" s="110"/>
      <c r="CD190" s="110"/>
      <c r="CE190" s="110"/>
      <c r="CF190" s="110"/>
    </row>
    <row r="191" spans="1:84" s="45" customFormat="1" x14ac:dyDescent="0.25">
      <c r="A191" t="str">
        <f>Funktional!A191</f>
        <v>Illighausen</v>
      </c>
      <c r="B191" t="str">
        <f>Funktional!B191</f>
        <v>KiGa</v>
      </c>
      <c r="C191">
        <v>0.52049999999999996</v>
      </c>
      <c r="D191">
        <v>0.1888</v>
      </c>
      <c r="E191" s="26">
        <f t="shared" si="68"/>
        <v>2295998.06</v>
      </c>
      <c r="F191">
        <v>1766983.45</v>
      </c>
      <c r="G191">
        <v>529014.61</v>
      </c>
      <c r="H191">
        <v>14321.55</v>
      </c>
      <c r="I191" s="42">
        <f t="shared" si="64"/>
        <v>6.2376141554753746E-3</v>
      </c>
      <c r="J191" s="80">
        <f t="shared" si="65"/>
        <v>4833</v>
      </c>
      <c r="K191" s="43">
        <f>J191*'KiGa - PS'!L192</f>
        <v>0</v>
      </c>
      <c r="L191" s="42"/>
      <c r="M191">
        <v>60</v>
      </c>
      <c r="N191" s="43"/>
      <c r="O191" s="44"/>
      <c r="P191">
        <v>1500</v>
      </c>
      <c r="Q191">
        <v>0</v>
      </c>
      <c r="R191">
        <v>0</v>
      </c>
      <c r="S191" s="43">
        <f t="shared" si="66"/>
        <v>1500</v>
      </c>
      <c r="T191">
        <v>2500</v>
      </c>
      <c r="U191">
        <v>0</v>
      </c>
      <c r="V191">
        <v>0</v>
      </c>
      <c r="W191" s="43">
        <f t="shared" si="67"/>
        <v>2500</v>
      </c>
      <c r="X191">
        <v>833</v>
      </c>
      <c r="Y191" s="110"/>
      <c r="Z191" s="110"/>
      <c r="AA191" s="110"/>
      <c r="AB191" s="110"/>
      <c r="AC191" s="110"/>
      <c r="AD191" s="110"/>
      <c r="AE191" s="110"/>
      <c r="AF191" s="110"/>
      <c r="AG191" s="110"/>
      <c r="AH191" s="110"/>
      <c r="AI191" s="110"/>
      <c r="AJ191" s="110"/>
      <c r="AK191" s="110"/>
      <c r="AL191" s="110"/>
      <c r="AM191" s="110"/>
      <c r="AN191" s="110"/>
      <c r="AO191" s="110"/>
      <c r="AP191" s="110"/>
      <c r="AQ191" s="110"/>
      <c r="AR191" s="110"/>
      <c r="AS191" s="110"/>
      <c r="AT191" s="110"/>
      <c r="AU191" s="110"/>
      <c r="AV191" s="110"/>
      <c r="AW191" s="110"/>
      <c r="AX191" s="110"/>
      <c r="AY191" s="110"/>
      <c r="AZ191" s="110"/>
      <c r="BA191" s="110"/>
      <c r="BB191" s="110"/>
      <c r="BC191" s="110"/>
      <c r="BD191" s="110"/>
      <c r="BE191" s="110"/>
      <c r="BF191" s="110"/>
      <c r="BG191" s="110"/>
      <c r="BH191" s="110"/>
      <c r="BI191" s="110"/>
      <c r="BJ191" s="110"/>
      <c r="BK191" s="110"/>
      <c r="BL191" s="110"/>
      <c r="BM191" s="110"/>
      <c r="BN191" s="110"/>
      <c r="BO191" s="110"/>
      <c r="BP191" s="110"/>
      <c r="BQ191" s="110"/>
      <c r="BR191" s="110"/>
      <c r="BS191" s="110"/>
      <c r="BT191" s="110"/>
      <c r="BU191" s="110"/>
      <c r="BV191" s="110"/>
      <c r="BW191" s="110"/>
      <c r="BX191" s="110"/>
      <c r="BY191" s="110"/>
      <c r="BZ191" s="110"/>
      <c r="CA191" s="110"/>
      <c r="CB191" s="110"/>
      <c r="CC191" s="110"/>
      <c r="CD191" s="110"/>
      <c r="CE191" s="110"/>
      <c r="CF191" s="110"/>
    </row>
    <row r="192" spans="1:84" s="45" customFormat="1" x14ac:dyDescent="0.25">
      <c r="A192" t="str">
        <f>Funktional!A192</f>
        <v>Istighofen</v>
      </c>
      <c r="B192" t="str">
        <f>Funktional!B192</f>
        <v>KiGa</v>
      </c>
      <c r="C192">
        <v>0.1847</v>
      </c>
      <c r="D192">
        <v>9.2899999999999996E-2</v>
      </c>
      <c r="E192" s="26">
        <f t="shared" si="68"/>
        <v>1645722.3</v>
      </c>
      <c r="F192">
        <v>834004</v>
      </c>
      <c r="G192">
        <v>811718.3</v>
      </c>
      <c r="H192">
        <v>43828.05</v>
      </c>
      <c r="I192" s="42">
        <f t="shared" si="64"/>
        <v>2.6631497914320054E-2</v>
      </c>
      <c r="J192" s="80">
        <f t="shared" si="65"/>
        <v>14650</v>
      </c>
      <c r="K192" s="43">
        <f>J192*'KiGa - PS'!L193</f>
        <v>2916.5077915199827</v>
      </c>
      <c r="L192" s="42">
        <f>K192/Funktional!E192</f>
        <v>1.7023720317357008E-2</v>
      </c>
      <c r="M192">
        <v>60</v>
      </c>
      <c r="N192" s="43">
        <f>K192/Funktional!C192</f>
        <v>2916.5077915199827</v>
      </c>
      <c r="O192" s="44">
        <f>K192/Funktional!D192</f>
        <v>126.80468658782533</v>
      </c>
      <c r="P192">
        <v>2850</v>
      </c>
      <c r="Q192">
        <v>0</v>
      </c>
      <c r="R192">
        <v>1000</v>
      </c>
      <c r="S192" s="43">
        <f t="shared" si="66"/>
        <v>3850</v>
      </c>
      <c r="T192">
        <v>6300</v>
      </c>
      <c r="U192">
        <v>0</v>
      </c>
      <c r="V192">
        <v>2500</v>
      </c>
      <c r="W192" s="43">
        <f t="shared" si="67"/>
        <v>8800</v>
      </c>
      <c r="X192">
        <v>2000</v>
      </c>
      <c r="Y192" s="110"/>
      <c r="Z192" s="110"/>
      <c r="AA192" s="110"/>
      <c r="AB192" s="110"/>
      <c r="AC192" s="110"/>
      <c r="AD192" s="110"/>
      <c r="AE192" s="110"/>
      <c r="AF192" s="110"/>
      <c r="AG192" s="110"/>
      <c r="AH192" s="110"/>
      <c r="AI192" s="110"/>
      <c r="AJ192" s="110"/>
      <c r="AK192" s="110"/>
      <c r="AL192" s="110"/>
      <c r="AM192" s="110"/>
      <c r="AN192" s="110"/>
      <c r="AO192" s="110"/>
      <c r="AP192" s="110"/>
      <c r="AQ192" s="110"/>
      <c r="AR192" s="110"/>
      <c r="AS192" s="110"/>
      <c r="AT192" s="110"/>
      <c r="AU192" s="110"/>
      <c r="AV192" s="110"/>
      <c r="AW192" s="110"/>
      <c r="AX192" s="110"/>
      <c r="AY192" s="110"/>
      <c r="AZ192" s="110"/>
      <c r="BA192" s="110"/>
      <c r="BB192" s="110"/>
      <c r="BC192" s="110"/>
      <c r="BD192" s="110"/>
      <c r="BE192" s="110"/>
      <c r="BF192" s="110"/>
      <c r="BG192" s="110"/>
      <c r="BH192" s="110"/>
      <c r="BI192" s="110"/>
      <c r="BJ192" s="110"/>
      <c r="BK192" s="110"/>
      <c r="BL192" s="110"/>
      <c r="BM192" s="110"/>
      <c r="BN192" s="110"/>
      <c r="BO192" s="110"/>
      <c r="BP192" s="110"/>
      <c r="BQ192" s="110"/>
      <c r="BR192" s="110"/>
      <c r="BS192" s="110"/>
      <c r="BT192" s="110"/>
      <c r="BU192" s="110"/>
      <c r="BV192" s="110"/>
      <c r="BW192" s="110"/>
      <c r="BX192" s="110"/>
      <c r="BY192" s="110"/>
      <c r="BZ192" s="110"/>
      <c r="CA192" s="110"/>
      <c r="CB192" s="110"/>
      <c r="CC192" s="110"/>
      <c r="CD192" s="110"/>
      <c r="CE192" s="110"/>
      <c r="CF192" s="110"/>
    </row>
    <row r="193" spans="1:84" s="45" customFormat="1" x14ac:dyDescent="0.25">
      <c r="A193" t="str">
        <f>Funktional!A193</f>
        <v>Kaltenbach</v>
      </c>
      <c r="B193" t="str">
        <f>Funktional!B193</f>
        <v>KiGa</v>
      </c>
      <c r="C193">
        <v>1.11E-2</v>
      </c>
      <c r="D193">
        <v>-2.8E-3</v>
      </c>
      <c r="E193" s="26">
        <f t="shared" si="68"/>
        <v>548169.4</v>
      </c>
      <c r="F193">
        <v>189280.2</v>
      </c>
      <c r="G193">
        <v>358889.2</v>
      </c>
      <c r="H193">
        <v>10636.75</v>
      </c>
      <c r="I193" s="42">
        <f t="shared" si="64"/>
        <v>1.9404129453413486E-2</v>
      </c>
      <c r="J193" s="80">
        <f t="shared" si="65"/>
        <v>18600</v>
      </c>
      <c r="K193" s="43">
        <f>J193*'KiGa - PS'!L194</f>
        <v>3439.3592908825431</v>
      </c>
      <c r="L193" s="42">
        <f>K193/Funktional!E193</f>
        <v>2.4850018116464825E-2</v>
      </c>
      <c r="M193">
        <v>50</v>
      </c>
      <c r="N193" s="43">
        <f>K193/Funktional!C193</f>
        <v>3439.3592908825431</v>
      </c>
      <c r="O193" s="44">
        <f>K193/Funktional!D193</f>
        <v>163.77901385154968</v>
      </c>
      <c r="P193">
        <v>5000</v>
      </c>
      <c r="Q193">
        <v>0</v>
      </c>
      <c r="R193">
        <v>1800</v>
      </c>
      <c r="S193" s="43">
        <f t="shared" si="66"/>
        <v>6800</v>
      </c>
      <c r="T193">
        <v>10000</v>
      </c>
      <c r="U193">
        <v>0</v>
      </c>
      <c r="V193">
        <v>1800</v>
      </c>
      <c r="W193" s="43">
        <f t="shared" si="67"/>
        <v>11800</v>
      </c>
      <c r="X193">
        <v>0</v>
      </c>
      <c r="Y193" s="110"/>
      <c r="Z193" s="110"/>
      <c r="AA193" s="110"/>
      <c r="AB193" s="110"/>
      <c r="AC193" s="110"/>
      <c r="AD193" s="110"/>
      <c r="AE193" s="110"/>
      <c r="AF193" s="110"/>
      <c r="AG193" s="110"/>
      <c r="AH193" s="110"/>
      <c r="AI193" s="110"/>
      <c r="AJ193" s="110"/>
      <c r="AK193" s="110"/>
      <c r="AL193" s="110"/>
      <c r="AM193" s="110"/>
      <c r="AN193" s="110"/>
      <c r="AO193" s="110"/>
      <c r="AP193" s="110"/>
      <c r="AQ193" s="110"/>
      <c r="AR193" s="110"/>
      <c r="AS193" s="110"/>
      <c r="AT193" s="110"/>
      <c r="AU193" s="110"/>
      <c r="AV193" s="110"/>
      <c r="AW193" s="110"/>
      <c r="AX193" s="110"/>
      <c r="AY193" s="110"/>
      <c r="AZ193" s="110"/>
      <c r="BA193" s="110"/>
      <c r="BB193" s="110"/>
      <c r="BC193" s="110"/>
      <c r="BD193" s="110"/>
      <c r="BE193" s="110"/>
      <c r="BF193" s="110"/>
      <c r="BG193" s="110"/>
      <c r="BH193" s="110"/>
      <c r="BI193" s="110"/>
      <c r="BJ193" s="110"/>
      <c r="BK193" s="110"/>
      <c r="BL193" s="110"/>
      <c r="BM193" s="110"/>
      <c r="BN193" s="110"/>
      <c r="BO193" s="110"/>
      <c r="BP193" s="110"/>
      <c r="BQ193" s="110"/>
      <c r="BR193" s="110"/>
      <c r="BS193" s="110"/>
      <c r="BT193" s="110"/>
      <c r="BU193" s="110"/>
      <c r="BV193" s="110"/>
      <c r="BW193" s="110"/>
      <c r="BX193" s="110"/>
      <c r="BY193" s="110"/>
      <c r="BZ193" s="110"/>
      <c r="CA193" s="110"/>
      <c r="CB193" s="110"/>
      <c r="CC193" s="110"/>
      <c r="CD193" s="110"/>
      <c r="CE193" s="110"/>
      <c r="CF193" s="110"/>
    </row>
    <row r="194" spans="1:84" s="45" customFormat="1" x14ac:dyDescent="0.25">
      <c r="A194" t="str">
        <f>Funktional!A194</f>
        <v>Kesswil</v>
      </c>
      <c r="B194" t="str">
        <f>Funktional!B194</f>
        <v>KiGa</v>
      </c>
      <c r="C194">
        <v>0.1113</v>
      </c>
      <c r="D194">
        <v>0.05</v>
      </c>
      <c r="E194" s="26">
        <f t="shared" si="68"/>
        <v>1445731.3499999999</v>
      </c>
      <c r="F194">
        <v>1406653.4</v>
      </c>
      <c r="G194">
        <v>39077.949999999997</v>
      </c>
      <c r="H194">
        <v>30472.9</v>
      </c>
      <c r="I194" s="42">
        <f t="shared" si="64"/>
        <v>2.1077844096000272E-2</v>
      </c>
      <c r="J194" s="80">
        <f t="shared" si="65"/>
        <v>15100</v>
      </c>
      <c r="K194" s="43">
        <f>J194*'KiGa - PS'!L195</f>
        <v>2020.7998991592926</v>
      </c>
      <c r="L194" s="42">
        <f>K194/Funktional!E194</f>
        <v>1.218819017644786E-2</v>
      </c>
      <c r="M194">
        <v>60</v>
      </c>
      <c r="N194" s="43">
        <f>K194/Funktional!C194</f>
        <v>2020.7998991592926</v>
      </c>
      <c r="O194" s="44">
        <f>K194/Funktional!D194</f>
        <v>112.26666106440514</v>
      </c>
      <c r="P194">
        <v>2500</v>
      </c>
      <c r="Q194">
        <v>0</v>
      </c>
      <c r="R194">
        <v>750</v>
      </c>
      <c r="S194" s="43">
        <f t="shared" si="66"/>
        <v>3250</v>
      </c>
      <c r="T194">
        <v>9500</v>
      </c>
      <c r="U194">
        <v>0</v>
      </c>
      <c r="V194">
        <v>1850</v>
      </c>
      <c r="W194" s="43">
        <f t="shared" si="67"/>
        <v>11350</v>
      </c>
      <c r="X194">
        <v>500</v>
      </c>
      <c r="Y194" s="110"/>
      <c r="Z194" s="110"/>
      <c r="AA194" s="110"/>
      <c r="AB194" s="110"/>
      <c r="AC194" s="110"/>
      <c r="AD194" s="110"/>
      <c r="AE194" s="110"/>
      <c r="AF194" s="110"/>
      <c r="AG194" s="110"/>
      <c r="AH194" s="110"/>
      <c r="AI194" s="110"/>
      <c r="AJ194" s="110"/>
      <c r="AK194" s="110"/>
      <c r="AL194" s="110"/>
      <c r="AM194" s="110"/>
      <c r="AN194" s="110"/>
      <c r="AO194" s="110"/>
      <c r="AP194" s="110"/>
      <c r="AQ194" s="110"/>
      <c r="AR194" s="110"/>
      <c r="AS194" s="110"/>
      <c r="AT194" s="110"/>
      <c r="AU194" s="110"/>
      <c r="AV194" s="110"/>
      <c r="AW194" s="110"/>
      <c r="AX194" s="110"/>
      <c r="AY194" s="110"/>
      <c r="AZ194" s="110"/>
      <c r="BA194" s="110"/>
      <c r="BB194" s="110"/>
      <c r="BC194" s="110"/>
      <c r="BD194" s="110"/>
      <c r="BE194" s="110"/>
      <c r="BF194" s="110"/>
      <c r="BG194" s="110"/>
      <c r="BH194" s="110"/>
      <c r="BI194" s="110"/>
      <c r="BJ194" s="110"/>
      <c r="BK194" s="110"/>
      <c r="BL194" s="110"/>
      <c r="BM194" s="110"/>
      <c r="BN194" s="110"/>
      <c r="BO194" s="110"/>
      <c r="BP194" s="110"/>
      <c r="BQ194" s="110"/>
      <c r="BR194" s="110"/>
      <c r="BS194" s="110"/>
      <c r="BT194" s="110"/>
      <c r="BU194" s="110"/>
      <c r="BV194" s="110"/>
      <c r="BW194" s="110"/>
      <c r="BX194" s="110"/>
      <c r="BY194" s="110"/>
      <c r="BZ194" s="110"/>
      <c r="CA194" s="110"/>
      <c r="CB194" s="110"/>
      <c r="CC194" s="110"/>
      <c r="CD194" s="110"/>
      <c r="CE194" s="110"/>
      <c r="CF194" s="110"/>
    </row>
    <row r="195" spans="1:84" s="45" customFormat="1" x14ac:dyDescent="0.25">
      <c r="A195" t="str">
        <f>Funktional!A195</f>
        <v>Kreuzlingen</v>
      </c>
      <c r="B195" t="str">
        <f>Funktional!B195</f>
        <v>KiGa</v>
      </c>
      <c r="C195">
        <v>2.4400000000000002E-2</v>
      </c>
      <c r="D195">
        <v>2.5000000000000001E-3</v>
      </c>
      <c r="E195" s="26">
        <f t="shared" si="68"/>
        <v>16510252.52</v>
      </c>
      <c r="F195">
        <v>8572009</v>
      </c>
      <c r="G195">
        <v>7938243.5199999996</v>
      </c>
      <c r="H195">
        <v>270393.09999999998</v>
      </c>
      <c r="I195" s="42">
        <f t="shared" si="64"/>
        <v>1.6377284337259792E-2</v>
      </c>
      <c r="J195" s="80">
        <f t="shared" si="65"/>
        <v>326543</v>
      </c>
      <c r="K195" s="43">
        <f>J195*'KiGa - PS'!L196</f>
        <v>48556.641697842846</v>
      </c>
      <c r="L195" s="42">
        <f>K195/Funktional!E195</f>
        <v>2.3043515698161581E-2</v>
      </c>
      <c r="M195">
        <v>74</v>
      </c>
      <c r="N195" s="43">
        <f>K195/Funktional!C195</f>
        <v>3237.1094465228566</v>
      </c>
      <c r="O195" s="44">
        <f>K195/Funktional!D195</f>
        <v>136.39506094899676</v>
      </c>
      <c r="P195">
        <v>93600</v>
      </c>
      <c r="Q195">
        <v>5040</v>
      </c>
      <c r="R195">
        <v>0</v>
      </c>
      <c r="S195" s="43">
        <f t="shared" si="66"/>
        <v>98640</v>
      </c>
      <c r="T195">
        <v>218843</v>
      </c>
      <c r="U195">
        <v>2160</v>
      </c>
      <c r="V195">
        <v>0</v>
      </c>
      <c r="W195" s="43">
        <f t="shared" si="67"/>
        <v>221003</v>
      </c>
      <c r="X195">
        <v>6900</v>
      </c>
      <c r="Y195" s="110"/>
      <c r="Z195" s="110"/>
      <c r="AA195" s="110"/>
      <c r="AB195" s="110"/>
      <c r="AC195" s="110"/>
      <c r="AD195" s="110"/>
      <c r="AE195" s="110"/>
      <c r="AF195" s="110"/>
      <c r="AG195" s="110"/>
      <c r="AH195" s="110"/>
      <c r="AI195" s="110"/>
      <c r="AJ195" s="110"/>
      <c r="AK195" s="110"/>
      <c r="AL195" s="110"/>
      <c r="AM195" s="110"/>
      <c r="AN195" s="110"/>
      <c r="AO195" s="110"/>
      <c r="AP195" s="110"/>
      <c r="AQ195" s="110"/>
      <c r="AR195" s="110"/>
      <c r="AS195" s="110"/>
      <c r="AT195" s="110"/>
      <c r="AU195" s="110"/>
      <c r="AV195" s="110"/>
      <c r="AW195" s="110"/>
      <c r="AX195" s="110"/>
      <c r="AY195" s="110"/>
      <c r="AZ195" s="110"/>
      <c r="BA195" s="110"/>
      <c r="BB195" s="110"/>
      <c r="BC195" s="110"/>
      <c r="BD195" s="110"/>
      <c r="BE195" s="110"/>
      <c r="BF195" s="110"/>
      <c r="BG195" s="110"/>
      <c r="BH195" s="110"/>
      <c r="BI195" s="110"/>
      <c r="BJ195" s="110"/>
      <c r="BK195" s="110"/>
      <c r="BL195" s="110"/>
      <c r="BM195" s="110"/>
      <c r="BN195" s="110"/>
      <c r="BO195" s="110"/>
      <c r="BP195" s="110"/>
      <c r="BQ195" s="110"/>
      <c r="BR195" s="110"/>
      <c r="BS195" s="110"/>
      <c r="BT195" s="110"/>
      <c r="BU195" s="110"/>
      <c r="BV195" s="110"/>
      <c r="BW195" s="110"/>
      <c r="BX195" s="110"/>
      <c r="BY195" s="110"/>
      <c r="BZ195" s="110"/>
      <c r="CA195" s="110"/>
      <c r="CB195" s="110"/>
      <c r="CC195" s="110"/>
      <c r="CD195" s="110"/>
      <c r="CE195" s="110"/>
      <c r="CF195" s="110"/>
    </row>
    <row r="196" spans="1:84" s="45" customFormat="1" x14ac:dyDescent="0.25">
      <c r="A196" t="str">
        <f>Funktional!A196</f>
        <v>Landschlacht</v>
      </c>
      <c r="B196" t="str">
        <f>Funktional!B196</f>
        <v>KiGa</v>
      </c>
      <c r="C196">
        <v>0.20569999999999999</v>
      </c>
      <c r="D196">
        <v>8.4500000000000006E-2</v>
      </c>
      <c r="E196" s="26">
        <f t="shared" si="68"/>
        <v>3466343.65</v>
      </c>
      <c r="F196">
        <v>3187081</v>
      </c>
      <c r="G196">
        <v>279262.65000000002</v>
      </c>
      <c r="H196">
        <v>17464.650000000001</v>
      </c>
      <c r="I196" s="42">
        <f t="shared" si="64"/>
        <v>5.0383492704192791E-3</v>
      </c>
      <c r="J196" s="80">
        <f t="shared" si="65"/>
        <v>19500</v>
      </c>
      <c r="K196" s="43">
        <f>J196*'KiGa - PS'!L197</f>
        <v>3536.4093512693644</v>
      </c>
      <c r="L196" s="42">
        <f>K196/Funktional!E196</f>
        <v>1.4571071372021793E-2</v>
      </c>
      <c r="M196">
        <v>70</v>
      </c>
      <c r="N196" s="43">
        <f>K196/Funktional!C196</f>
        <v>3536.4093512693644</v>
      </c>
      <c r="O196" s="44">
        <f>K196/Funktional!D196</f>
        <v>130.97812412108757</v>
      </c>
      <c r="P196">
        <v>4000</v>
      </c>
      <c r="Q196">
        <v>1000</v>
      </c>
      <c r="R196">
        <v>1500</v>
      </c>
      <c r="S196" s="43">
        <f t="shared" si="66"/>
        <v>6500</v>
      </c>
      <c r="T196">
        <v>10000</v>
      </c>
      <c r="U196">
        <v>1500</v>
      </c>
      <c r="V196">
        <v>1500</v>
      </c>
      <c r="W196" s="43">
        <f t="shared" si="67"/>
        <v>13000</v>
      </c>
      <c r="X196">
        <v>0</v>
      </c>
      <c r="Y196" s="110"/>
      <c r="Z196" s="110"/>
      <c r="AA196" s="110"/>
      <c r="AB196" s="110"/>
      <c r="AC196" s="110"/>
      <c r="AD196" s="110"/>
      <c r="AE196" s="110"/>
      <c r="AF196" s="110"/>
      <c r="AG196" s="110"/>
      <c r="AH196" s="110"/>
      <c r="AI196" s="110"/>
      <c r="AJ196" s="110"/>
      <c r="AK196" s="110"/>
      <c r="AL196" s="110"/>
      <c r="AM196" s="110"/>
      <c r="AN196" s="110"/>
      <c r="AO196" s="110"/>
      <c r="AP196" s="110"/>
      <c r="AQ196" s="110"/>
      <c r="AR196" s="110"/>
      <c r="AS196" s="110"/>
      <c r="AT196" s="110"/>
      <c r="AU196" s="110"/>
      <c r="AV196" s="110"/>
      <c r="AW196" s="110"/>
      <c r="AX196" s="110"/>
      <c r="AY196" s="110"/>
      <c r="AZ196" s="110"/>
      <c r="BA196" s="110"/>
      <c r="BB196" s="110"/>
      <c r="BC196" s="110"/>
      <c r="BD196" s="110"/>
      <c r="BE196" s="110"/>
      <c r="BF196" s="110"/>
      <c r="BG196" s="110"/>
      <c r="BH196" s="110"/>
      <c r="BI196" s="110"/>
      <c r="BJ196" s="110"/>
      <c r="BK196" s="110"/>
      <c r="BL196" s="110"/>
      <c r="BM196" s="110"/>
      <c r="BN196" s="110"/>
      <c r="BO196" s="110"/>
      <c r="BP196" s="110"/>
      <c r="BQ196" s="110"/>
      <c r="BR196" s="110"/>
      <c r="BS196" s="110"/>
      <c r="BT196" s="110"/>
      <c r="BU196" s="110"/>
      <c r="BV196" s="110"/>
      <c r="BW196" s="110"/>
      <c r="BX196" s="110"/>
      <c r="BY196" s="110"/>
      <c r="BZ196" s="110"/>
      <c r="CA196" s="110"/>
      <c r="CB196" s="110"/>
      <c r="CC196" s="110"/>
      <c r="CD196" s="110"/>
      <c r="CE196" s="110"/>
      <c r="CF196" s="110"/>
    </row>
    <row r="197" spans="1:84" s="45" customFormat="1" x14ac:dyDescent="0.25">
      <c r="A197" t="str">
        <f>Funktional!A197</f>
        <v>Lanterswil</v>
      </c>
      <c r="B197" t="str">
        <f>Funktional!B197</f>
        <v>KiGa</v>
      </c>
      <c r="C197">
        <v>5.0599999999999999E-2</v>
      </c>
      <c r="D197">
        <v>1.38E-2</v>
      </c>
      <c r="E197" s="26">
        <f t="shared" si="68"/>
        <v>538240.44999999995</v>
      </c>
      <c r="F197">
        <v>422929</v>
      </c>
      <c r="G197">
        <v>115311.45</v>
      </c>
      <c r="H197">
        <v>12431.2</v>
      </c>
      <c r="I197" s="42">
        <f t="shared" si="64"/>
        <v>2.3095997337249555E-2</v>
      </c>
      <c r="J197" s="80">
        <f t="shared" si="65"/>
        <v>19500</v>
      </c>
      <c r="K197" s="43">
        <f>J197*'KiGa - PS'!L198</f>
        <v>0</v>
      </c>
      <c r="L197" s="42"/>
      <c r="M197">
        <v>40</v>
      </c>
      <c r="N197" s="43"/>
      <c r="O197" s="44"/>
      <c r="P197">
        <v>500</v>
      </c>
      <c r="Q197">
        <v>0</v>
      </c>
      <c r="R197">
        <v>0</v>
      </c>
      <c r="S197" s="43">
        <f t="shared" si="66"/>
        <v>500</v>
      </c>
      <c r="T197">
        <v>18000</v>
      </c>
      <c r="U197">
        <v>0</v>
      </c>
      <c r="V197">
        <v>1000</v>
      </c>
      <c r="W197" s="43">
        <f t="shared" si="67"/>
        <v>19000</v>
      </c>
      <c r="X197">
        <v>0</v>
      </c>
      <c r="Y197" s="110"/>
      <c r="Z197" s="110"/>
      <c r="AA197" s="110"/>
      <c r="AB197" s="110"/>
      <c r="AC197" s="110"/>
      <c r="AD197" s="110"/>
      <c r="AE197" s="110"/>
      <c r="AF197" s="110"/>
      <c r="AG197" s="110"/>
      <c r="AH197" s="110"/>
      <c r="AI197" s="110"/>
      <c r="AJ197" s="110"/>
      <c r="AK197" s="110"/>
      <c r="AL197" s="110"/>
      <c r="AM197" s="110"/>
      <c r="AN197" s="110"/>
      <c r="AO197" s="110"/>
      <c r="AP197" s="110"/>
      <c r="AQ197" s="110"/>
      <c r="AR197" s="110"/>
      <c r="AS197" s="110"/>
      <c r="AT197" s="110"/>
      <c r="AU197" s="110"/>
      <c r="AV197" s="110"/>
      <c r="AW197" s="110"/>
      <c r="AX197" s="110"/>
      <c r="AY197" s="110"/>
      <c r="AZ197" s="110"/>
      <c r="BA197" s="110"/>
      <c r="BB197" s="110"/>
      <c r="BC197" s="110"/>
      <c r="BD197" s="110"/>
      <c r="BE197" s="110"/>
      <c r="BF197" s="110"/>
      <c r="BG197" s="110"/>
      <c r="BH197" s="110"/>
      <c r="BI197" s="110"/>
      <c r="BJ197" s="110"/>
      <c r="BK197" s="110"/>
      <c r="BL197" s="110"/>
      <c r="BM197" s="110"/>
      <c r="BN197" s="110"/>
      <c r="BO197" s="110"/>
      <c r="BP197" s="110"/>
      <c r="BQ197" s="110"/>
      <c r="BR197" s="110"/>
      <c r="BS197" s="110"/>
      <c r="BT197" s="110"/>
      <c r="BU197" s="110"/>
      <c r="BV197" s="110"/>
      <c r="BW197" s="110"/>
      <c r="BX197" s="110"/>
      <c r="BY197" s="110"/>
      <c r="BZ197" s="110"/>
      <c r="CA197" s="110"/>
      <c r="CB197" s="110"/>
      <c r="CC197" s="110"/>
      <c r="CD197" s="110"/>
      <c r="CE197" s="110"/>
      <c r="CF197" s="110"/>
    </row>
    <row r="198" spans="1:84" s="45" customFormat="1" x14ac:dyDescent="0.25">
      <c r="A198" t="str">
        <f>Funktional!A198</f>
        <v>Leimbach</v>
      </c>
      <c r="B198" t="str">
        <f>Funktional!B198</f>
        <v>KiGa</v>
      </c>
      <c r="C198">
        <v>0.10630000000000001</v>
      </c>
      <c r="D198">
        <v>2.0899999999999998E-2</v>
      </c>
      <c r="E198" s="26">
        <f t="shared" si="68"/>
        <v>1409864.8</v>
      </c>
      <c r="F198">
        <v>1057039</v>
      </c>
      <c r="G198">
        <v>352825.8</v>
      </c>
      <c r="H198">
        <v>24453.1</v>
      </c>
      <c r="I198" s="42">
        <f t="shared" si="64"/>
        <v>1.7344287196900014E-2</v>
      </c>
      <c r="J198" s="80">
        <f t="shared" si="65"/>
        <v>14380</v>
      </c>
      <c r="K198" s="43">
        <f>J198*'KiGa - PS'!L199</f>
        <v>1906.784849835806</v>
      </c>
      <c r="L198" s="42">
        <f>K198/Funktional!E198</f>
        <v>2.0990044033842727E-2</v>
      </c>
      <c r="M198">
        <v>60</v>
      </c>
      <c r="N198" s="43">
        <f>K198/Funktional!C198</f>
        <v>1906.784849835806</v>
      </c>
      <c r="O198" s="44">
        <f>K198/Funktional!D198</f>
        <v>146.67575767967739</v>
      </c>
      <c r="P198">
        <v>4000</v>
      </c>
      <c r="Q198">
        <v>0</v>
      </c>
      <c r="R198">
        <v>880</v>
      </c>
      <c r="S198" s="43">
        <f t="shared" si="66"/>
        <v>4880</v>
      </c>
      <c r="T198">
        <v>8300</v>
      </c>
      <c r="U198">
        <v>0</v>
      </c>
      <c r="V198">
        <v>1200</v>
      </c>
      <c r="W198" s="43">
        <f t="shared" si="67"/>
        <v>9500</v>
      </c>
      <c r="X198">
        <v>0</v>
      </c>
      <c r="Y198" s="110"/>
      <c r="Z198" s="110"/>
      <c r="AA198" s="110"/>
      <c r="AB198" s="110"/>
      <c r="AC198" s="110"/>
      <c r="AD198" s="110"/>
      <c r="AE198" s="110"/>
      <c r="AF198" s="110"/>
      <c r="AG198" s="110"/>
      <c r="AH198" s="110"/>
      <c r="AI198" s="110"/>
      <c r="AJ198" s="110"/>
      <c r="AK198" s="110"/>
      <c r="AL198" s="110"/>
      <c r="AM198" s="110"/>
      <c r="AN198" s="110"/>
      <c r="AO198" s="110"/>
      <c r="AP198" s="110"/>
      <c r="AQ198" s="110"/>
      <c r="AR198" s="110"/>
      <c r="AS198" s="110"/>
      <c r="AT198" s="110"/>
      <c r="AU198" s="110"/>
      <c r="AV198" s="110"/>
      <c r="AW198" s="110"/>
      <c r="AX198" s="110"/>
      <c r="AY198" s="110"/>
      <c r="AZ198" s="110"/>
      <c r="BA198" s="110"/>
      <c r="BB198" s="110"/>
      <c r="BC198" s="110"/>
      <c r="BD198" s="110"/>
      <c r="BE198" s="110"/>
      <c r="BF198" s="110"/>
      <c r="BG198" s="110"/>
      <c r="BH198" s="110"/>
      <c r="BI198" s="110"/>
      <c r="BJ198" s="110"/>
      <c r="BK198" s="110"/>
      <c r="BL198" s="110"/>
      <c r="BM198" s="110"/>
      <c r="BN198" s="110"/>
      <c r="BO198" s="110"/>
      <c r="BP198" s="110"/>
      <c r="BQ198" s="110"/>
      <c r="BR198" s="110"/>
      <c r="BS198" s="110"/>
      <c r="BT198" s="110"/>
      <c r="BU198" s="110"/>
      <c r="BV198" s="110"/>
      <c r="BW198" s="110"/>
      <c r="BX198" s="110"/>
      <c r="BY198" s="110"/>
      <c r="BZ198" s="110"/>
      <c r="CA198" s="110"/>
      <c r="CB198" s="110"/>
      <c r="CC198" s="110"/>
      <c r="CD198" s="110"/>
      <c r="CE198" s="110"/>
      <c r="CF198" s="110"/>
    </row>
    <row r="199" spans="1:84" s="45" customFormat="1" x14ac:dyDescent="0.25">
      <c r="A199" t="str">
        <f>Funktional!A199</f>
        <v>Lommis</v>
      </c>
      <c r="B199" t="str">
        <f>Funktional!B199</f>
        <v>KiGa</v>
      </c>
      <c r="C199">
        <v>0.18179999999999999</v>
      </c>
      <c r="D199">
        <v>6.1899999999999997E-2</v>
      </c>
      <c r="E199" s="26">
        <f t="shared" si="68"/>
        <v>4381712.5</v>
      </c>
      <c r="F199">
        <v>3584225</v>
      </c>
      <c r="G199">
        <v>797487.5</v>
      </c>
      <c r="H199">
        <v>36791.1</v>
      </c>
      <c r="I199" s="42">
        <f t="shared" si="64"/>
        <v>8.3965116378584854E-3</v>
      </c>
      <c r="J199" s="80">
        <f t="shared" si="65"/>
        <v>28200</v>
      </c>
      <c r="K199" s="43">
        <f>J199*'KiGa - PS'!L200</f>
        <v>5313.1603398191</v>
      </c>
      <c r="L199" s="42">
        <f>K199/Funktional!E199</f>
        <v>1.9773846101417952E-2</v>
      </c>
      <c r="M199">
        <v>60</v>
      </c>
      <c r="N199" s="43">
        <f>K199/Funktional!C199</f>
        <v>2656.58016990955</v>
      </c>
      <c r="O199" s="44">
        <f>K199/Funktional!D199</f>
        <v>151.80458113768859</v>
      </c>
      <c r="P199">
        <v>6500</v>
      </c>
      <c r="Q199">
        <v>2500</v>
      </c>
      <c r="R199">
        <v>0</v>
      </c>
      <c r="S199" s="43">
        <f t="shared" si="66"/>
        <v>9000</v>
      </c>
      <c r="T199">
        <v>9000</v>
      </c>
      <c r="U199">
        <v>1500</v>
      </c>
      <c r="V199">
        <v>0</v>
      </c>
      <c r="W199" s="43">
        <f t="shared" si="67"/>
        <v>10500</v>
      </c>
      <c r="X199">
        <v>8700</v>
      </c>
      <c r="Y199" s="110"/>
      <c r="Z199" s="110"/>
      <c r="AA199" s="110"/>
      <c r="AB199" s="110"/>
      <c r="AC199" s="110"/>
      <c r="AD199" s="110"/>
      <c r="AE199" s="110"/>
      <c r="AF199" s="110"/>
      <c r="AG199" s="110"/>
      <c r="AH199" s="110"/>
      <c r="AI199" s="110"/>
      <c r="AJ199" s="110"/>
      <c r="AK199" s="110"/>
      <c r="AL199" s="110"/>
      <c r="AM199" s="110"/>
      <c r="AN199" s="110"/>
      <c r="AO199" s="110"/>
      <c r="AP199" s="110"/>
      <c r="AQ199" s="110"/>
      <c r="AR199" s="110"/>
      <c r="AS199" s="110"/>
      <c r="AT199" s="110"/>
      <c r="AU199" s="110"/>
      <c r="AV199" s="110"/>
      <c r="AW199" s="110"/>
      <c r="AX199" s="110"/>
      <c r="AY199" s="110"/>
      <c r="AZ199" s="110"/>
      <c r="BA199" s="110"/>
      <c r="BB199" s="110"/>
      <c r="BC199" s="110"/>
      <c r="BD199" s="110"/>
      <c r="BE199" s="110"/>
      <c r="BF199" s="110"/>
      <c r="BG199" s="110"/>
      <c r="BH199" s="110"/>
      <c r="BI199" s="110"/>
      <c r="BJ199" s="110"/>
      <c r="BK199" s="110"/>
      <c r="BL199" s="110"/>
      <c r="BM199" s="110"/>
      <c r="BN199" s="110"/>
      <c r="BO199" s="110"/>
      <c r="BP199" s="110"/>
      <c r="BQ199" s="110"/>
      <c r="BR199" s="110"/>
      <c r="BS199" s="110"/>
      <c r="BT199" s="110"/>
      <c r="BU199" s="110"/>
      <c r="BV199" s="110"/>
      <c r="BW199" s="110"/>
      <c r="BX199" s="110"/>
      <c r="BY199" s="110"/>
      <c r="BZ199" s="110"/>
      <c r="CA199" s="110"/>
      <c r="CB199" s="110"/>
      <c r="CC199" s="110"/>
      <c r="CD199" s="110"/>
      <c r="CE199" s="110"/>
      <c r="CF199" s="110"/>
    </row>
    <row r="200" spans="1:84" s="45" customFormat="1" x14ac:dyDescent="0.25">
      <c r="A200" t="str">
        <f>Funktional!A200</f>
        <v>Mammern</v>
      </c>
      <c r="B200" t="str">
        <f>Funktional!B200</f>
        <v>KiGa</v>
      </c>
      <c r="C200">
        <v>1.26E-2</v>
      </c>
      <c r="D200">
        <v>9.4999999999999998E-3</v>
      </c>
      <c r="E200" s="26">
        <f t="shared" si="68"/>
        <v>694221.15</v>
      </c>
      <c r="F200">
        <v>75000</v>
      </c>
      <c r="G200">
        <v>619221.15</v>
      </c>
      <c r="H200">
        <v>29345.5</v>
      </c>
      <c r="I200" s="42">
        <f t="shared" si="64"/>
        <v>4.2271112022444143E-2</v>
      </c>
      <c r="J200" s="80">
        <f t="shared" si="65"/>
        <v>9000</v>
      </c>
      <c r="K200" s="43">
        <f>J200*'KiGa - PS'!L201</f>
        <v>1626.3752171395483</v>
      </c>
      <c r="L200" s="42">
        <f>K200/Funktional!E200</f>
        <v>1.5991420070085065E-2</v>
      </c>
      <c r="M200">
        <v>45</v>
      </c>
      <c r="N200" s="43">
        <f>K200/Funktional!C200</f>
        <v>3252.7504342790967</v>
      </c>
      <c r="O200" s="44">
        <f>K200/Funktional!D200</f>
        <v>81.31876085697742</v>
      </c>
      <c r="P200">
        <v>0</v>
      </c>
      <c r="Q200">
        <v>0</v>
      </c>
      <c r="R200">
        <v>0</v>
      </c>
      <c r="S200" s="43">
        <f t="shared" si="66"/>
        <v>0</v>
      </c>
      <c r="T200">
        <v>6000</v>
      </c>
      <c r="U200">
        <v>0</v>
      </c>
      <c r="V200">
        <v>1800</v>
      </c>
      <c r="W200" s="43">
        <f t="shared" si="67"/>
        <v>7800</v>
      </c>
      <c r="X200">
        <v>1200</v>
      </c>
      <c r="Y200" s="110"/>
      <c r="Z200" s="110"/>
      <c r="AA200" s="110"/>
      <c r="AB200" s="110"/>
      <c r="AC200" s="110"/>
      <c r="AD200" s="110"/>
      <c r="AE200" s="110"/>
      <c r="AF200" s="110"/>
      <c r="AG200" s="110"/>
      <c r="AH200" s="110"/>
      <c r="AI200" s="110"/>
      <c r="AJ200" s="110"/>
      <c r="AK200" s="110"/>
      <c r="AL200" s="110"/>
      <c r="AM200" s="110"/>
      <c r="AN200" s="110"/>
      <c r="AO200" s="110"/>
      <c r="AP200" s="110"/>
      <c r="AQ200" s="110"/>
      <c r="AR200" s="110"/>
      <c r="AS200" s="110"/>
      <c r="AT200" s="110"/>
      <c r="AU200" s="110"/>
      <c r="AV200" s="110"/>
      <c r="AW200" s="110"/>
      <c r="AX200" s="110"/>
      <c r="AY200" s="110"/>
      <c r="AZ200" s="110"/>
      <c r="BA200" s="110"/>
      <c r="BB200" s="110"/>
      <c r="BC200" s="110"/>
      <c r="BD200" s="110"/>
      <c r="BE200" s="110"/>
      <c r="BF200" s="110"/>
      <c r="BG200" s="110"/>
      <c r="BH200" s="110"/>
      <c r="BI200" s="110"/>
      <c r="BJ200" s="110"/>
      <c r="BK200" s="110"/>
      <c r="BL200" s="110"/>
      <c r="BM200" s="110"/>
      <c r="BN200" s="110"/>
      <c r="BO200" s="110"/>
      <c r="BP200" s="110"/>
      <c r="BQ200" s="110"/>
      <c r="BR200" s="110"/>
      <c r="BS200" s="110"/>
      <c r="BT200" s="110"/>
      <c r="BU200" s="110"/>
      <c r="BV200" s="110"/>
      <c r="BW200" s="110"/>
      <c r="BX200" s="110"/>
      <c r="BY200" s="110"/>
      <c r="BZ200" s="110"/>
      <c r="CA200" s="110"/>
      <c r="CB200" s="110"/>
      <c r="CC200" s="110"/>
      <c r="CD200" s="110"/>
      <c r="CE200" s="110"/>
      <c r="CF200" s="110"/>
    </row>
    <row r="201" spans="1:84" s="45" customFormat="1" x14ac:dyDescent="0.25">
      <c r="A201" t="str">
        <f>Funktional!A201</f>
        <v>Märstetten</v>
      </c>
      <c r="B201" t="str">
        <f>Funktional!B201</f>
        <v>KiGa</v>
      </c>
      <c r="C201">
        <v>6.2300000000000001E-2</v>
      </c>
      <c r="D201">
        <v>2.12E-2</v>
      </c>
      <c r="E201" s="26">
        <f t="shared" si="68"/>
        <v>3090213.9</v>
      </c>
      <c r="F201">
        <v>1675104</v>
      </c>
      <c r="G201">
        <v>1415109.9</v>
      </c>
      <c r="H201">
        <v>34863.599999999999</v>
      </c>
      <c r="I201" s="42">
        <f t="shared" ref="I201:I216" si="69">H201/E201</f>
        <v>1.1281937473648669E-2</v>
      </c>
      <c r="J201" s="80">
        <f t="shared" ref="J201:J216" si="70">S201+W201+X201</f>
        <v>47312</v>
      </c>
      <c r="K201" s="43">
        <f>J201*'KiGa - PS'!L202</f>
        <v>5178.9404093736557</v>
      </c>
      <c r="L201" s="42">
        <f>K201/Funktional!E201</f>
        <v>2.3005952435222514E-2</v>
      </c>
      <c r="M201">
        <v>60</v>
      </c>
      <c r="N201" s="43">
        <f>K201/Funktional!C201</f>
        <v>2589.4702046868279</v>
      </c>
      <c r="O201" s="44">
        <f>K201/Funktional!D201</f>
        <v>152.321776746284</v>
      </c>
      <c r="P201">
        <v>6105</v>
      </c>
      <c r="Q201">
        <v>885</v>
      </c>
      <c r="R201">
        <v>1450</v>
      </c>
      <c r="S201" s="43">
        <f t="shared" ref="S201:S216" si="71">P201+Q201+R201</f>
        <v>8440</v>
      </c>
      <c r="T201">
        <v>27482</v>
      </c>
      <c r="U201">
        <v>840</v>
      </c>
      <c r="V201">
        <v>4550</v>
      </c>
      <c r="W201" s="43">
        <f t="shared" ref="W201:W216" si="72">T201+U201+V201</f>
        <v>32872</v>
      </c>
      <c r="X201">
        <v>6000</v>
      </c>
      <c r="Y201" s="110"/>
      <c r="Z201" s="110"/>
      <c r="AA201" s="110"/>
      <c r="AB201" s="110"/>
      <c r="AC201" s="110"/>
      <c r="AD201" s="110"/>
      <c r="AE201" s="110"/>
      <c r="AF201" s="110"/>
      <c r="AG201" s="110"/>
      <c r="AH201" s="110"/>
      <c r="AI201" s="110"/>
      <c r="AJ201" s="110"/>
      <c r="AK201" s="110"/>
      <c r="AL201" s="110"/>
      <c r="AM201" s="110"/>
      <c r="AN201" s="110"/>
      <c r="AO201" s="110"/>
      <c r="AP201" s="110"/>
      <c r="AQ201" s="110"/>
      <c r="AR201" s="110"/>
      <c r="AS201" s="110"/>
      <c r="AT201" s="110"/>
      <c r="AU201" s="110"/>
      <c r="AV201" s="110"/>
      <c r="AW201" s="110"/>
      <c r="AX201" s="110"/>
      <c r="AY201" s="110"/>
      <c r="AZ201" s="110"/>
      <c r="BA201" s="110"/>
      <c r="BB201" s="110"/>
      <c r="BC201" s="110"/>
      <c r="BD201" s="110"/>
      <c r="BE201" s="110"/>
      <c r="BF201" s="110"/>
      <c r="BG201" s="110"/>
      <c r="BH201" s="110"/>
      <c r="BI201" s="110"/>
      <c r="BJ201" s="110"/>
      <c r="BK201" s="110"/>
      <c r="BL201" s="110"/>
      <c r="BM201" s="110"/>
      <c r="BN201" s="110"/>
      <c r="BO201" s="110"/>
      <c r="BP201" s="110"/>
      <c r="BQ201" s="110"/>
      <c r="BR201" s="110"/>
      <c r="BS201" s="110"/>
      <c r="BT201" s="110"/>
      <c r="BU201" s="110"/>
      <c r="BV201" s="110"/>
      <c r="BW201" s="110"/>
      <c r="BX201" s="110"/>
      <c r="BY201" s="110"/>
      <c r="BZ201" s="110"/>
      <c r="CA201" s="110"/>
      <c r="CB201" s="110"/>
      <c r="CC201" s="110"/>
      <c r="CD201" s="110"/>
      <c r="CE201" s="110"/>
      <c r="CF201" s="110"/>
    </row>
    <row r="202" spans="1:84" s="45" customFormat="1" x14ac:dyDescent="0.25">
      <c r="A202" t="str">
        <f>Funktional!A202</f>
        <v>Märwil</v>
      </c>
      <c r="B202" t="str">
        <f>Funktional!B202</f>
        <v>KiGa</v>
      </c>
      <c r="C202">
        <v>0.12640000000000001</v>
      </c>
      <c r="D202">
        <v>3.78E-2</v>
      </c>
      <c r="E202" s="26">
        <f t="shared" si="68"/>
        <v>3034713.88</v>
      </c>
      <c r="F202">
        <v>1720901</v>
      </c>
      <c r="G202">
        <v>1313812.8799999999</v>
      </c>
      <c r="H202">
        <v>3040.65</v>
      </c>
      <c r="I202" s="42">
        <f t="shared" si="69"/>
        <v>1.0019560723793835E-3</v>
      </c>
      <c r="J202" s="80">
        <f t="shared" si="70"/>
        <v>19915</v>
      </c>
      <c r="K202" s="43">
        <f>J202*'KiGa - PS'!L203</f>
        <v>5607.1930550324469</v>
      </c>
      <c r="L202" s="42">
        <f>K202/Funktional!E202</f>
        <v>1.5541851897147387E-2</v>
      </c>
      <c r="M202">
        <v>70</v>
      </c>
      <c r="N202" s="43">
        <f>K202/Funktional!C202</f>
        <v>2803.5965275162234</v>
      </c>
      <c r="O202" s="44">
        <f>K202/Funktional!D202</f>
        <v>105.7960953779707</v>
      </c>
      <c r="P202">
        <v>5193</v>
      </c>
      <c r="Q202">
        <v>0</v>
      </c>
      <c r="R202">
        <v>1526</v>
      </c>
      <c r="S202" s="43">
        <f t="shared" si="71"/>
        <v>6719</v>
      </c>
      <c r="T202">
        <v>8830</v>
      </c>
      <c r="U202">
        <v>0</v>
      </c>
      <c r="V202">
        <v>4366</v>
      </c>
      <c r="W202" s="43">
        <f t="shared" si="72"/>
        <v>13196</v>
      </c>
      <c r="X202">
        <v>0</v>
      </c>
      <c r="Y202" s="110"/>
      <c r="Z202" s="110"/>
      <c r="AA202" s="110"/>
      <c r="AB202" s="110"/>
      <c r="AC202" s="110"/>
      <c r="AD202" s="110"/>
      <c r="AE202" s="110"/>
      <c r="AF202" s="110"/>
      <c r="AG202" s="110"/>
      <c r="AH202" s="110"/>
      <c r="AI202" s="110"/>
      <c r="AJ202" s="110"/>
      <c r="AK202" s="110"/>
      <c r="AL202" s="110"/>
      <c r="AM202" s="110"/>
      <c r="AN202" s="110"/>
      <c r="AO202" s="110"/>
      <c r="AP202" s="110"/>
      <c r="AQ202" s="110"/>
      <c r="AR202" s="110"/>
      <c r="AS202" s="110"/>
      <c r="AT202" s="110"/>
      <c r="AU202" s="110"/>
      <c r="AV202" s="110"/>
      <c r="AW202" s="110"/>
      <c r="AX202" s="110"/>
      <c r="AY202" s="110"/>
      <c r="AZ202" s="110"/>
      <c r="BA202" s="110"/>
      <c r="BB202" s="110"/>
      <c r="BC202" s="110"/>
      <c r="BD202" s="110"/>
      <c r="BE202" s="110"/>
      <c r="BF202" s="110"/>
      <c r="BG202" s="110"/>
      <c r="BH202" s="110"/>
      <c r="BI202" s="110"/>
      <c r="BJ202" s="110"/>
      <c r="BK202" s="110"/>
      <c r="BL202" s="110"/>
      <c r="BM202" s="110"/>
      <c r="BN202" s="110"/>
      <c r="BO202" s="110"/>
      <c r="BP202" s="110"/>
      <c r="BQ202" s="110"/>
      <c r="BR202" s="110"/>
      <c r="BS202" s="110"/>
      <c r="BT202" s="110"/>
      <c r="BU202" s="110"/>
      <c r="BV202" s="110"/>
      <c r="BW202" s="110"/>
      <c r="BX202" s="110"/>
      <c r="BY202" s="110"/>
      <c r="BZ202" s="110"/>
      <c r="CA202" s="110"/>
      <c r="CB202" s="110"/>
      <c r="CC202" s="110"/>
      <c r="CD202" s="110"/>
      <c r="CE202" s="110"/>
      <c r="CF202" s="110"/>
    </row>
    <row r="203" spans="1:84" s="45" customFormat="1" x14ac:dyDescent="0.25">
      <c r="A203" t="str">
        <f>Funktional!A203</f>
        <v>Mattwil-Birwinken-Happerswil</v>
      </c>
      <c r="B203" t="str">
        <f>Funktional!B203</f>
        <v>KiGa</v>
      </c>
      <c r="C203">
        <v>1.6400000000000001E-2</v>
      </c>
      <c r="D203">
        <v>-5.1999999999999998E-3</v>
      </c>
      <c r="E203" s="26">
        <f t="shared" ref="E203:E209" si="73">F203+G203</f>
        <v>738026.54999999993</v>
      </c>
      <c r="F203">
        <v>555678.94999999995</v>
      </c>
      <c r="G203">
        <v>182347.6</v>
      </c>
      <c r="H203">
        <v>19289</v>
      </c>
      <c r="I203" s="42">
        <f t="shared" si="69"/>
        <v>2.6135916113044989E-2</v>
      </c>
      <c r="J203" s="80">
        <f t="shared" si="70"/>
        <v>15956</v>
      </c>
      <c r="K203" s="43">
        <f>J203*'KiGa - PS'!L204</f>
        <v>1742.7664173112669</v>
      </c>
      <c r="L203" s="42">
        <f>K203/Funktional!E203</f>
        <v>1.990784201288295E-2</v>
      </c>
      <c r="M203">
        <v>40</v>
      </c>
      <c r="N203" s="43">
        <f>K203/Funktional!C203</f>
        <v>3485.5328346225338</v>
      </c>
      <c r="O203" s="44">
        <f>K203/Funktional!D203</f>
        <v>102.51567160654511</v>
      </c>
      <c r="P203">
        <v>4000</v>
      </c>
      <c r="Q203">
        <v>0</v>
      </c>
      <c r="R203">
        <v>2000</v>
      </c>
      <c r="S203" s="43">
        <f t="shared" si="71"/>
        <v>6000</v>
      </c>
      <c r="T203">
        <v>7226</v>
      </c>
      <c r="U203">
        <v>0</v>
      </c>
      <c r="V203">
        <v>2230</v>
      </c>
      <c r="W203" s="43">
        <f t="shared" si="72"/>
        <v>9456</v>
      </c>
      <c r="X203">
        <v>500</v>
      </c>
      <c r="Y203" s="110"/>
      <c r="Z203" s="110"/>
      <c r="AA203" s="110"/>
      <c r="AB203" s="110"/>
      <c r="AC203" s="110"/>
      <c r="AD203" s="110"/>
      <c r="AE203" s="110"/>
      <c r="AF203" s="110"/>
      <c r="AG203" s="110"/>
      <c r="AH203" s="110"/>
      <c r="AI203" s="110"/>
      <c r="AJ203" s="110"/>
      <c r="AK203" s="110"/>
      <c r="AL203" s="110"/>
      <c r="AM203" s="110"/>
      <c r="AN203" s="110"/>
      <c r="AO203" s="110"/>
      <c r="AP203" s="110"/>
      <c r="AQ203" s="110"/>
      <c r="AR203" s="110"/>
      <c r="AS203" s="110"/>
      <c r="AT203" s="110"/>
      <c r="AU203" s="110"/>
      <c r="AV203" s="110"/>
      <c r="AW203" s="110"/>
      <c r="AX203" s="110"/>
      <c r="AY203" s="110"/>
      <c r="AZ203" s="110"/>
      <c r="BA203" s="110"/>
      <c r="BB203" s="110"/>
      <c r="BC203" s="110"/>
      <c r="BD203" s="110"/>
      <c r="BE203" s="110"/>
      <c r="BF203" s="110"/>
      <c r="BG203" s="110"/>
      <c r="BH203" s="110"/>
      <c r="BI203" s="110"/>
      <c r="BJ203" s="110"/>
      <c r="BK203" s="110"/>
      <c r="BL203" s="110"/>
      <c r="BM203" s="110"/>
      <c r="BN203" s="110"/>
      <c r="BO203" s="110"/>
      <c r="BP203" s="110"/>
      <c r="BQ203" s="110"/>
      <c r="BR203" s="110"/>
      <c r="BS203" s="110"/>
      <c r="BT203" s="110"/>
      <c r="BU203" s="110"/>
      <c r="BV203" s="110"/>
      <c r="BW203" s="110"/>
      <c r="BX203" s="110"/>
      <c r="BY203" s="110"/>
      <c r="BZ203" s="110"/>
      <c r="CA203" s="110"/>
      <c r="CB203" s="110"/>
      <c r="CC203" s="110"/>
      <c r="CD203" s="110"/>
      <c r="CE203" s="110"/>
      <c r="CF203" s="110"/>
    </row>
    <row r="204" spans="1:84" s="45" customFormat="1" x14ac:dyDescent="0.25">
      <c r="A204" t="str">
        <f>Funktional!A204</f>
        <v>Matzingen</v>
      </c>
      <c r="B204" t="str">
        <f>Funktional!B204</f>
        <v>KiGa</v>
      </c>
      <c r="C204">
        <v>9.1600000000000001E-2</v>
      </c>
      <c r="D204">
        <v>9.7199999999999995E-2</v>
      </c>
      <c r="E204" s="26">
        <f t="shared" si="73"/>
        <v>12960320.5</v>
      </c>
      <c r="F204">
        <v>10891281.1</v>
      </c>
      <c r="G204">
        <v>2069039.4</v>
      </c>
      <c r="H204">
        <v>81739.5</v>
      </c>
      <c r="I204" s="42">
        <f t="shared" si="69"/>
        <v>6.3069042158332431E-3</v>
      </c>
      <c r="J204" s="80">
        <f t="shared" si="70"/>
        <v>60200</v>
      </c>
      <c r="K204" s="43">
        <f>J204*'KiGa - PS'!L205</f>
        <v>12927.761246283686</v>
      </c>
      <c r="L204" s="42">
        <f>K204/Funktional!E204</f>
        <v>2.2040469303832001E-2</v>
      </c>
      <c r="M204">
        <v>70</v>
      </c>
      <c r="N204" s="43">
        <f>K204/Funktional!C204</f>
        <v>3231.9403115709215</v>
      </c>
      <c r="O204" s="44">
        <f>K204/Funktional!D204</f>
        <v>192.95166039229383</v>
      </c>
      <c r="P204">
        <v>13000</v>
      </c>
      <c r="Q204">
        <v>0</v>
      </c>
      <c r="R204">
        <v>1800</v>
      </c>
      <c r="S204" s="43">
        <f t="shared" si="71"/>
        <v>14800</v>
      </c>
      <c r="T204">
        <v>27000</v>
      </c>
      <c r="U204">
        <v>0</v>
      </c>
      <c r="V204">
        <v>2400</v>
      </c>
      <c r="W204" s="43">
        <f t="shared" si="72"/>
        <v>29400</v>
      </c>
      <c r="X204">
        <v>16000</v>
      </c>
      <c r="Y204" s="110"/>
      <c r="Z204" s="110"/>
      <c r="AA204" s="110"/>
      <c r="AB204" s="110"/>
      <c r="AC204" s="110"/>
      <c r="AD204" s="110"/>
      <c r="AE204" s="110"/>
      <c r="AF204" s="110"/>
      <c r="AG204" s="110"/>
      <c r="AH204" s="110"/>
      <c r="AI204" s="110"/>
      <c r="AJ204" s="110"/>
      <c r="AK204" s="110"/>
      <c r="AL204" s="110"/>
      <c r="AM204" s="110"/>
      <c r="AN204" s="110"/>
      <c r="AO204" s="110"/>
      <c r="AP204" s="110"/>
      <c r="AQ204" s="110"/>
      <c r="AR204" s="110"/>
      <c r="AS204" s="110"/>
      <c r="AT204" s="110"/>
      <c r="AU204" s="110"/>
      <c r="AV204" s="110"/>
      <c r="AW204" s="110"/>
      <c r="AX204" s="110"/>
      <c r="AY204" s="110"/>
      <c r="AZ204" s="110"/>
      <c r="BA204" s="110"/>
      <c r="BB204" s="110"/>
      <c r="BC204" s="110"/>
      <c r="BD204" s="110"/>
      <c r="BE204" s="110"/>
      <c r="BF204" s="110"/>
      <c r="BG204" s="110"/>
      <c r="BH204" s="110"/>
      <c r="BI204" s="110"/>
      <c r="BJ204" s="110"/>
      <c r="BK204" s="110"/>
      <c r="BL204" s="110"/>
      <c r="BM204" s="110"/>
      <c r="BN204" s="110"/>
      <c r="BO204" s="110"/>
      <c r="BP204" s="110"/>
      <c r="BQ204" s="110"/>
      <c r="BR204" s="110"/>
      <c r="BS204" s="110"/>
      <c r="BT204" s="110"/>
      <c r="BU204" s="110"/>
      <c r="BV204" s="110"/>
      <c r="BW204" s="110"/>
      <c r="BX204" s="110"/>
      <c r="BY204" s="110"/>
      <c r="BZ204" s="110"/>
      <c r="CA204" s="110"/>
      <c r="CB204" s="110"/>
      <c r="CC204" s="110"/>
      <c r="CD204" s="110"/>
      <c r="CE204" s="110"/>
      <c r="CF204" s="110"/>
    </row>
    <row r="205" spans="1:84" s="45" customFormat="1" x14ac:dyDescent="0.25">
      <c r="A205" t="str">
        <f>Funktional!A205</f>
        <v>Mauren</v>
      </c>
      <c r="B205" t="str">
        <f>Funktional!B205</f>
        <v>KiGa</v>
      </c>
      <c r="C205">
        <v>0.17580000000000001</v>
      </c>
      <c r="D205">
        <v>5.5E-2</v>
      </c>
      <c r="E205" s="26">
        <f t="shared" si="73"/>
        <v>2536954.1</v>
      </c>
      <c r="F205">
        <v>2025745</v>
      </c>
      <c r="G205">
        <v>511209.1</v>
      </c>
      <c r="H205">
        <v>13670.8</v>
      </c>
      <c r="I205" s="42">
        <f t="shared" si="69"/>
        <v>5.3886666692156545E-3</v>
      </c>
      <c r="J205" s="80">
        <f t="shared" si="70"/>
        <v>13500</v>
      </c>
      <c r="K205" s="43">
        <f>J205*'KiGa - PS'!L206</f>
        <v>1783.23079915162</v>
      </c>
      <c r="L205" s="42">
        <f>K205/Funktional!E205</f>
        <v>1.479478644876467E-2</v>
      </c>
      <c r="M205">
        <v>50</v>
      </c>
      <c r="N205" s="43">
        <f>K205/Funktional!C205</f>
        <v>1783.23079915162</v>
      </c>
      <c r="O205" s="44">
        <f>K205/Funktional!D205</f>
        <v>84.915752340553325</v>
      </c>
      <c r="P205">
        <v>2000</v>
      </c>
      <c r="Q205">
        <v>500</v>
      </c>
      <c r="R205">
        <v>0</v>
      </c>
      <c r="S205" s="43">
        <f t="shared" si="71"/>
        <v>2500</v>
      </c>
      <c r="T205">
        <v>8000</v>
      </c>
      <c r="U205">
        <v>2000</v>
      </c>
      <c r="V205">
        <v>0</v>
      </c>
      <c r="W205" s="43">
        <f t="shared" si="72"/>
        <v>10000</v>
      </c>
      <c r="X205">
        <v>1000</v>
      </c>
      <c r="Y205" s="110"/>
      <c r="Z205" s="110"/>
      <c r="AA205" s="110"/>
      <c r="AB205" s="110"/>
      <c r="AC205" s="110"/>
      <c r="AD205" s="110"/>
      <c r="AE205" s="110"/>
      <c r="AF205" s="110"/>
      <c r="AG205" s="110"/>
      <c r="AH205" s="110"/>
      <c r="AI205" s="110"/>
      <c r="AJ205" s="110"/>
      <c r="AK205" s="110"/>
      <c r="AL205" s="110"/>
      <c r="AM205" s="110"/>
      <c r="AN205" s="110"/>
      <c r="AO205" s="110"/>
      <c r="AP205" s="110"/>
      <c r="AQ205" s="110"/>
      <c r="AR205" s="110"/>
      <c r="AS205" s="110"/>
      <c r="AT205" s="110"/>
      <c r="AU205" s="110"/>
      <c r="AV205" s="110"/>
      <c r="AW205" s="110"/>
      <c r="AX205" s="110"/>
      <c r="AY205" s="110"/>
      <c r="AZ205" s="110"/>
      <c r="BA205" s="110"/>
      <c r="BB205" s="110"/>
      <c r="BC205" s="110"/>
      <c r="BD205" s="110"/>
      <c r="BE205" s="110"/>
      <c r="BF205" s="110"/>
      <c r="BG205" s="110"/>
      <c r="BH205" s="110"/>
      <c r="BI205" s="110"/>
      <c r="BJ205" s="110"/>
      <c r="BK205" s="110"/>
      <c r="BL205" s="110"/>
      <c r="BM205" s="110"/>
      <c r="BN205" s="110"/>
      <c r="BO205" s="110"/>
      <c r="BP205" s="110"/>
      <c r="BQ205" s="110"/>
      <c r="BR205" s="110"/>
      <c r="BS205" s="110"/>
      <c r="BT205" s="110"/>
      <c r="BU205" s="110"/>
      <c r="BV205" s="110"/>
      <c r="BW205" s="110"/>
      <c r="BX205" s="110"/>
      <c r="BY205" s="110"/>
      <c r="BZ205" s="110"/>
      <c r="CA205" s="110"/>
      <c r="CB205" s="110"/>
      <c r="CC205" s="110"/>
      <c r="CD205" s="110"/>
      <c r="CE205" s="110"/>
      <c r="CF205" s="110"/>
    </row>
    <row r="206" spans="1:84" s="45" customFormat="1" x14ac:dyDescent="0.25">
      <c r="A206" t="str">
        <f>Funktional!A206</f>
        <v>Mettlen</v>
      </c>
      <c r="B206" t="str">
        <f>Funktional!B206</f>
        <v>KiGa</v>
      </c>
      <c r="C206">
        <v>0.13600000000000001</v>
      </c>
      <c r="D206">
        <v>0.06</v>
      </c>
      <c r="E206" s="26">
        <f t="shared" si="73"/>
        <v>1790606.7</v>
      </c>
      <c r="F206">
        <v>1333035.45</v>
      </c>
      <c r="G206">
        <v>457571.25</v>
      </c>
      <c r="H206">
        <v>21472.6</v>
      </c>
      <c r="I206" s="42">
        <f t="shared" si="69"/>
        <v>1.1991801438026563E-2</v>
      </c>
      <c r="J206" s="80">
        <f t="shared" si="70"/>
        <v>16050</v>
      </c>
      <c r="K206" s="43">
        <f>J206*'KiGa - PS'!L207</f>
        <v>2644.1948337729559</v>
      </c>
      <c r="L206" s="42">
        <f>K206/Funktional!E206</f>
        <v>2.0621326344438209E-2</v>
      </c>
      <c r="M206">
        <v>50</v>
      </c>
      <c r="N206" s="43">
        <f>K206/Funktional!C206</f>
        <v>2644.1948337729559</v>
      </c>
      <c r="O206" s="44">
        <f>K206/Funktional!D206</f>
        <v>203.39960259791968</v>
      </c>
      <c r="P206">
        <v>2700</v>
      </c>
      <c r="Q206">
        <v>0</v>
      </c>
      <c r="R206">
        <v>1600</v>
      </c>
      <c r="S206" s="43">
        <f t="shared" si="71"/>
        <v>4300</v>
      </c>
      <c r="T206">
        <v>6400</v>
      </c>
      <c r="U206">
        <v>0</v>
      </c>
      <c r="V206">
        <v>1500</v>
      </c>
      <c r="W206" s="43">
        <f t="shared" si="72"/>
        <v>7900</v>
      </c>
      <c r="X206">
        <v>3850</v>
      </c>
      <c r="Y206" s="110"/>
      <c r="Z206" s="110"/>
      <c r="AA206" s="110"/>
      <c r="AB206" s="110"/>
      <c r="AC206" s="110"/>
      <c r="AD206" s="110"/>
      <c r="AE206" s="110"/>
      <c r="AF206" s="110"/>
      <c r="AG206" s="110"/>
      <c r="AH206" s="110"/>
      <c r="AI206" s="110"/>
      <c r="AJ206" s="110"/>
      <c r="AK206" s="110"/>
      <c r="AL206" s="110"/>
      <c r="AM206" s="110"/>
      <c r="AN206" s="110"/>
      <c r="AO206" s="110"/>
      <c r="AP206" s="110"/>
      <c r="AQ206" s="110"/>
      <c r="AR206" s="110"/>
      <c r="AS206" s="110"/>
      <c r="AT206" s="110"/>
      <c r="AU206" s="110"/>
      <c r="AV206" s="110"/>
      <c r="AW206" s="110"/>
      <c r="AX206" s="110"/>
      <c r="AY206" s="110"/>
      <c r="AZ206" s="110"/>
      <c r="BA206" s="110"/>
      <c r="BB206" s="110"/>
      <c r="BC206" s="110"/>
      <c r="BD206" s="110"/>
      <c r="BE206" s="110"/>
      <c r="BF206" s="110"/>
      <c r="BG206" s="110"/>
      <c r="BH206" s="110"/>
      <c r="BI206" s="110"/>
      <c r="BJ206" s="110"/>
      <c r="BK206" s="110"/>
      <c r="BL206" s="110"/>
      <c r="BM206" s="110"/>
      <c r="BN206" s="110"/>
      <c r="BO206" s="110"/>
      <c r="BP206" s="110"/>
      <c r="BQ206" s="110"/>
      <c r="BR206" s="110"/>
      <c r="BS206" s="110"/>
      <c r="BT206" s="110"/>
      <c r="BU206" s="110"/>
      <c r="BV206" s="110"/>
      <c r="BW206" s="110"/>
      <c r="BX206" s="110"/>
      <c r="BY206" s="110"/>
      <c r="BZ206" s="110"/>
      <c r="CA206" s="110"/>
      <c r="CB206" s="110"/>
      <c r="CC206" s="110"/>
      <c r="CD206" s="110"/>
      <c r="CE206" s="110"/>
      <c r="CF206" s="110"/>
    </row>
    <row r="207" spans="1:84" s="45" customFormat="1" x14ac:dyDescent="0.25">
      <c r="A207" t="str">
        <f>Funktional!A207</f>
        <v>Müllheim</v>
      </c>
      <c r="B207" t="str">
        <f>Funktional!B207</f>
        <v>KiGa</v>
      </c>
      <c r="C207">
        <v>6.1600000000000002E-2</v>
      </c>
      <c r="D207">
        <v>5.4300000000000001E-2</v>
      </c>
      <c r="E207" s="26">
        <f t="shared" si="73"/>
        <v>4440231.3</v>
      </c>
      <c r="F207">
        <v>1861311.5</v>
      </c>
      <c r="G207">
        <v>2578919.7999999998</v>
      </c>
      <c r="H207">
        <v>122639.75</v>
      </c>
      <c r="I207" s="42">
        <f t="shared" si="69"/>
        <v>2.7620126456024938E-2</v>
      </c>
      <c r="J207" s="80">
        <f t="shared" si="70"/>
        <v>62525</v>
      </c>
      <c r="K207" s="43">
        <f>J207*'KiGa - PS'!L208</f>
        <v>8796.6256227872218</v>
      </c>
      <c r="L207" s="42">
        <f>K207/Funktional!E207</f>
        <v>2.5807625972893843E-2</v>
      </c>
      <c r="M207">
        <v>70</v>
      </c>
      <c r="N207" s="43">
        <f>K207/Funktional!C207</f>
        <v>2932.2085409290739</v>
      </c>
      <c r="O207" s="44">
        <f>K207/Funktional!D207</f>
        <v>172.48285534876905</v>
      </c>
      <c r="P207">
        <v>9600</v>
      </c>
      <c r="Q207">
        <v>1000</v>
      </c>
      <c r="R207">
        <v>2400</v>
      </c>
      <c r="S207" s="43">
        <f t="shared" si="71"/>
        <v>13000</v>
      </c>
      <c r="T207">
        <v>39775</v>
      </c>
      <c r="U207">
        <v>1000</v>
      </c>
      <c r="V207">
        <v>2000</v>
      </c>
      <c r="W207" s="43">
        <f t="shared" si="72"/>
        <v>42775</v>
      </c>
      <c r="X207">
        <v>6750</v>
      </c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0"/>
      <c r="AI207" s="110"/>
      <c r="AJ207" s="110"/>
      <c r="AK207" s="110"/>
      <c r="AL207" s="110"/>
      <c r="AM207" s="110"/>
      <c r="AN207" s="110"/>
      <c r="AO207" s="110"/>
      <c r="AP207" s="110"/>
      <c r="AQ207" s="110"/>
      <c r="AR207" s="110"/>
      <c r="AS207" s="110"/>
      <c r="AT207" s="110"/>
      <c r="AU207" s="110"/>
      <c r="AV207" s="110"/>
      <c r="AW207" s="110"/>
      <c r="AX207" s="110"/>
      <c r="AY207" s="110"/>
      <c r="AZ207" s="110"/>
      <c r="BA207" s="110"/>
      <c r="BB207" s="110"/>
      <c r="BC207" s="110"/>
      <c r="BD207" s="110"/>
      <c r="BE207" s="110"/>
      <c r="BF207" s="110"/>
      <c r="BG207" s="110"/>
      <c r="BH207" s="110"/>
      <c r="BI207" s="110"/>
      <c r="BJ207" s="110"/>
      <c r="BK207" s="110"/>
      <c r="BL207" s="110"/>
      <c r="BM207" s="110"/>
      <c r="BN207" s="110"/>
      <c r="BO207" s="110"/>
      <c r="BP207" s="110"/>
      <c r="BQ207" s="110"/>
      <c r="BR207" s="110"/>
      <c r="BS207" s="110"/>
      <c r="BT207" s="110"/>
      <c r="BU207" s="110"/>
      <c r="BV207" s="110"/>
      <c r="BW207" s="110"/>
      <c r="BX207" s="110"/>
      <c r="BY207" s="110"/>
      <c r="BZ207" s="110"/>
      <c r="CA207" s="110"/>
      <c r="CB207" s="110"/>
      <c r="CC207" s="110"/>
      <c r="CD207" s="110"/>
      <c r="CE207" s="110"/>
      <c r="CF207" s="110"/>
    </row>
    <row r="208" spans="1:84" s="45" customFormat="1" x14ac:dyDescent="0.25">
      <c r="A208" t="str">
        <f>Funktional!A208</f>
        <v>Neukirch-Egnach</v>
      </c>
      <c r="B208" t="str">
        <f>Funktional!B208</f>
        <v>KiGa</v>
      </c>
      <c r="C208">
        <v>0.1855</v>
      </c>
      <c r="D208">
        <v>7.17E-2</v>
      </c>
      <c r="E208" s="26">
        <f t="shared" si="73"/>
        <v>2607935.15</v>
      </c>
      <c r="F208">
        <v>2693653</v>
      </c>
      <c r="G208">
        <v>-85717.85</v>
      </c>
      <c r="H208">
        <v>28659.95</v>
      </c>
      <c r="I208" s="42">
        <f t="shared" si="69"/>
        <v>1.0989517895028948E-2</v>
      </c>
      <c r="J208" s="80">
        <f t="shared" si="70"/>
        <v>26850</v>
      </c>
      <c r="K208" s="43">
        <f>J208*'KiGa - PS'!L209</f>
        <v>5925.8092618938235</v>
      </c>
      <c r="L208" s="42">
        <f>K208/Funktional!E208</f>
        <v>1.8515802254542007E-2</v>
      </c>
      <c r="M208">
        <v>60</v>
      </c>
      <c r="N208" s="43">
        <f>K208/Funktional!C208</f>
        <v>2962.9046309469118</v>
      </c>
      <c r="O208" s="44">
        <f>K208/Funktional!D208</f>
        <v>126.0810481254005</v>
      </c>
      <c r="P208">
        <v>5250</v>
      </c>
      <c r="Q208">
        <v>1500</v>
      </c>
      <c r="R208">
        <v>1000</v>
      </c>
      <c r="S208" s="43">
        <f t="shared" si="71"/>
        <v>7750</v>
      </c>
      <c r="T208">
        <v>12000</v>
      </c>
      <c r="U208">
        <v>1000</v>
      </c>
      <c r="V208">
        <v>2000</v>
      </c>
      <c r="W208" s="43">
        <f t="shared" si="72"/>
        <v>15000</v>
      </c>
      <c r="X208">
        <v>4100</v>
      </c>
      <c r="Y208" s="110"/>
      <c r="Z208" s="110"/>
      <c r="AA208" s="110"/>
      <c r="AB208" s="110"/>
      <c r="AC208" s="110"/>
      <c r="AD208" s="110"/>
      <c r="AE208" s="110"/>
      <c r="AF208" s="110"/>
      <c r="AG208" s="110"/>
      <c r="AH208" s="110"/>
      <c r="AI208" s="110"/>
      <c r="AJ208" s="110"/>
      <c r="AK208" s="110"/>
      <c r="AL208" s="110"/>
      <c r="AM208" s="110"/>
      <c r="AN208" s="110"/>
      <c r="AO208" s="110"/>
      <c r="AP208" s="110"/>
      <c r="AQ208" s="110"/>
      <c r="AR208" s="110"/>
      <c r="AS208" s="110"/>
      <c r="AT208" s="110"/>
      <c r="AU208" s="110"/>
      <c r="AV208" s="110"/>
      <c r="AW208" s="110"/>
      <c r="AX208" s="110"/>
      <c r="AY208" s="110"/>
      <c r="AZ208" s="110"/>
      <c r="BA208" s="110"/>
      <c r="BB208" s="110"/>
      <c r="BC208" s="110"/>
      <c r="BD208" s="110"/>
      <c r="BE208" s="110"/>
      <c r="BF208" s="110"/>
      <c r="BG208" s="110"/>
      <c r="BH208" s="110"/>
      <c r="BI208" s="110"/>
      <c r="BJ208" s="110"/>
      <c r="BK208" s="110"/>
      <c r="BL208" s="110"/>
      <c r="BM208" s="110"/>
      <c r="BN208" s="110"/>
      <c r="BO208" s="110"/>
      <c r="BP208" s="110"/>
      <c r="BQ208" s="110"/>
      <c r="BR208" s="110"/>
      <c r="BS208" s="110"/>
      <c r="BT208" s="110"/>
      <c r="BU208" s="110"/>
      <c r="BV208" s="110"/>
      <c r="BW208" s="110"/>
      <c r="BX208" s="110"/>
      <c r="BY208" s="110"/>
      <c r="BZ208" s="110"/>
      <c r="CA208" s="110"/>
      <c r="CB208" s="110"/>
      <c r="CC208" s="110"/>
      <c r="CD208" s="110"/>
      <c r="CE208" s="110"/>
      <c r="CF208" s="110"/>
    </row>
    <row r="209" spans="1:84" s="45" customFormat="1" x14ac:dyDescent="0.25">
      <c r="A209" t="str">
        <f>Funktional!A209</f>
        <v>Neuwilen</v>
      </c>
      <c r="B209" t="str">
        <f>Funktional!B209</f>
        <v>KiGa</v>
      </c>
      <c r="C209">
        <v>8.7099999999999997E-2</v>
      </c>
      <c r="D209">
        <v>5.5599999999999997E-2</v>
      </c>
      <c r="E209" s="26">
        <f t="shared" si="73"/>
        <v>852342.2</v>
      </c>
      <c r="F209">
        <v>511590</v>
      </c>
      <c r="G209">
        <v>340752.2</v>
      </c>
      <c r="H209">
        <v>7927.05</v>
      </c>
      <c r="I209" s="42">
        <f t="shared" si="69"/>
        <v>9.3003138880135231E-3</v>
      </c>
      <c r="J209" s="80">
        <f t="shared" si="70"/>
        <v>16200</v>
      </c>
      <c r="K209" s="43">
        <f>J209*'KiGa - PS'!L210</f>
        <v>5414.3576537631625</v>
      </c>
      <c r="L209" s="42">
        <f>K209/Funktional!E209</f>
        <v>1.8107109588921668E-2</v>
      </c>
      <c r="M209">
        <v>60</v>
      </c>
      <c r="N209" s="43">
        <f>K209/Funktional!C209</f>
        <v>3609.5717691754417</v>
      </c>
      <c r="O209" s="44">
        <f>K209/Funktional!D209</f>
        <v>174.65669850848911</v>
      </c>
      <c r="P209">
        <v>2400</v>
      </c>
      <c r="Q209">
        <v>600</v>
      </c>
      <c r="R209">
        <v>600</v>
      </c>
      <c r="S209" s="43">
        <f t="shared" si="71"/>
        <v>3600</v>
      </c>
      <c r="T209">
        <v>11000</v>
      </c>
      <c r="U209">
        <v>0</v>
      </c>
      <c r="V209">
        <v>600</v>
      </c>
      <c r="W209" s="43">
        <f t="shared" si="72"/>
        <v>11600</v>
      </c>
      <c r="X209">
        <v>1000</v>
      </c>
      <c r="Y209" s="110"/>
      <c r="Z209" s="110"/>
      <c r="AA209" s="110"/>
      <c r="AB209" s="110"/>
      <c r="AC209" s="110"/>
      <c r="AD209" s="110"/>
      <c r="AE209" s="110"/>
      <c r="AF209" s="110"/>
      <c r="AG209" s="110"/>
      <c r="AH209" s="110"/>
      <c r="AI209" s="110"/>
      <c r="AJ209" s="110"/>
      <c r="AK209" s="110"/>
      <c r="AL209" s="110"/>
      <c r="AM209" s="110"/>
      <c r="AN209" s="110"/>
      <c r="AO209" s="110"/>
      <c r="AP209" s="110"/>
      <c r="AQ209" s="110"/>
      <c r="AR209" s="110"/>
      <c r="AS209" s="110"/>
      <c r="AT209" s="110"/>
      <c r="AU209" s="110"/>
      <c r="AV209" s="110"/>
      <c r="AW209" s="110"/>
      <c r="AX209" s="110"/>
      <c r="AY209" s="110"/>
      <c r="AZ209" s="110"/>
      <c r="BA209" s="110"/>
      <c r="BB209" s="110"/>
      <c r="BC209" s="110"/>
      <c r="BD209" s="110"/>
      <c r="BE209" s="110"/>
      <c r="BF209" s="110"/>
      <c r="BG209" s="110"/>
      <c r="BH209" s="110"/>
      <c r="BI209" s="110"/>
      <c r="BJ209" s="110"/>
      <c r="BK209" s="110"/>
      <c r="BL209" s="110"/>
      <c r="BM209" s="110"/>
      <c r="BN209" s="110"/>
      <c r="BO209" s="110"/>
      <c r="BP209" s="110"/>
      <c r="BQ209" s="110"/>
      <c r="BR209" s="110"/>
      <c r="BS209" s="110"/>
      <c r="BT209" s="110"/>
      <c r="BU209" s="110"/>
      <c r="BV209" s="110"/>
      <c r="BW209" s="110"/>
      <c r="BX209" s="110"/>
      <c r="BY209" s="110"/>
      <c r="BZ209" s="110"/>
      <c r="CA209" s="110"/>
      <c r="CB209" s="110"/>
      <c r="CC209" s="110"/>
      <c r="CD209" s="110"/>
      <c r="CE209" s="110"/>
      <c r="CF209" s="110"/>
    </row>
    <row r="210" spans="1:84" s="45" customFormat="1" x14ac:dyDescent="0.25">
      <c r="A210" t="str">
        <f>Funktional!A210</f>
        <v>Nussbaumen</v>
      </c>
      <c r="B210" t="str">
        <f>Funktional!B210</f>
        <v>KiGa</v>
      </c>
      <c r="C210">
        <v>0.24440000000000001</v>
      </c>
      <c r="D210">
        <v>0.1011</v>
      </c>
      <c r="E210" s="26">
        <f t="shared" ref="E210:E225" si="74">F210+G210</f>
        <v>3615628.34</v>
      </c>
      <c r="F210">
        <v>1977965</v>
      </c>
      <c r="G210">
        <v>1637663.34</v>
      </c>
      <c r="H210">
        <v>35206.400000000001</v>
      </c>
      <c r="I210" s="42">
        <f t="shared" si="69"/>
        <v>9.7372840041407577E-3</v>
      </c>
      <c r="J210" s="80">
        <f t="shared" si="70"/>
        <v>8850</v>
      </c>
      <c r="K210" s="43">
        <f>J210*'KiGa - PS'!L211</f>
        <v>1528.8791287278741</v>
      </c>
      <c r="L210" s="42">
        <f>K210/Funktional!E210</f>
        <v>1.101327684746008E-2</v>
      </c>
      <c r="M210">
        <v>70</v>
      </c>
      <c r="N210" s="43">
        <f>K210/Funktional!C210</f>
        <v>3057.7582574557482</v>
      </c>
      <c r="O210" s="44">
        <f>K210/Funktional!D210</f>
        <v>117.60608682522108</v>
      </c>
      <c r="P210">
        <v>2000</v>
      </c>
      <c r="Q210">
        <v>0</v>
      </c>
      <c r="R210">
        <v>300</v>
      </c>
      <c r="S210" s="43">
        <f t="shared" si="71"/>
        <v>2300</v>
      </c>
      <c r="T210">
        <v>5000</v>
      </c>
      <c r="U210">
        <v>0</v>
      </c>
      <c r="V210">
        <v>300</v>
      </c>
      <c r="W210" s="43">
        <f t="shared" si="72"/>
        <v>5300</v>
      </c>
      <c r="X210">
        <v>1250</v>
      </c>
      <c r="Y210" s="110"/>
      <c r="Z210" s="110"/>
      <c r="AA210" s="110"/>
      <c r="AB210" s="110"/>
      <c r="AC210" s="110"/>
      <c r="AD210" s="110"/>
      <c r="AE210" s="110"/>
      <c r="AF210" s="110"/>
      <c r="AG210" s="110"/>
      <c r="AH210" s="110"/>
      <c r="AI210" s="110"/>
      <c r="AJ210" s="110"/>
      <c r="AK210" s="110"/>
      <c r="AL210" s="110"/>
      <c r="AM210" s="110"/>
      <c r="AN210" s="110"/>
      <c r="AO210" s="110"/>
      <c r="AP210" s="110"/>
      <c r="AQ210" s="110"/>
      <c r="AR210" s="110"/>
      <c r="AS210" s="110"/>
      <c r="AT210" s="110"/>
      <c r="AU210" s="110"/>
      <c r="AV210" s="110"/>
      <c r="AW210" s="110"/>
      <c r="AX210" s="110"/>
      <c r="AY210" s="110"/>
      <c r="AZ210" s="110"/>
      <c r="BA210" s="110"/>
      <c r="BB210" s="110"/>
      <c r="BC210" s="110"/>
      <c r="BD210" s="110"/>
      <c r="BE210" s="110"/>
      <c r="BF210" s="110"/>
      <c r="BG210" s="110"/>
      <c r="BH210" s="110"/>
      <c r="BI210" s="110"/>
      <c r="BJ210" s="110"/>
      <c r="BK210" s="110"/>
      <c r="BL210" s="110"/>
      <c r="BM210" s="110"/>
      <c r="BN210" s="110"/>
      <c r="BO210" s="110"/>
      <c r="BP210" s="110"/>
      <c r="BQ210" s="110"/>
      <c r="BR210" s="110"/>
      <c r="BS210" s="110"/>
      <c r="BT210" s="110"/>
      <c r="BU210" s="110"/>
      <c r="BV210" s="110"/>
      <c r="BW210" s="110"/>
      <c r="BX210" s="110"/>
      <c r="BY210" s="110"/>
      <c r="BZ210" s="110"/>
      <c r="CA210" s="110"/>
      <c r="CB210" s="110"/>
      <c r="CC210" s="110"/>
      <c r="CD210" s="110"/>
      <c r="CE210" s="110"/>
      <c r="CF210" s="110"/>
    </row>
    <row r="211" spans="1:84" s="45" customFormat="1" x14ac:dyDescent="0.25">
      <c r="A211" t="str">
        <f>Funktional!A211</f>
        <v>Oberhofen-Lengwil</v>
      </c>
      <c r="B211" t="str">
        <f>Funktional!B211</f>
        <v>KiGa</v>
      </c>
      <c r="C211">
        <v>0.18970000000000001</v>
      </c>
      <c r="D211">
        <v>0.1008</v>
      </c>
      <c r="E211" s="26">
        <f t="shared" si="74"/>
        <v>3158668.9</v>
      </c>
      <c r="F211">
        <v>1772400</v>
      </c>
      <c r="G211">
        <v>1386268.9</v>
      </c>
      <c r="H211">
        <v>31802.15</v>
      </c>
      <c r="I211" s="42">
        <f t="shared" si="69"/>
        <v>1.0068212594235503E-2</v>
      </c>
      <c r="J211" s="80">
        <f t="shared" si="70"/>
        <v>12000</v>
      </c>
      <c r="K211" s="43">
        <f>J211*'KiGa - PS'!L212</f>
        <v>2726.9928895662579</v>
      </c>
      <c r="L211" s="42">
        <f>K211/Funktional!E211</f>
        <v>1.076088466846992E-2</v>
      </c>
      <c r="M211">
        <v>40</v>
      </c>
      <c r="N211" s="43">
        <f>K211/Funktional!C211</f>
        <v>1363.4964447831289</v>
      </c>
      <c r="O211" s="44">
        <f>K211/Funktional!D211</f>
        <v>77.914082559035933</v>
      </c>
      <c r="P211">
        <v>3600</v>
      </c>
      <c r="Q211">
        <v>600</v>
      </c>
      <c r="R211">
        <v>1800</v>
      </c>
      <c r="S211" s="43">
        <f t="shared" si="71"/>
        <v>6000</v>
      </c>
      <c r="T211">
        <v>3600</v>
      </c>
      <c r="U211">
        <v>600</v>
      </c>
      <c r="V211">
        <v>1800</v>
      </c>
      <c r="W211" s="43">
        <f t="shared" si="72"/>
        <v>6000</v>
      </c>
      <c r="X211">
        <v>0</v>
      </c>
      <c r="Y211" s="110"/>
      <c r="Z211" s="110"/>
      <c r="AA211" s="110"/>
      <c r="AB211" s="110"/>
      <c r="AC211" s="110"/>
      <c r="AD211" s="110"/>
      <c r="AE211" s="110"/>
      <c r="AF211" s="110"/>
      <c r="AG211" s="110"/>
      <c r="AH211" s="110"/>
      <c r="AI211" s="110"/>
      <c r="AJ211" s="110"/>
      <c r="AK211" s="110"/>
      <c r="AL211" s="110"/>
      <c r="AM211" s="110"/>
      <c r="AN211" s="110"/>
      <c r="AO211" s="110"/>
      <c r="AP211" s="110"/>
      <c r="AQ211" s="110"/>
      <c r="AR211" s="110"/>
      <c r="AS211" s="110"/>
      <c r="AT211" s="110"/>
      <c r="AU211" s="110"/>
      <c r="AV211" s="110"/>
      <c r="AW211" s="110"/>
      <c r="AX211" s="110"/>
      <c r="AY211" s="110"/>
      <c r="AZ211" s="110"/>
      <c r="BA211" s="110"/>
      <c r="BB211" s="110"/>
      <c r="BC211" s="110"/>
      <c r="BD211" s="110"/>
      <c r="BE211" s="110"/>
      <c r="BF211" s="110"/>
      <c r="BG211" s="110"/>
      <c r="BH211" s="110"/>
      <c r="BI211" s="110"/>
      <c r="BJ211" s="110"/>
      <c r="BK211" s="110"/>
      <c r="BL211" s="110"/>
      <c r="BM211" s="110"/>
      <c r="BN211" s="110"/>
      <c r="BO211" s="110"/>
      <c r="BP211" s="110"/>
      <c r="BQ211" s="110"/>
      <c r="BR211" s="110"/>
      <c r="BS211" s="110"/>
      <c r="BT211" s="110"/>
      <c r="BU211" s="110"/>
      <c r="BV211" s="110"/>
      <c r="BW211" s="110"/>
      <c r="BX211" s="110"/>
      <c r="BY211" s="110"/>
      <c r="BZ211" s="110"/>
      <c r="CA211" s="110"/>
      <c r="CB211" s="110"/>
      <c r="CC211" s="110"/>
      <c r="CD211" s="110"/>
      <c r="CE211" s="110"/>
      <c r="CF211" s="110"/>
    </row>
    <row r="212" spans="1:84" s="45" customFormat="1" x14ac:dyDescent="0.25">
      <c r="A212" t="str">
        <f>Funktional!A212</f>
        <v>Ottoberg</v>
      </c>
      <c r="B212" t="str">
        <f>Funktional!B212</f>
        <v>KiGa</v>
      </c>
      <c r="C212">
        <v>0.37259999999999999</v>
      </c>
      <c r="D212">
        <v>0.15129999999999999</v>
      </c>
      <c r="E212" s="26">
        <f t="shared" si="74"/>
        <v>4770055.62</v>
      </c>
      <c r="F212">
        <v>3774150.85</v>
      </c>
      <c r="G212">
        <v>995904.77</v>
      </c>
      <c r="H212">
        <v>31923.8</v>
      </c>
      <c r="I212" s="42">
        <f t="shared" si="69"/>
        <v>6.6925425075022495E-3</v>
      </c>
      <c r="J212" s="80">
        <f t="shared" si="70"/>
        <v>13628</v>
      </c>
      <c r="K212" s="43">
        <f>J212*'KiGa - PS'!L213</f>
        <v>2826.7811371324956</v>
      </c>
      <c r="L212" s="42">
        <f>K212/Funktional!E212</f>
        <v>1.3846855786795405E-2</v>
      </c>
      <c r="M212">
        <v>35</v>
      </c>
      <c r="N212" s="43">
        <f>K212/Funktional!C212</f>
        <v>2826.7811371324956</v>
      </c>
      <c r="O212" s="44">
        <f>K212/Funktional!D212</f>
        <v>176.67382107078097</v>
      </c>
      <c r="P212">
        <v>3000</v>
      </c>
      <c r="Q212">
        <v>0</v>
      </c>
      <c r="R212">
        <v>1000</v>
      </c>
      <c r="S212" s="43">
        <f t="shared" si="71"/>
        <v>4000</v>
      </c>
      <c r="T212">
        <v>8128</v>
      </c>
      <c r="U212">
        <v>0</v>
      </c>
      <c r="V212">
        <v>1000</v>
      </c>
      <c r="W212" s="43">
        <f t="shared" si="72"/>
        <v>9128</v>
      </c>
      <c r="X212">
        <v>500</v>
      </c>
      <c r="Y212" s="110"/>
      <c r="Z212" s="110"/>
      <c r="AA212" s="110"/>
      <c r="AB212" s="110"/>
      <c r="AC212" s="110"/>
      <c r="AD212" s="110"/>
      <c r="AE212" s="110"/>
      <c r="AF212" s="110"/>
      <c r="AG212" s="110"/>
      <c r="AH212" s="110"/>
      <c r="AI212" s="110"/>
      <c r="AJ212" s="110"/>
      <c r="AK212" s="110"/>
      <c r="AL212" s="110"/>
      <c r="AM212" s="110"/>
      <c r="AN212" s="110"/>
      <c r="AO212" s="110"/>
      <c r="AP212" s="110"/>
      <c r="AQ212" s="110"/>
      <c r="AR212" s="110"/>
      <c r="AS212" s="110"/>
      <c r="AT212" s="110"/>
      <c r="AU212" s="110"/>
      <c r="AV212" s="110"/>
      <c r="AW212" s="110"/>
      <c r="AX212" s="110"/>
      <c r="AY212" s="110"/>
      <c r="AZ212" s="110"/>
      <c r="BA212" s="110"/>
      <c r="BB212" s="110"/>
      <c r="BC212" s="110"/>
      <c r="BD212" s="110"/>
      <c r="BE212" s="110"/>
      <c r="BF212" s="110"/>
      <c r="BG212" s="110"/>
      <c r="BH212" s="110"/>
      <c r="BI212" s="110"/>
      <c r="BJ212" s="110"/>
      <c r="BK212" s="110"/>
      <c r="BL212" s="110"/>
      <c r="BM212" s="110"/>
      <c r="BN212" s="110"/>
      <c r="BO212" s="110"/>
      <c r="BP212" s="110"/>
      <c r="BQ212" s="110"/>
      <c r="BR212" s="110"/>
      <c r="BS212" s="110"/>
      <c r="BT212" s="110"/>
      <c r="BU212" s="110"/>
      <c r="BV212" s="110"/>
      <c r="BW212" s="110"/>
      <c r="BX212" s="110"/>
      <c r="BY212" s="110"/>
      <c r="BZ212" s="110"/>
      <c r="CA212" s="110"/>
      <c r="CB212" s="110"/>
      <c r="CC212" s="110"/>
      <c r="CD212" s="110"/>
      <c r="CE212" s="110"/>
      <c r="CF212" s="110"/>
    </row>
    <row r="213" spans="1:84" s="45" customFormat="1" x14ac:dyDescent="0.25">
      <c r="A213" t="str">
        <f>Funktional!A213</f>
        <v>Pfyn</v>
      </c>
      <c r="B213" t="str">
        <f>Funktional!B213</f>
        <v>KiGa</v>
      </c>
      <c r="C213">
        <v>0.1012</v>
      </c>
      <c r="D213">
        <v>5.8099999999999999E-2</v>
      </c>
      <c r="E213" s="26">
        <f t="shared" si="74"/>
        <v>4426975.0999999996</v>
      </c>
      <c r="F213">
        <v>2421438.35</v>
      </c>
      <c r="G213">
        <v>2005536.75</v>
      </c>
      <c r="H213">
        <v>90640.65</v>
      </c>
      <c r="I213" s="42">
        <f t="shared" si="69"/>
        <v>2.0474623857721721E-2</v>
      </c>
      <c r="J213" s="80">
        <f t="shared" si="70"/>
        <v>63647</v>
      </c>
      <c r="K213" s="43">
        <f>J213*'KiGa - PS'!L214</f>
        <v>6053.7082542145863</v>
      </c>
      <c r="L213" s="42">
        <f>K213/Funktional!E213</f>
        <v>2.9514080734947771E-2</v>
      </c>
      <c r="M213">
        <v>60</v>
      </c>
      <c r="N213" s="43">
        <f>K213/Funktional!C213</f>
        <v>3026.8541271072932</v>
      </c>
      <c r="O213" s="44">
        <f>K213/Funktional!D213</f>
        <v>183.44570467316927</v>
      </c>
      <c r="P213">
        <v>8592</v>
      </c>
      <c r="Q213">
        <v>3000</v>
      </c>
      <c r="R213">
        <v>3685.2</v>
      </c>
      <c r="S213" s="43">
        <f t="shared" si="71"/>
        <v>15277.2</v>
      </c>
      <c r="T213">
        <v>29999.4</v>
      </c>
      <c r="U213">
        <v>3000</v>
      </c>
      <c r="V213">
        <v>7370.4</v>
      </c>
      <c r="W213" s="43">
        <f t="shared" si="72"/>
        <v>40369.800000000003</v>
      </c>
      <c r="X213">
        <v>8000</v>
      </c>
      <c r="Y213" s="110"/>
      <c r="Z213" s="110"/>
      <c r="AA213" s="110"/>
      <c r="AB213" s="110"/>
      <c r="AC213" s="110"/>
      <c r="AD213" s="110"/>
      <c r="AE213" s="110"/>
      <c r="AF213" s="110"/>
      <c r="AG213" s="110"/>
      <c r="AH213" s="110"/>
      <c r="AI213" s="110"/>
      <c r="AJ213" s="110"/>
      <c r="AK213" s="110"/>
      <c r="AL213" s="110"/>
      <c r="AM213" s="110"/>
      <c r="AN213" s="110"/>
      <c r="AO213" s="110"/>
      <c r="AP213" s="110"/>
      <c r="AQ213" s="110"/>
      <c r="AR213" s="110"/>
      <c r="AS213" s="110"/>
      <c r="AT213" s="110"/>
      <c r="AU213" s="110"/>
      <c r="AV213" s="110"/>
      <c r="AW213" s="110"/>
      <c r="AX213" s="110"/>
      <c r="AY213" s="110"/>
      <c r="AZ213" s="110"/>
      <c r="BA213" s="110"/>
      <c r="BB213" s="110"/>
      <c r="BC213" s="110"/>
      <c r="BD213" s="110"/>
      <c r="BE213" s="110"/>
      <c r="BF213" s="110"/>
      <c r="BG213" s="110"/>
      <c r="BH213" s="110"/>
      <c r="BI213" s="110"/>
      <c r="BJ213" s="110"/>
      <c r="BK213" s="110"/>
      <c r="BL213" s="110"/>
      <c r="BM213" s="110"/>
      <c r="BN213" s="110"/>
      <c r="BO213" s="110"/>
      <c r="BP213" s="110"/>
      <c r="BQ213" s="110"/>
      <c r="BR213" s="110"/>
      <c r="BS213" s="110"/>
      <c r="BT213" s="110"/>
      <c r="BU213" s="110"/>
      <c r="BV213" s="110"/>
      <c r="BW213" s="110"/>
      <c r="BX213" s="110"/>
      <c r="BY213" s="110"/>
      <c r="BZ213" s="110"/>
      <c r="CA213" s="110"/>
      <c r="CB213" s="110"/>
      <c r="CC213" s="110"/>
      <c r="CD213" s="110"/>
      <c r="CE213" s="110"/>
      <c r="CF213" s="110"/>
    </row>
    <row r="214" spans="1:84" s="45" customFormat="1" x14ac:dyDescent="0.25">
      <c r="A214" t="str">
        <f>Funktional!A214</f>
        <v>Raperswilen-Illhart</v>
      </c>
      <c r="B214" t="str">
        <f>Funktional!B214</f>
        <v>KiGa</v>
      </c>
      <c r="C214">
        <v>9.7600000000000006E-2</v>
      </c>
      <c r="D214">
        <v>1.8700000000000001E-2</v>
      </c>
      <c r="E214" s="26">
        <f t="shared" si="74"/>
        <v>1833953.3499999999</v>
      </c>
      <c r="F214">
        <v>1190659.3999999999</v>
      </c>
      <c r="G214">
        <v>643293.94999999995</v>
      </c>
      <c r="H214">
        <v>43726.2</v>
      </c>
      <c r="I214" s="42">
        <f t="shared" si="69"/>
        <v>2.3842591197862258E-2</v>
      </c>
      <c r="J214" s="80">
        <f t="shared" si="70"/>
        <v>9200</v>
      </c>
      <c r="K214" s="43">
        <f>J214*'KiGa - PS'!L215</f>
        <v>1942.3733711363009</v>
      </c>
      <c r="L214" s="42">
        <f>K214/Funktional!E214</f>
        <v>1.3049727760692957E-2</v>
      </c>
      <c r="M214">
        <v>70</v>
      </c>
      <c r="N214" s="43">
        <f>K214/Funktional!C214</f>
        <v>1942.3733711363009</v>
      </c>
      <c r="O214" s="44">
        <f>K214/Funktional!D214</f>
        <v>84.451016136360906</v>
      </c>
      <c r="P214">
        <v>1500</v>
      </c>
      <c r="Q214">
        <v>0</v>
      </c>
      <c r="R214">
        <v>500</v>
      </c>
      <c r="S214" s="43">
        <f t="shared" si="71"/>
        <v>2000</v>
      </c>
      <c r="T214">
        <v>5000</v>
      </c>
      <c r="U214">
        <v>0</v>
      </c>
      <c r="V214">
        <v>1500</v>
      </c>
      <c r="W214" s="43">
        <f t="shared" si="72"/>
        <v>6500</v>
      </c>
      <c r="X214">
        <v>700</v>
      </c>
      <c r="Y214" s="110"/>
      <c r="Z214" s="110"/>
      <c r="AA214" s="110"/>
      <c r="AB214" s="110"/>
      <c r="AC214" s="110"/>
      <c r="AD214" s="110"/>
      <c r="AE214" s="110"/>
      <c r="AF214" s="110"/>
      <c r="AG214" s="110"/>
      <c r="AH214" s="110"/>
      <c r="AI214" s="110"/>
      <c r="AJ214" s="110"/>
      <c r="AK214" s="110"/>
      <c r="AL214" s="110"/>
      <c r="AM214" s="110"/>
      <c r="AN214" s="110"/>
      <c r="AO214" s="110"/>
      <c r="AP214" s="110"/>
      <c r="AQ214" s="110"/>
      <c r="AR214" s="110"/>
      <c r="AS214" s="110"/>
      <c r="AT214" s="110"/>
      <c r="AU214" s="110"/>
      <c r="AV214" s="110"/>
      <c r="AW214" s="110"/>
      <c r="AX214" s="110"/>
      <c r="AY214" s="110"/>
      <c r="AZ214" s="110"/>
      <c r="BA214" s="110"/>
      <c r="BB214" s="110"/>
      <c r="BC214" s="110"/>
      <c r="BD214" s="110"/>
      <c r="BE214" s="110"/>
      <c r="BF214" s="110"/>
      <c r="BG214" s="110"/>
      <c r="BH214" s="110"/>
      <c r="BI214" s="110"/>
      <c r="BJ214" s="110"/>
      <c r="BK214" s="110"/>
      <c r="BL214" s="110"/>
      <c r="BM214" s="110"/>
      <c r="BN214" s="110"/>
      <c r="BO214" s="110"/>
      <c r="BP214" s="110"/>
      <c r="BQ214" s="110"/>
      <c r="BR214" s="110"/>
      <c r="BS214" s="110"/>
      <c r="BT214" s="110"/>
      <c r="BU214" s="110"/>
      <c r="BV214" s="110"/>
      <c r="BW214" s="110"/>
      <c r="BX214" s="110"/>
      <c r="BY214" s="110"/>
      <c r="BZ214" s="110"/>
      <c r="CA214" s="110"/>
      <c r="CB214" s="110"/>
      <c r="CC214" s="110"/>
      <c r="CD214" s="110"/>
      <c r="CE214" s="110"/>
      <c r="CF214" s="110"/>
    </row>
    <row r="215" spans="1:84" s="45" customFormat="1" x14ac:dyDescent="0.25">
      <c r="A215" t="str">
        <f>Funktional!A215</f>
        <v>Rickenbach</v>
      </c>
      <c r="B215" t="str">
        <f>Funktional!B215</f>
        <v>KiGa</v>
      </c>
      <c r="C215">
        <v>5.57E-2</v>
      </c>
      <c r="D215">
        <v>1.2500000000000001E-2</v>
      </c>
      <c r="E215" s="26">
        <f t="shared" si="74"/>
        <v>2466454.42</v>
      </c>
      <c r="F215">
        <v>1645506</v>
      </c>
      <c r="G215">
        <v>820948.42</v>
      </c>
      <c r="H215">
        <v>32811.75</v>
      </c>
      <c r="I215" s="42">
        <f t="shared" si="69"/>
        <v>1.3303205497711974E-2</v>
      </c>
      <c r="J215" s="80">
        <f t="shared" si="70"/>
        <v>48206</v>
      </c>
      <c r="K215" s="43">
        <f>J215*'KiGa - PS'!L216</f>
        <v>7736.8888929369305</v>
      </c>
      <c r="L215" s="42">
        <f>K215/Funktional!E215</f>
        <v>2.1071188388842411E-2</v>
      </c>
      <c r="M215">
        <v>75</v>
      </c>
      <c r="N215" s="43">
        <f>K215/Funktional!C215</f>
        <v>2578.9629643123103</v>
      </c>
      <c r="O215" s="44">
        <f>K215/Funktional!D215</f>
        <v>107.45679017967959</v>
      </c>
      <c r="P215">
        <v>11243</v>
      </c>
      <c r="Q215">
        <v>2400</v>
      </c>
      <c r="R215">
        <v>3900</v>
      </c>
      <c r="S215" s="43">
        <f t="shared" si="71"/>
        <v>17543</v>
      </c>
      <c r="T215">
        <v>15126</v>
      </c>
      <c r="U215">
        <v>2000</v>
      </c>
      <c r="V215">
        <v>3500</v>
      </c>
      <c r="W215" s="43">
        <f t="shared" si="72"/>
        <v>20626</v>
      </c>
      <c r="X215">
        <v>10037</v>
      </c>
      <c r="Y215" s="110"/>
      <c r="Z215" s="110"/>
      <c r="AA215" s="110"/>
      <c r="AB215" s="110"/>
      <c r="AC215" s="110"/>
      <c r="AD215" s="110"/>
      <c r="AE215" s="110"/>
      <c r="AF215" s="110"/>
      <c r="AG215" s="110"/>
      <c r="AH215" s="110"/>
      <c r="AI215" s="110"/>
      <c r="AJ215" s="110"/>
      <c r="AK215" s="110"/>
      <c r="AL215" s="110"/>
      <c r="AM215" s="110"/>
      <c r="AN215" s="110"/>
      <c r="AO215" s="110"/>
      <c r="AP215" s="110"/>
      <c r="AQ215" s="110"/>
      <c r="AR215" s="110"/>
      <c r="AS215" s="110"/>
      <c r="AT215" s="110"/>
      <c r="AU215" s="110"/>
      <c r="AV215" s="110"/>
      <c r="AW215" s="110"/>
      <c r="AX215" s="110"/>
      <c r="AY215" s="110"/>
      <c r="AZ215" s="110"/>
      <c r="BA215" s="110"/>
      <c r="BB215" s="110"/>
      <c r="BC215" s="110"/>
      <c r="BD215" s="110"/>
      <c r="BE215" s="110"/>
      <c r="BF215" s="110"/>
      <c r="BG215" s="110"/>
      <c r="BH215" s="110"/>
      <c r="BI215" s="110"/>
      <c r="BJ215" s="110"/>
      <c r="BK215" s="110"/>
      <c r="BL215" s="110"/>
      <c r="BM215" s="110"/>
      <c r="BN215" s="110"/>
      <c r="BO215" s="110"/>
      <c r="BP215" s="110"/>
      <c r="BQ215" s="110"/>
      <c r="BR215" s="110"/>
      <c r="BS215" s="110"/>
      <c r="BT215" s="110"/>
      <c r="BU215" s="110"/>
      <c r="BV215" s="110"/>
      <c r="BW215" s="110"/>
      <c r="BX215" s="110"/>
      <c r="BY215" s="110"/>
      <c r="BZ215" s="110"/>
      <c r="CA215" s="110"/>
      <c r="CB215" s="110"/>
      <c r="CC215" s="110"/>
      <c r="CD215" s="110"/>
      <c r="CE215" s="110"/>
      <c r="CF215" s="110"/>
    </row>
    <row r="216" spans="1:84" s="45" customFormat="1" x14ac:dyDescent="0.25">
      <c r="A216" t="str">
        <f>Funktional!A216</f>
        <v>Ringenzeichen</v>
      </c>
      <c r="B216" t="str">
        <f>Funktional!B216</f>
        <v>KiGa</v>
      </c>
      <c r="C216">
        <v>3.0999999999999999E-3</v>
      </c>
      <c r="D216">
        <v>1.2999999999999999E-2</v>
      </c>
      <c r="E216" s="26">
        <f t="shared" si="74"/>
        <v>685102.6</v>
      </c>
      <c r="F216">
        <v>129400</v>
      </c>
      <c r="G216">
        <v>555702.6</v>
      </c>
      <c r="H216">
        <v>32762.25</v>
      </c>
      <c r="I216" s="42">
        <f t="shared" si="69"/>
        <v>4.7820939520591514E-2</v>
      </c>
      <c r="J216" s="80">
        <f t="shared" si="70"/>
        <v>7500</v>
      </c>
      <c r="K216" s="43">
        <f>J216*'KiGa - PS'!L217</f>
        <v>0</v>
      </c>
      <c r="L216" s="42"/>
      <c r="M216">
        <v>50</v>
      </c>
      <c r="N216" s="43"/>
      <c r="O216" s="44"/>
      <c r="P216">
        <v>1000</v>
      </c>
      <c r="Q216">
        <v>0</v>
      </c>
      <c r="R216">
        <v>0</v>
      </c>
      <c r="S216" s="43">
        <f t="shared" si="71"/>
        <v>1000</v>
      </c>
      <c r="T216">
        <v>5500</v>
      </c>
      <c r="U216">
        <v>0</v>
      </c>
      <c r="V216">
        <v>1000</v>
      </c>
      <c r="W216" s="43">
        <f t="shared" si="72"/>
        <v>6500</v>
      </c>
      <c r="X216">
        <v>0</v>
      </c>
      <c r="Y216" s="110"/>
      <c r="Z216" s="110"/>
      <c r="AA216" s="110"/>
      <c r="AB216" s="110"/>
      <c r="AC216" s="110"/>
      <c r="AD216" s="110"/>
      <c r="AE216" s="110"/>
      <c r="AF216" s="110"/>
      <c r="AG216" s="110"/>
      <c r="AH216" s="110"/>
      <c r="AI216" s="110"/>
      <c r="AJ216" s="110"/>
      <c r="AK216" s="110"/>
      <c r="AL216" s="110"/>
      <c r="AM216" s="110"/>
      <c r="AN216" s="110"/>
      <c r="AO216" s="110"/>
      <c r="AP216" s="110"/>
      <c r="AQ216" s="110"/>
      <c r="AR216" s="110"/>
      <c r="AS216" s="110"/>
      <c r="AT216" s="110"/>
      <c r="AU216" s="110"/>
      <c r="AV216" s="110"/>
      <c r="AW216" s="110"/>
      <c r="AX216" s="110"/>
      <c r="AY216" s="110"/>
      <c r="AZ216" s="110"/>
      <c r="BA216" s="110"/>
      <c r="BB216" s="110"/>
      <c r="BC216" s="110"/>
      <c r="BD216" s="110"/>
      <c r="BE216" s="110"/>
      <c r="BF216" s="110"/>
      <c r="BG216" s="110"/>
      <c r="BH216" s="110"/>
      <c r="BI216" s="110"/>
      <c r="BJ216" s="110"/>
      <c r="BK216" s="110"/>
      <c r="BL216" s="110"/>
      <c r="BM216" s="110"/>
      <c r="BN216" s="110"/>
      <c r="BO216" s="110"/>
      <c r="BP216" s="110"/>
      <c r="BQ216" s="110"/>
      <c r="BR216" s="110"/>
      <c r="BS216" s="110"/>
      <c r="BT216" s="110"/>
      <c r="BU216" s="110"/>
      <c r="BV216" s="110"/>
      <c r="BW216" s="110"/>
      <c r="BX216" s="110"/>
      <c r="BY216" s="110"/>
      <c r="BZ216" s="110"/>
      <c r="CA216" s="110"/>
      <c r="CB216" s="110"/>
      <c r="CC216" s="110"/>
      <c r="CD216" s="110"/>
      <c r="CE216" s="110"/>
      <c r="CF216" s="110"/>
    </row>
    <row r="217" spans="1:84" s="45" customFormat="1" x14ac:dyDescent="0.25">
      <c r="A217" t="str">
        <f>Funktional!A217</f>
        <v>Romanshorn</v>
      </c>
      <c r="B217" t="str">
        <f>Funktional!B217</f>
        <v>KiGa</v>
      </c>
      <c r="C217">
        <v>8.1500000000000003E-2</v>
      </c>
      <c r="D217">
        <v>3.4000000000000002E-2</v>
      </c>
      <c r="E217" s="26">
        <f t="shared" si="74"/>
        <v>10315589.23</v>
      </c>
      <c r="F217">
        <v>6623097.0999999996</v>
      </c>
      <c r="G217">
        <v>3692492.13</v>
      </c>
      <c r="H217">
        <v>119159.45</v>
      </c>
      <c r="I217" s="42">
        <f t="shared" ref="I217:I232" si="75">H217/E217</f>
        <v>1.1551395401966775E-2</v>
      </c>
      <c r="J217" s="80">
        <f t="shared" ref="J217:J232" si="76">S217+W217+X217</f>
        <v>175028</v>
      </c>
      <c r="K217" s="43">
        <f>J217*'KiGa - PS'!L218</f>
        <v>20841.338931110538</v>
      </c>
      <c r="L217" s="42">
        <f>K217/Funktional!E217</f>
        <v>2.2991968893495501E-2</v>
      </c>
      <c r="M217">
        <v>100</v>
      </c>
      <c r="N217" s="43">
        <f>K217/Funktional!C217</f>
        <v>3473.5564885184231</v>
      </c>
      <c r="O217" s="44">
        <f>K217/Funktional!D217</f>
        <v>175.13730194210535</v>
      </c>
      <c r="P217">
        <v>46636</v>
      </c>
      <c r="Q217">
        <v>4000</v>
      </c>
      <c r="R217">
        <v>4000</v>
      </c>
      <c r="S217" s="43">
        <f t="shared" ref="S217:S232" si="77">P217+Q217+R217</f>
        <v>54636</v>
      </c>
      <c r="T217">
        <v>116392</v>
      </c>
      <c r="U217">
        <v>4000</v>
      </c>
      <c r="V217">
        <v>0</v>
      </c>
      <c r="W217" s="43">
        <f t="shared" ref="W217:W232" si="78">T217+U217+V217</f>
        <v>120392</v>
      </c>
      <c r="X217">
        <v>0</v>
      </c>
      <c r="Y217" s="110"/>
      <c r="Z217" s="110"/>
      <c r="AA217" s="110"/>
      <c r="AB217" s="110"/>
      <c r="AC217" s="110"/>
      <c r="AD217" s="110"/>
      <c r="AE217" s="110"/>
      <c r="AF217" s="110"/>
      <c r="AG217" s="110"/>
      <c r="AH217" s="110"/>
      <c r="AI217" s="110"/>
      <c r="AJ217" s="110"/>
      <c r="AK217" s="110"/>
      <c r="AL217" s="110"/>
      <c r="AM217" s="110"/>
      <c r="AN217" s="110"/>
      <c r="AO217" s="110"/>
      <c r="AP217" s="110"/>
      <c r="AQ217" s="110"/>
      <c r="AR217" s="110"/>
      <c r="AS217" s="110"/>
      <c r="AT217" s="110"/>
      <c r="AU217" s="110"/>
      <c r="AV217" s="110"/>
      <c r="AW217" s="110"/>
      <c r="AX217" s="110"/>
      <c r="AY217" s="110"/>
      <c r="AZ217" s="110"/>
      <c r="BA217" s="110"/>
      <c r="BB217" s="110"/>
      <c r="BC217" s="110"/>
      <c r="BD217" s="110"/>
      <c r="BE217" s="110"/>
      <c r="BF217" s="110"/>
      <c r="BG217" s="110"/>
      <c r="BH217" s="110"/>
      <c r="BI217" s="110"/>
      <c r="BJ217" s="110"/>
      <c r="BK217" s="110"/>
      <c r="BL217" s="110"/>
      <c r="BM217" s="110"/>
      <c r="BN217" s="110"/>
      <c r="BO217" s="110"/>
      <c r="BP217" s="110"/>
      <c r="BQ217" s="110"/>
      <c r="BR217" s="110"/>
      <c r="BS217" s="110"/>
      <c r="BT217" s="110"/>
      <c r="BU217" s="110"/>
      <c r="BV217" s="110"/>
      <c r="BW217" s="110"/>
      <c r="BX217" s="110"/>
      <c r="BY217" s="110"/>
      <c r="BZ217" s="110"/>
      <c r="CA217" s="110"/>
      <c r="CB217" s="110"/>
      <c r="CC217" s="110"/>
      <c r="CD217" s="110"/>
      <c r="CE217" s="110"/>
      <c r="CF217" s="110"/>
    </row>
    <row r="218" spans="1:84" s="45" customFormat="1" x14ac:dyDescent="0.25">
      <c r="A218" t="str">
        <f>Funktional!A218</f>
        <v>Salenstein</v>
      </c>
      <c r="B218" t="str">
        <f>Funktional!B218</f>
        <v>KiGa</v>
      </c>
      <c r="C218">
        <v>0.32540000000000002</v>
      </c>
      <c r="D218">
        <v>7.4200000000000002E-2</v>
      </c>
      <c r="E218" s="26">
        <f t="shared" si="74"/>
        <v>6492617.5800000001</v>
      </c>
      <c r="F218">
        <v>5521143.7999999998</v>
      </c>
      <c r="G218">
        <v>971473.78</v>
      </c>
      <c r="H218">
        <v>44649.25</v>
      </c>
      <c r="I218" s="42">
        <f t="shared" si="75"/>
        <v>6.876925900816724E-3</v>
      </c>
      <c r="J218" s="80">
        <f t="shared" si="76"/>
        <v>19500</v>
      </c>
      <c r="K218" s="43">
        <f>J218*'KiGa - PS'!L219</f>
        <v>2598.3802381391074</v>
      </c>
      <c r="L218" s="42">
        <f>K218/Funktional!E218</f>
        <v>1.3111029000957411E-2</v>
      </c>
      <c r="M218">
        <v>70</v>
      </c>
      <c r="N218" s="43">
        <f>K218/Funktional!C218</f>
        <v>2598.3802381391074</v>
      </c>
      <c r="O218" s="44">
        <f>K218/Funktional!D218</f>
        <v>199.87540293377748</v>
      </c>
      <c r="P218">
        <v>6000</v>
      </c>
      <c r="Q218">
        <v>0</v>
      </c>
      <c r="R218">
        <v>250</v>
      </c>
      <c r="S218" s="43">
        <f t="shared" si="77"/>
        <v>6250</v>
      </c>
      <c r="T218">
        <v>8000</v>
      </c>
      <c r="U218">
        <v>0</v>
      </c>
      <c r="V218">
        <v>250</v>
      </c>
      <c r="W218" s="43">
        <f t="shared" si="78"/>
        <v>8250</v>
      </c>
      <c r="X218">
        <v>5000</v>
      </c>
      <c r="Y218" s="110"/>
      <c r="Z218" s="110"/>
      <c r="AA218" s="110"/>
      <c r="AB218" s="110"/>
      <c r="AC218" s="110"/>
      <c r="AD218" s="110"/>
      <c r="AE218" s="110"/>
      <c r="AF218" s="110"/>
      <c r="AG218" s="110"/>
      <c r="AH218" s="110"/>
      <c r="AI218" s="110"/>
      <c r="AJ218" s="110"/>
      <c r="AK218" s="110"/>
      <c r="AL218" s="110"/>
      <c r="AM218" s="110"/>
      <c r="AN218" s="110"/>
      <c r="AO218" s="110"/>
      <c r="AP218" s="110"/>
      <c r="AQ218" s="110"/>
      <c r="AR218" s="110"/>
      <c r="AS218" s="110"/>
      <c r="AT218" s="110"/>
      <c r="AU218" s="110"/>
      <c r="AV218" s="110"/>
      <c r="AW218" s="110"/>
      <c r="AX218" s="110"/>
      <c r="AY218" s="110"/>
      <c r="AZ218" s="110"/>
      <c r="BA218" s="110"/>
      <c r="BB218" s="110"/>
      <c r="BC218" s="110"/>
      <c r="BD218" s="110"/>
      <c r="BE218" s="110"/>
      <c r="BF218" s="110"/>
      <c r="BG218" s="110"/>
      <c r="BH218" s="110"/>
      <c r="BI218" s="110"/>
      <c r="BJ218" s="110"/>
      <c r="BK218" s="110"/>
      <c r="BL218" s="110"/>
      <c r="BM218" s="110"/>
      <c r="BN218" s="110"/>
      <c r="BO218" s="110"/>
      <c r="BP218" s="110"/>
      <c r="BQ218" s="110"/>
      <c r="BR218" s="110"/>
      <c r="BS218" s="110"/>
      <c r="BT218" s="110"/>
      <c r="BU218" s="110"/>
      <c r="BV218" s="110"/>
      <c r="BW218" s="110"/>
      <c r="BX218" s="110"/>
      <c r="BY218" s="110"/>
      <c r="BZ218" s="110"/>
      <c r="CA218" s="110"/>
      <c r="CB218" s="110"/>
      <c r="CC218" s="110"/>
      <c r="CD218" s="110"/>
      <c r="CE218" s="110"/>
      <c r="CF218" s="110"/>
    </row>
    <row r="219" spans="1:84" s="45" customFormat="1" x14ac:dyDescent="0.25">
      <c r="A219" t="str">
        <f>Funktional!A219</f>
        <v>Salmsach-Hungerbühl</v>
      </c>
      <c r="B219" t="str">
        <f>Funktional!B219</f>
        <v>KiGa</v>
      </c>
      <c r="C219">
        <v>0.109</v>
      </c>
      <c r="D219">
        <v>6.4600000000000005E-2</v>
      </c>
      <c r="E219" s="26">
        <f t="shared" si="74"/>
        <v>3250905.1500000004</v>
      </c>
      <c r="F219">
        <v>1391897.85</v>
      </c>
      <c r="G219">
        <v>1859007.3</v>
      </c>
      <c r="H219">
        <v>89054.2</v>
      </c>
      <c r="I219" s="42">
        <f t="shared" si="75"/>
        <v>2.7393662961836946E-2</v>
      </c>
      <c r="J219" s="80">
        <f t="shared" si="76"/>
        <v>27270</v>
      </c>
      <c r="K219" s="43">
        <f>J219*'KiGa - PS'!L220</f>
        <v>5501.4809273154933</v>
      </c>
      <c r="L219" s="42">
        <f>K219/Funktional!E219</f>
        <v>1.8833289783796663E-2</v>
      </c>
      <c r="M219">
        <v>70</v>
      </c>
      <c r="N219" s="43">
        <f>K219/Funktional!C219</f>
        <v>2750.7404636577467</v>
      </c>
      <c r="O219" s="44">
        <f>K219/Funktional!D219</f>
        <v>152.8189146476526</v>
      </c>
      <c r="P219">
        <v>7000</v>
      </c>
      <c r="Q219">
        <v>1500</v>
      </c>
      <c r="R219">
        <v>0</v>
      </c>
      <c r="S219" s="43">
        <f t="shared" si="77"/>
        <v>8500</v>
      </c>
      <c r="T219">
        <v>12500</v>
      </c>
      <c r="U219">
        <v>120</v>
      </c>
      <c r="V219">
        <v>1800</v>
      </c>
      <c r="W219" s="43">
        <f t="shared" si="78"/>
        <v>14420</v>
      </c>
      <c r="X219">
        <v>4350</v>
      </c>
      <c r="Y219" s="110"/>
      <c r="Z219" s="110"/>
      <c r="AA219" s="110"/>
      <c r="AB219" s="110"/>
      <c r="AC219" s="110"/>
      <c r="AD219" s="110"/>
      <c r="AE219" s="110"/>
      <c r="AF219" s="110"/>
      <c r="AG219" s="110"/>
      <c r="AH219" s="110"/>
      <c r="AI219" s="110"/>
      <c r="AJ219" s="110"/>
      <c r="AK219" s="110"/>
      <c r="AL219" s="110"/>
      <c r="AM219" s="110"/>
      <c r="AN219" s="110"/>
      <c r="AO219" s="110"/>
      <c r="AP219" s="110"/>
      <c r="AQ219" s="110"/>
      <c r="AR219" s="110"/>
      <c r="AS219" s="110"/>
      <c r="AT219" s="110"/>
      <c r="AU219" s="110"/>
      <c r="AV219" s="110"/>
      <c r="AW219" s="110"/>
      <c r="AX219" s="110"/>
      <c r="AY219" s="110"/>
      <c r="AZ219" s="110"/>
      <c r="BA219" s="110"/>
      <c r="BB219" s="110"/>
      <c r="BC219" s="110"/>
      <c r="BD219" s="110"/>
      <c r="BE219" s="110"/>
      <c r="BF219" s="110"/>
      <c r="BG219" s="110"/>
      <c r="BH219" s="110"/>
      <c r="BI219" s="110"/>
      <c r="BJ219" s="110"/>
      <c r="BK219" s="110"/>
      <c r="BL219" s="110"/>
      <c r="BM219" s="110"/>
      <c r="BN219" s="110"/>
      <c r="BO219" s="110"/>
      <c r="BP219" s="110"/>
      <c r="BQ219" s="110"/>
      <c r="BR219" s="110"/>
      <c r="BS219" s="110"/>
      <c r="BT219" s="110"/>
      <c r="BU219" s="110"/>
      <c r="BV219" s="110"/>
      <c r="BW219" s="110"/>
      <c r="BX219" s="110"/>
      <c r="BY219" s="110"/>
      <c r="BZ219" s="110"/>
      <c r="CA219" s="110"/>
      <c r="CB219" s="110"/>
      <c r="CC219" s="110"/>
      <c r="CD219" s="110"/>
      <c r="CE219" s="110"/>
      <c r="CF219" s="110"/>
    </row>
    <row r="220" spans="1:84" s="45" customFormat="1" x14ac:dyDescent="0.25">
      <c r="A220" t="str">
        <f>Funktional!A220</f>
        <v>Scherzingen</v>
      </c>
      <c r="B220" t="str">
        <f>Funktional!B220</f>
        <v>KiGa</v>
      </c>
      <c r="C220">
        <v>0.1004</v>
      </c>
      <c r="D220">
        <v>5.0599999999999999E-2</v>
      </c>
      <c r="E220" s="26">
        <f t="shared" si="74"/>
        <v>2787712.05</v>
      </c>
      <c r="F220">
        <v>1487701.2</v>
      </c>
      <c r="G220">
        <v>1300010.8500000001</v>
      </c>
      <c r="H220">
        <v>6619.95</v>
      </c>
      <c r="I220" s="42">
        <f t="shared" si="75"/>
        <v>2.3746893083882174E-3</v>
      </c>
      <c r="J220" s="80">
        <f t="shared" si="76"/>
        <v>19350</v>
      </c>
      <c r="K220" s="43">
        <f>J220*'KiGa - PS'!L221</f>
        <v>2867.5415154215616</v>
      </c>
      <c r="L220" s="42">
        <f>K220/Funktional!E220</f>
        <v>1.2483695793300964E-2</v>
      </c>
      <c r="M220">
        <v>60</v>
      </c>
      <c r="N220" s="43">
        <f>K220/Funktional!C220</f>
        <v>1433.7707577107808</v>
      </c>
      <c r="O220" s="44">
        <f>K220/Funktional!D220</f>
        <v>92.501339207147154</v>
      </c>
      <c r="P220">
        <v>6000</v>
      </c>
      <c r="Q220">
        <v>0</v>
      </c>
      <c r="R220">
        <v>0</v>
      </c>
      <c r="S220" s="43">
        <f t="shared" si="77"/>
        <v>6000</v>
      </c>
      <c r="T220">
        <v>10000</v>
      </c>
      <c r="U220">
        <v>0</v>
      </c>
      <c r="V220">
        <v>600</v>
      </c>
      <c r="W220" s="43">
        <f t="shared" si="78"/>
        <v>10600</v>
      </c>
      <c r="X220">
        <v>2750</v>
      </c>
      <c r="Y220" s="110"/>
      <c r="Z220" s="110"/>
      <c r="AA220" s="110"/>
      <c r="AB220" s="110"/>
      <c r="AC220" s="110"/>
      <c r="AD220" s="110"/>
      <c r="AE220" s="110"/>
      <c r="AF220" s="110"/>
      <c r="AG220" s="110"/>
      <c r="AH220" s="110"/>
      <c r="AI220" s="110"/>
      <c r="AJ220" s="110"/>
      <c r="AK220" s="110"/>
      <c r="AL220" s="110"/>
      <c r="AM220" s="110"/>
      <c r="AN220" s="110"/>
      <c r="AO220" s="110"/>
      <c r="AP220" s="110"/>
      <c r="AQ220" s="110"/>
      <c r="AR220" s="110"/>
      <c r="AS220" s="110"/>
      <c r="AT220" s="110"/>
      <c r="AU220" s="110"/>
      <c r="AV220" s="110"/>
      <c r="AW220" s="110"/>
      <c r="AX220" s="110"/>
      <c r="AY220" s="110"/>
      <c r="AZ220" s="110"/>
      <c r="BA220" s="110"/>
      <c r="BB220" s="110"/>
      <c r="BC220" s="110"/>
      <c r="BD220" s="110"/>
      <c r="BE220" s="110"/>
      <c r="BF220" s="110"/>
      <c r="BG220" s="110"/>
      <c r="BH220" s="110"/>
      <c r="BI220" s="110"/>
      <c r="BJ220" s="110"/>
      <c r="BK220" s="110"/>
      <c r="BL220" s="110"/>
      <c r="BM220" s="110"/>
      <c r="BN220" s="110"/>
      <c r="BO220" s="110"/>
      <c r="BP220" s="110"/>
      <c r="BQ220" s="110"/>
      <c r="BR220" s="110"/>
      <c r="BS220" s="110"/>
      <c r="BT220" s="110"/>
      <c r="BU220" s="110"/>
      <c r="BV220" s="110"/>
      <c r="BW220" s="110"/>
      <c r="BX220" s="110"/>
      <c r="BY220" s="110"/>
      <c r="BZ220" s="110"/>
      <c r="CA220" s="110"/>
      <c r="CB220" s="110"/>
      <c r="CC220" s="110"/>
      <c r="CD220" s="110"/>
      <c r="CE220" s="110"/>
      <c r="CF220" s="110"/>
    </row>
    <row r="221" spans="1:84" s="45" customFormat="1" x14ac:dyDescent="0.25">
      <c r="A221" t="str">
        <f>Funktional!A221</f>
        <v>Schlatt</v>
      </c>
      <c r="B221" t="str">
        <f>Funktional!B221</f>
        <v>KiGa</v>
      </c>
      <c r="C221">
        <v>0.1736</v>
      </c>
      <c r="D221">
        <v>5.6000000000000001E-2</v>
      </c>
      <c r="E221" s="26">
        <f t="shared" si="74"/>
        <v>4536604.07</v>
      </c>
      <c r="F221">
        <v>3473601</v>
      </c>
      <c r="G221">
        <v>1063003.07</v>
      </c>
      <c r="H221">
        <v>13521.8</v>
      </c>
      <c r="I221" s="42">
        <f t="shared" si="75"/>
        <v>2.9805995390732873E-3</v>
      </c>
      <c r="J221" s="80">
        <f t="shared" si="76"/>
        <v>24300</v>
      </c>
      <c r="K221" s="43">
        <f>J221*'KiGa - PS'!L222</f>
        <v>5652.0903740281519</v>
      </c>
      <c r="L221" s="42">
        <f>K221/Funktional!E221</f>
        <v>1.2845052536397025E-2</v>
      </c>
      <c r="M221">
        <v>60</v>
      </c>
      <c r="N221" s="43">
        <f>K221/Funktional!C221</f>
        <v>2260.8361496112607</v>
      </c>
      <c r="O221" s="44">
        <f>K221/Funktional!D221</f>
        <v>99.159480246107933</v>
      </c>
      <c r="P221">
        <v>4300</v>
      </c>
      <c r="Q221">
        <v>600</v>
      </c>
      <c r="R221">
        <v>800</v>
      </c>
      <c r="S221" s="43">
        <f t="shared" si="77"/>
        <v>5700</v>
      </c>
      <c r="T221">
        <v>13000</v>
      </c>
      <c r="U221">
        <v>2500</v>
      </c>
      <c r="V221">
        <v>1500</v>
      </c>
      <c r="W221" s="43">
        <f t="shared" si="78"/>
        <v>17000</v>
      </c>
      <c r="X221">
        <v>1600</v>
      </c>
      <c r="Y221" s="110"/>
      <c r="Z221" s="110"/>
      <c r="AA221" s="110"/>
      <c r="AB221" s="110"/>
      <c r="AC221" s="110"/>
      <c r="AD221" s="110"/>
      <c r="AE221" s="110"/>
      <c r="AF221" s="110"/>
      <c r="AG221" s="110"/>
      <c r="AH221" s="110"/>
      <c r="AI221" s="110"/>
      <c r="AJ221" s="110"/>
      <c r="AK221" s="110"/>
      <c r="AL221" s="110"/>
      <c r="AM221" s="110"/>
      <c r="AN221" s="110"/>
      <c r="AO221" s="110"/>
      <c r="AP221" s="110"/>
      <c r="AQ221" s="110"/>
      <c r="AR221" s="110"/>
      <c r="AS221" s="110"/>
      <c r="AT221" s="110"/>
      <c r="AU221" s="110"/>
      <c r="AV221" s="110"/>
      <c r="AW221" s="110"/>
      <c r="AX221" s="110"/>
      <c r="AY221" s="110"/>
      <c r="AZ221" s="110"/>
      <c r="BA221" s="110"/>
      <c r="BB221" s="110"/>
      <c r="BC221" s="110"/>
      <c r="BD221" s="110"/>
      <c r="BE221" s="110"/>
      <c r="BF221" s="110"/>
      <c r="BG221" s="110"/>
      <c r="BH221" s="110"/>
      <c r="BI221" s="110"/>
      <c r="BJ221" s="110"/>
      <c r="BK221" s="110"/>
      <c r="BL221" s="110"/>
      <c r="BM221" s="110"/>
      <c r="BN221" s="110"/>
      <c r="BO221" s="110"/>
      <c r="BP221" s="110"/>
      <c r="BQ221" s="110"/>
      <c r="BR221" s="110"/>
      <c r="BS221" s="110"/>
      <c r="BT221" s="110"/>
      <c r="BU221" s="110"/>
      <c r="BV221" s="110"/>
      <c r="BW221" s="110"/>
      <c r="BX221" s="110"/>
      <c r="BY221" s="110"/>
      <c r="BZ221" s="110"/>
      <c r="CA221" s="110"/>
      <c r="CB221" s="110"/>
      <c r="CC221" s="110"/>
      <c r="CD221" s="110"/>
      <c r="CE221" s="110"/>
      <c r="CF221" s="110"/>
    </row>
    <row r="222" spans="1:84" s="45" customFormat="1" x14ac:dyDescent="0.25">
      <c r="A222" t="str">
        <f>Funktional!A222</f>
        <v>Schlattingen</v>
      </c>
      <c r="B222" t="str">
        <f>Funktional!B222</f>
        <v>KiGa</v>
      </c>
      <c r="C222">
        <v>0.10829999999999999</v>
      </c>
      <c r="D222">
        <v>5.0299999999999997E-2</v>
      </c>
      <c r="E222" s="26">
        <f t="shared" si="74"/>
        <v>1672388.5</v>
      </c>
      <c r="F222">
        <v>915826.1</v>
      </c>
      <c r="G222">
        <v>756562.4</v>
      </c>
      <c r="H222">
        <v>24963.45</v>
      </c>
      <c r="I222" s="42">
        <f t="shared" si="75"/>
        <v>1.4926824718060427E-2</v>
      </c>
      <c r="J222" s="80">
        <f t="shared" si="76"/>
        <v>13900</v>
      </c>
      <c r="K222" s="43">
        <f>J222*'KiGa - PS'!L223</f>
        <v>2425.0939127612351</v>
      </c>
      <c r="L222" s="42">
        <f>K222/Funktional!E222</f>
        <v>1.7770595672923876E-2</v>
      </c>
      <c r="M222">
        <v>60</v>
      </c>
      <c r="N222" s="43">
        <f>K222/Funktional!C222</f>
        <v>2425.0939127612351</v>
      </c>
      <c r="O222" s="44">
        <f>K222/Funktional!D222</f>
        <v>142.65258310360207</v>
      </c>
      <c r="P222">
        <v>2500</v>
      </c>
      <c r="Q222">
        <v>200</v>
      </c>
      <c r="R222">
        <v>1000</v>
      </c>
      <c r="S222" s="43">
        <f t="shared" si="77"/>
        <v>3700</v>
      </c>
      <c r="T222">
        <v>6500</v>
      </c>
      <c r="U222">
        <v>600</v>
      </c>
      <c r="V222">
        <v>1100</v>
      </c>
      <c r="W222" s="43">
        <f t="shared" si="78"/>
        <v>8200</v>
      </c>
      <c r="X222">
        <v>2000</v>
      </c>
      <c r="Y222" s="110"/>
      <c r="Z222" s="110"/>
      <c r="AA222" s="110"/>
      <c r="AB222" s="110"/>
      <c r="AC222" s="110"/>
      <c r="AD222" s="110"/>
      <c r="AE222" s="110"/>
      <c r="AF222" s="110"/>
      <c r="AG222" s="110"/>
      <c r="AH222" s="110"/>
      <c r="AI222" s="110"/>
      <c r="AJ222" s="110"/>
      <c r="AK222" s="110"/>
      <c r="AL222" s="110"/>
      <c r="AM222" s="110"/>
      <c r="AN222" s="110"/>
      <c r="AO222" s="110"/>
      <c r="AP222" s="110"/>
      <c r="AQ222" s="110"/>
      <c r="AR222" s="110"/>
      <c r="AS222" s="110"/>
      <c r="AT222" s="110"/>
      <c r="AU222" s="110"/>
      <c r="AV222" s="110"/>
      <c r="AW222" s="110"/>
      <c r="AX222" s="110"/>
      <c r="AY222" s="110"/>
      <c r="AZ222" s="110"/>
      <c r="BA222" s="110"/>
      <c r="BB222" s="110"/>
      <c r="BC222" s="110"/>
      <c r="BD222" s="110"/>
      <c r="BE222" s="110"/>
      <c r="BF222" s="110"/>
      <c r="BG222" s="110"/>
      <c r="BH222" s="110"/>
      <c r="BI222" s="110"/>
      <c r="BJ222" s="110"/>
      <c r="BK222" s="110"/>
      <c r="BL222" s="110"/>
      <c r="BM222" s="110"/>
      <c r="BN222" s="110"/>
      <c r="BO222" s="110"/>
      <c r="BP222" s="110"/>
      <c r="BQ222" s="110"/>
      <c r="BR222" s="110"/>
      <c r="BS222" s="110"/>
      <c r="BT222" s="110"/>
      <c r="BU222" s="110"/>
      <c r="BV222" s="110"/>
      <c r="BW222" s="110"/>
      <c r="BX222" s="110"/>
      <c r="BY222" s="110"/>
      <c r="BZ222" s="110"/>
      <c r="CA222" s="110"/>
      <c r="CB222" s="110"/>
      <c r="CC222" s="110"/>
      <c r="CD222" s="110"/>
      <c r="CE222" s="110"/>
      <c r="CF222" s="110"/>
    </row>
    <row r="223" spans="1:84" s="45" customFormat="1" x14ac:dyDescent="0.25">
      <c r="A223" t="str">
        <f>Funktional!A223</f>
        <v>Schmidshof</v>
      </c>
      <c r="B223" t="str">
        <f>Funktional!B223</f>
        <v>KiGa</v>
      </c>
      <c r="C223">
        <v>0.1633</v>
      </c>
      <c r="D223">
        <v>4.6699999999999998E-2</v>
      </c>
      <c r="E223" s="26">
        <f t="shared" si="74"/>
        <v>809505.6</v>
      </c>
      <c r="F223">
        <v>690519</v>
      </c>
      <c r="G223">
        <v>118986.6</v>
      </c>
      <c r="H223">
        <v>19100</v>
      </c>
      <c r="I223" s="42">
        <f t="shared" si="75"/>
        <v>2.3594648387855501E-2</v>
      </c>
      <c r="J223" s="80">
        <f t="shared" si="76"/>
        <v>3714</v>
      </c>
      <c r="K223" s="43">
        <f>J223*'KiGa - PS'!L224</f>
        <v>0</v>
      </c>
      <c r="L223" s="42"/>
      <c r="M223">
        <v>50</v>
      </c>
      <c r="N223" s="43"/>
      <c r="O223" s="44"/>
      <c r="P223">
        <v>1000</v>
      </c>
      <c r="Q223">
        <v>0</v>
      </c>
      <c r="R223">
        <v>0</v>
      </c>
      <c r="S223" s="43">
        <f t="shared" si="77"/>
        <v>1000</v>
      </c>
      <c r="T223">
        <v>1800</v>
      </c>
      <c r="U223">
        <v>0</v>
      </c>
      <c r="V223">
        <v>500</v>
      </c>
      <c r="W223" s="43">
        <f t="shared" si="78"/>
        <v>2300</v>
      </c>
      <c r="X223">
        <v>414</v>
      </c>
      <c r="Y223" s="110"/>
      <c r="Z223" s="110"/>
      <c r="AA223" s="110"/>
      <c r="AB223" s="110"/>
      <c r="AC223" s="110"/>
      <c r="AD223" s="110"/>
      <c r="AE223" s="110"/>
      <c r="AF223" s="110"/>
      <c r="AG223" s="110"/>
      <c r="AH223" s="110"/>
      <c r="AI223" s="110"/>
      <c r="AJ223" s="110"/>
      <c r="AK223" s="110"/>
      <c r="AL223" s="110"/>
      <c r="AM223" s="110"/>
      <c r="AN223" s="110"/>
      <c r="AO223" s="110"/>
      <c r="AP223" s="110"/>
      <c r="AQ223" s="110"/>
      <c r="AR223" s="110"/>
      <c r="AS223" s="110"/>
      <c r="AT223" s="110"/>
      <c r="AU223" s="110"/>
      <c r="AV223" s="110"/>
      <c r="AW223" s="110"/>
      <c r="AX223" s="110"/>
      <c r="AY223" s="110"/>
      <c r="AZ223" s="110"/>
      <c r="BA223" s="110"/>
      <c r="BB223" s="110"/>
      <c r="BC223" s="110"/>
      <c r="BD223" s="110"/>
      <c r="BE223" s="110"/>
      <c r="BF223" s="110"/>
      <c r="BG223" s="110"/>
      <c r="BH223" s="110"/>
      <c r="BI223" s="110"/>
      <c r="BJ223" s="110"/>
      <c r="BK223" s="110"/>
      <c r="BL223" s="110"/>
      <c r="BM223" s="110"/>
      <c r="BN223" s="110"/>
      <c r="BO223" s="110"/>
      <c r="BP223" s="110"/>
      <c r="BQ223" s="110"/>
      <c r="BR223" s="110"/>
      <c r="BS223" s="110"/>
      <c r="BT223" s="110"/>
      <c r="BU223" s="110"/>
      <c r="BV223" s="110"/>
      <c r="BW223" s="110"/>
      <c r="BX223" s="110"/>
      <c r="BY223" s="110"/>
      <c r="BZ223" s="110"/>
      <c r="CA223" s="110"/>
      <c r="CB223" s="110"/>
      <c r="CC223" s="110"/>
      <c r="CD223" s="110"/>
      <c r="CE223" s="110"/>
      <c r="CF223" s="110"/>
    </row>
    <row r="224" spans="1:84" s="45" customFormat="1" x14ac:dyDescent="0.25">
      <c r="A224" t="str">
        <f>Funktional!A224</f>
        <v>Schönenberg-Kradolf</v>
      </c>
      <c r="B224" t="str">
        <f>Funktional!B224</f>
        <v>KiGa</v>
      </c>
      <c r="C224">
        <v>0.1202</v>
      </c>
      <c r="D224">
        <v>3.2800000000000003E-2</v>
      </c>
      <c r="E224" s="26">
        <f t="shared" si="74"/>
        <v>6794915.3499999996</v>
      </c>
      <c r="F224">
        <v>4797899.2</v>
      </c>
      <c r="G224">
        <v>1997016.15</v>
      </c>
      <c r="H224">
        <v>122276.85</v>
      </c>
      <c r="I224" s="42">
        <f t="shared" si="75"/>
        <v>1.7995345593230974E-2</v>
      </c>
      <c r="J224" s="80">
        <f t="shared" si="76"/>
        <v>71064</v>
      </c>
      <c r="K224" s="43">
        <f>J224*'KiGa - PS'!L225</f>
        <v>10679.028795940916</v>
      </c>
      <c r="L224" s="42">
        <f>K224/Funktional!E224</f>
        <v>1.9284308574336984E-2</v>
      </c>
      <c r="M224">
        <v>70</v>
      </c>
      <c r="N224" s="43">
        <f>K224/Funktional!C224</f>
        <v>2669.757198985229</v>
      </c>
      <c r="O224" s="44">
        <f>K224/Funktional!D224</f>
        <v>152.55755422772737</v>
      </c>
      <c r="P224">
        <v>18893</v>
      </c>
      <c r="Q224">
        <v>2500</v>
      </c>
      <c r="R224">
        <v>2500</v>
      </c>
      <c r="S224" s="43">
        <f t="shared" si="77"/>
        <v>23893</v>
      </c>
      <c r="T224">
        <v>35171</v>
      </c>
      <c r="U224">
        <v>3000</v>
      </c>
      <c r="V224">
        <v>2500</v>
      </c>
      <c r="W224" s="43">
        <f t="shared" si="78"/>
        <v>40671</v>
      </c>
      <c r="X224">
        <v>6500</v>
      </c>
      <c r="Y224" s="110"/>
      <c r="Z224" s="110"/>
      <c r="AA224" s="110"/>
      <c r="AB224" s="110"/>
      <c r="AC224" s="110"/>
      <c r="AD224" s="110"/>
      <c r="AE224" s="110"/>
      <c r="AF224" s="110"/>
      <c r="AG224" s="110"/>
      <c r="AH224" s="110"/>
      <c r="AI224" s="110"/>
      <c r="AJ224" s="110"/>
      <c r="AK224" s="110"/>
      <c r="AL224" s="110"/>
      <c r="AM224" s="110"/>
      <c r="AN224" s="110"/>
      <c r="AO224" s="110"/>
      <c r="AP224" s="110"/>
      <c r="AQ224" s="110"/>
      <c r="AR224" s="110"/>
      <c r="AS224" s="110"/>
      <c r="AT224" s="110"/>
      <c r="AU224" s="110"/>
      <c r="AV224" s="110"/>
      <c r="AW224" s="110"/>
      <c r="AX224" s="110"/>
      <c r="AY224" s="110"/>
      <c r="AZ224" s="110"/>
      <c r="BA224" s="110"/>
      <c r="BB224" s="110"/>
      <c r="BC224" s="110"/>
      <c r="BD224" s="110"/>
      <c r="BE224" s="110"/>
      <c r="BF224" s="110"/>
      <c r="BG224" s="110"/>
      <c r="BH224" s="110"/>
      <c r="BI224" s="110"/>
      <c r="BJ224" s="110"/>
      <c r="BK224" s="110"/>
      <c r="BL224" s="110"/>
      <c r="BM224" s="110"/>
      <c r="BN224" s="110"/>
      <c r="BO224" s="110"/>
      <c r="BP224" s="110"/>
      <c r="BQ224" s="110"/>
      <c r="BR224" s="110"/>
      <c r="BS224" s="110"/>
      <c r="BT224" s="110"/>
      <c r="BU224" s="110"/>
      <c r="BV224" s="110"/>
      <c r="BW224" s="110"/>
      <c r="BX224" s="110"/>
      <c r="BY224" s="110"/>
      <c r="BZ224" s="110"/>
      <c r="CA224" s="110"/>
      <c r="CB224" s="110"/>
      <c r="CC224" s="110"/>
      <c r="CD224" s="110"/>
      <c r="CE224" s="110"/>
      <c r="CF224" s="110"/>
    </row>
    <row r="225" spans="1:84" s="45" customFormat="1" x14ac:dyDescent="0.25">
      <c r="A225" t="str">
        <f>Funktional!A225</f>
        <v>Schönholzerswilen</v>
      </c>
      <c r="B225" t="str">
        <f>Funktional!B225</f>
        <v>KiGa</v>
      </c>
      <c r="C225">
        <v>0.11550000000000001</v>
      </c>
      <c r="D225">
        <v>5.9200000000000003E-2</v>
      </c>
      <c r="E225" s="26">
        <f t="shared" si="74"/>
        <v>2451393</v>
      </c>
      <c r="F225">
        <v>1070742.5</v>
      </c>
      <c r="G225">
        <v>1380650.5</v>
      </c>
      <c r="H225">
        <v>53611.9</v>
      </c>
      <c r="I225" s="42">
        <f t="shared" si="75"/>
        <v>2.186997352117755E-2</v>
      </c>
      <c r="J225" s="80">
        <f t="shared" si="76"/>
        <v>13400</v>
      </c>
      <c r="K225" s="43">
        <f>J225*'KiGa - PS'!L226</f>
        <v>2848.7250913773837</v>
      </c>
      <c r="L225" s="42">
        <f>K225/Funktional!E225</f>
        <v>1.3797589972900093E-2</v>
      </c>
      <c r="M225">
        <v>50</v>
      </c>
      <c r="N225" s="43">
        <f>K225/Funktional!C225</f>
        <v>2848.7250913773837</v>
      </c>
      <c r="O225" s="44">
        <f>K225/Funktional!D225</f>
        <v>129.48750415351745</v>
      </c>
      <c r="P225">
        <v>2000</v>
      </c>
      <c r="Q225">
        <v>1000</v>
      </c>
      <c r="R225">
        <v>0</v>
      </c>
      <c r="S225" s="43">
        <f t="shared" si="77"/>
        <v>3000</v>
      </c>
      <c r="T225">
        <v>4000</v>
      </c>
      <c r="U225">
        <v>0</v>
      </c>
      <c r="V225">
        <v>2400</v>
      </c>
      <c r="W225" s="43">
        <f t="shared" si="78"/>
        <v>6400</v>
      </c>
      <c r="X225">
        <v>4000</v>
      </c>
      <c r="Y225" s="110"/>
      <c r="Z225" s="110"/>
      <c r="AA225" s="110"/>
      <c r="AB225" s="110"/>
      <c r="AC225" s="110"/>
      <c r="AD225" s="110"/>
      <c r="AE225" s="110"/>
      <c r="AF225" s="110"/>
      <c r="AG225" s="110"/>
      <c r="AH225" s="110"/>
      <c r="AI225" s="110"/>
      <c r="AJ225" s="110"/>
      <c r="AK225" s="110"/>
      <c r="AL225" s="110"/>
      <c r="AM225" s="110"/>
      <c r="AN225" s="110"/>
      <c r="AO225" s="110"/>
      <c r="AP225" s="110"/>
      <c r="AQ225" s="110"/>
      <c r="AR225" s="110"/>
      <c r="AS225" s="110"/>
      <c r="AT225" s="110"/>
      <c r="AU225" s="110"/>
      <c r="AV225" s="110"/>
      <c r="AW225" s="110"/>
      <c r="AX225" s="110"/>
      <c r="AY225" s="110"/>
      <c r="AZ225" s="110"/>
      <c r="BA225" s="110"/>
      <c r="BB225" s="110"/>
      <c r="BC225" s="110"/>
      <c r="BD225" s="110"/>
      <c r="BE225" s="110"/>
      <c r="BF225" s="110"/>
      <c r="BG225" s="110"/>
      <c r="BH225" s="110"/>
      <c r="BI225" s="110"/>
      <c r="BJ225" s="110"/>
      <c r="BK225" s="110"/>
      <c r="BL225" s="110"/>
      <c r="BM225" s="110"/>
      <c r="BN225" s="110"/>
      <c r="BO225" s="110"/>
      <c r="BP225" s="110"/>
      <c r="BQ225" s="110"/>
      <c r="BR225" s="110"/>
      <c r="BS225" s="110"/>
      <c r="BT225" s="110"/>
      <c r="BU225" s="110"/>
      <c r="BV225" s="110"/>
      <c r="BW225" s="110"/>
      <c r="BX225" s="110"/>
      <c r="BY225" s="110"/>
      <c r="BZ225" s="110"/>
      <c r="CA225" s="110"/>
      <c r="CB225" s="110"/>
      <c r="CC225" s="110"/>
      <c r="CD225" s="110"/>
      <c r="CE225" s="110"/>
      <c r="CF225" s="110"/>
    </row>
    <row r="226" spans="1:84" s="45" customFormat="1" x14ac:dyDescent="0.25">
      <c r="A226" t="str">
        <f>Funktional!A226</f>
        <v>Schurten</v>
      </c>
      <c r="B226" t="str">
        <f>Funktional!B226</f>
        <v>KiGa</v>
      </c>
      <c r="C226">
        <v>0.1067</v>
      </c>
      <c r="D226">
        <v>2.3E-2</v>
      </c>
      <c r="E226" s="26">
        <f>F226+G226</f>
        <v>324499.75</v>
      </c>
      <c r="F226">
        <v>319895.8</v>
      </c>
      <c r="G226">
        <v>4603.95</v>
      </c>
      <c r="H226">
        <v>11798</v>
      </c>
      <c r="I226" s="42">
        <f t="shared" si="75"/>
        <v>3.6357501045840561E-2</v>
      </c>
      <c r="J226" s="80">
        <f t="shared" si="76"/>
        <v>4290</v>
      </c>
      <c r="K226" s="43">
        <f>J226*'KiGa - PS'!L227</f>
        <v>0</v>
      </c>
      <c r="L226" s="42"/>
      <c r="M226">
        <v>50</v>
      </c>
      <c r="N226" s="43"/>
      <c r="O226" s="44"/>
      <c r="P226">
        <v>575</v>
      </c>
      <c r="Q226">
        <v>0</v>
      </c>
      <c r="R226">
        <v>0</v>
      </c>
      <c r="S226" s="43">
        <f t="shared" si="77"/>
        <v>575</v>
      </c>
      <c r="T226">
        <v>2750</v>
      </c>
      <c r="U226">
        <v>0</v>
      </c>
      <c r="V226">
        <v>600</v>
      </c>
      <c r="W226" s="43">
        <f t="shared" si="78"/>
        <v>3350</v>
      </c>
      <c r="X226">
        <v>365</v>
      </c>
      <c r="Y226" s="110"/>
      <c r="Z226" s="110"/>
      <c r="AA226" s="110"/>
      <c r="AB226" s="110"/>
      <c r="AC226" s="110"/>
      <c r="AD226" s="110"/>
      <c r="AE226" s="110"/>
      <c r="AF226" s="110"/>
      <c r="AG226" s="110"/>
      <c r="AH226" s="110"/>
      <c r="AI226" s="110"/>
      <c r="AJ226" s="110"/>
      <c r="AK226" s="110"/>
      <c r="AL226" s="110"/>
      <c r="AM226" s="110"/>
      <c r="AN226" s="110"/>
      <c r="AO226" s="110"/>
      <c r="AP226" s="110"/>
      <c r="AQ226" s="110"/>
      <c r="AR226" s="110"/>
      <c r="AS226" s="110"/>
      <c r="AT226" s="110"/>
      <c r="AU226" s="110"/>
      <c r="AV226" s="110"/>
      <c r="AW226" s="110"/>
      <c r="AX226" s="110"/>
      <c r="AY226" s="110"/>
      <c r="AZ226" s="110"/>
      <c r="BA226" s="110"/>
      <c r="BB226" s="110"/>
      <c r="BC226" s="110"/>
      <c r="BD226" s="110"/>
      <c r="BE226" s="110"/>
      <c r="BF226" s="110"/>
      <c r="BG226" s="110"/>
      <c r="BH226" s="110"/>
      <c r="BI226" s="110"/>
      <c r="BJ226" s="110"/>
      <c r="BK226" s="110"/>
      <c r="BL226" s="110"/>
      <c r="BM226" s="110"/>
      <c r="BN226" s="110"/>
      <c r="BO226" s="110"/>
      <c r="BP226" s="110"/>
      <c r="BQ226" s="110"/>
      <c r="BR226" s="110"/>
      <c r="BS226" s="110"/>
      <c r="BT226" s="110"/>
      <c r="BU226" s="110"/>
      <c r="BV226" s="110"/>
      <c r="BW226" s="110"/>
      <c r="BX226" s="110"/>
      <c r="BY226" s="110"/>
      <c r="BZ226" s="110"/>
      <c r="CA226" s="110"/>
      <c r="CB226" s="110"/>
      <c r="CC226" s="110"/>
      <c r="CD226" s="110"/>
      <c r="CE226" s="110"/>
      <c r="CF226" s="110"/>
    </row>
    <row r="227" spans="1:84" s="45" customFormat="1" x14ac:dyDescent="0.25">
      <c r="A227" t="str">
        <f>Funktional!A227</f>
        <v>Sirnach</v>
      </c>
      <c r="B227" t="str">
        <f>Funktional!B227</f>
        <v>KiGa</v>
      </c>
      <c r="C227">
        <v>5.6399999999999999E-2</v>
      </c>
      <c r="D227">
        <v>3.5000000000000001E-3</v>
      </c>
      <c r="E227" s="26">
        <f t="shared" ref="E227:E232" si="79">F227+G227</f>
        <v>7241474.75</v>
      </c>
      <c r="F227">
        <v>4892895.95</v>
      </c>
      <c r="G227">
        <v>2348578.7999999998</v>
      </c>
      <c r="H227">
        <v>194662.2</v>
      </c>
      <c r="I227" s="42">
        <f t="shared" si="75"/>
        <v>2.6881568564469552E-2</v>
      </c>
      <c r="J227" s="80">
        <f t="shared" si="76"/>
        <v>139150</v>
      </c>
      <c r="K227" s="43">
        <f>J227*'KiGa - PS'!L228</f>
        <v>23176.558239518334</v>
      </c>
      <c r="L227" s="42">
        <f>K227/Funktional!E227</f>
        <v>2.6949053236087442E-2</v>
      </c>
      <c r="M227">
        <v>65</v>
      </c>
      <c r="N227" s="43">
        <f>K227/Funktional!C227</f>
        <v>3862.7597065863888</v>
      </c>
      <c r="O227" s="44">
        <f>K227/Funktional!D227</f>
        <v>166.73782906128298</v>
      </c>
      <c r="P227">
        <v>36000</v>
      </c>
      <c r="Q227">
        <v>2400</v>
      </c>
      <c r="R227">
        <v>0</v>
      </c>
      <c r="S227" s="43">
        <f t="shared" si="77"/>
        <v>38400</v>
      </c>
      <c r="T227">
        <v>88800</v>
      </c>
      <c r="U227">
        <v>0</v>
      </c>
      <c r="V227">
        <v>0</v>
      </c>
      <c r="W227" s="43">
        <f t="shared" si="78"/>
        <v>88800</v>
      </c>
      <c r="X227">
        <v>11950</v>
      </c>
      <c r="Y227" s="110"/>
      <c r="Z227" s="110"/>
      <c r="AA227" s="110"/>
      <c r="AB227" s="110"/>
      <c r="AC227" s="110"/>
      <c r="AD227" s="110"/>
      <c r="AE227" s="110"/>
      <c r="AF227" s="110"/>
      <c r="AG227" s="110"/>
      <c r="AH227" s="110"/>
      <c r="AI227" s="110"/>
      <c r="AJ227" s="110"/>
      <c r="AK227" s="110"/>
      <c r="AL227" s="110"/>
      <c r="AM227" s="110"/>
      <c r="AN227" s="110"/>
      <c r="AO227" s="110"/>
      <c r="AP227" s="110"/>
      <c r="AQ227" s="110"/>
      <c r="AR227" s="110"/>
      <c r="AS227" s="110"/>
      <c r="AT227" s="110"/>
      <c r="AU227" s="110"/>
      <c r="AV227" s="110"/>
      <c r="AW227" s="110"/>
      <c r="AX227" s="110"/>
      <c r="AY227" s="110"/>
      <c r="AZ227" s="110"/>
      <c r="BA227" s="110"/>
      <c r="BB227" s="110"/>
      <c r="BC227" s="110"/>
      <c r="BD227" s="110"/>
      <c r="BE227" s="110"/>
      <c r="BF227" s="110"/>
      <c r="BG227" s="110"/>
      <c r="BH227" s="110"/>
      <c r="BI227" s="110"/>
      <c r="BJ227" s="110"/>
      <c r="BK227" s="110"/>
      <c r="BL227" s="110"/>
      <c r="BM227" s="110"/>
      <c r="BN227" s="110"/>
      <c r="BO227" s="110"/>
      <c r="BP227" s="110"/>
      <c r="BQ227" s="110"/>
      <c r="BR227" s="110"/>
      <c r="BS227" s="110"/>
      <c r="BT227" s="110"/>
      <c r="BU227" s="110"/>
      <c r="BV227" s="110"/>
      <c r="BW227" s="110"/>
      <c r="BX227" s="110"/>
      <c r="BY227" s="110"/>
      <c r="BZ227" s="110"/>
      <c r="CA227" s="110"/>
      <c r="CB227" s="110"/>
      <c r="CC227" s="110"/>
      <c r="CD227" s="110"/>
      <c r="CE227" s="110"/>
      <c r="CF227" s="110"/>
    </row>
    <row r="228" spans="1:84" s="45" customFormat="1" x14ac:dyDescent="0.25">
      <c r="A228" t="str">
        <f>Funktional!A228</f>
        <v>Sitterdorf</v>
      </c>
      <c r="B228" t="str">
        <f>Funktional!B228</f>
        <v>KiGa</v>
      </c>
      <c r="C228">
        <v>0.1903</v>
      </c>
      <c r="D228">
        <v>0.1056</v>
      </c>
      <c r="E228" s="26">
        <f t="shared" si="79"/>
        <v>3357408.2800000003</v>
      </c>
      <c r="F228">
        <v>2238000</v>
      </c>
      <c r="G228">
        <v>1119408.28</v>
      </c>
      <c r="H228">
        <v>19957.05</v>
      </c>
      <c r="I228" s="42">
        <f t="shared" si="75"/>
        <v>5.9441832317158631E-3</v>
      </c>
      <c r="J228" s="80">
        <f t="shared" si="76"/>
        <v>19200</v>
      </c>
      <c r="K228" s="43">
        <f>J228*'KiGa - PS'!L229</f>
        <v>3810.8816217822819</v>
      </c>
      <c r="L228" s="42">
        <f>K228/Funktional!E228</f>
        <v>1.2700554825060507E-2</v>
      </c>
      <c r="M228">
        <v>80</v>
      </c>
      <c r="N228" s="43">
        <f>K228/Funktional!C228</f>
        <v>1905.4408108911409</v>
      </c>
      <c r="O228" s="44">
        <f>K228/Funktional!D228</f>
        <v>100.28635846795478</v>
      </c>
      <c r="P228">
        <v>4800</v>
      </c>
      <c r="Q228">
        <v>1200</v>
      </c>
      <c r="R228">
        <v>1200</v>
      </c>
      <c r="S228" s="43">
        <f t="shared" si="77"/>
        <v>7200</v>
      </c>
      <c r="T228">
        <v>9600</v>
      </c>
      <c r="U228">
        <v>1200</v>
      </c>
      <c r="V228">
        <v>1200</v>
      </c>
      <c r="W228" s="43">
        <f t="shared" si="78"/>
        <v>12000</v>
      </c>
      <c r="X228">
        <v>0</v>
      </c>
      <c r="Y228" s="110"/>
      <c r="Z228" s="110"/>
      <c r="AA228" s="110"/>
      <c r="AB228" s="110"/>
      <c r="AC228" s="110"/>
      <c r="AD228" s="110"/>
      <c r="AE228" s="110"/>
      <c r="AF228" s="110"/>
      <c r="AG228" s="110"/>
      <c r="AH228" s="110"/>
      <c r="AI228" s="110"/>
      <c r="AJ228" s="110"/>
      <c r="AK228" s="110"/>
      <c r="AL228" s="110"/>
      <c r="AM228" s="110"/>
      <c r="AN228" s="110"/>
      <c r="AO228" s="110"/>
      <c r="AP228" s="110"/>
      <c r="AQ228" s="110"/>
      <c r="AR228" s="110"/>
      <c r="AS228" s="110"/>
      <c r="AT228" s="110"/>
      <c r="AU228" s="110"/>
      <c r="AV228" s="110"/>
      <c r="AW228" s="110"/>
      <c r="AX228" s="110"/>
      <c r="AY228" s="110"/>
      <c r="AZ228" s="110"/>
      <c r="BA228" s="110"/>
      <c r="BB228" s="110"/>
      <c r="BC228" s="110"/>
      <c r="BD228" s="110"/>
      <c r="BE228" s="110"/>
      <c r="BF228" s="110"/>
      <c r="BG228" s="110"/>
      <c r="BH228" s="110"/>
      <c r="BI228" s="110"/>
      <c r="BJ228" s="110"/>
      <c r="BK228" s="110"/>
      <c r="BL228" s="110"/>
      <c r="BM228" s="110"/>
      <c r="BN228" s="110"/>
      <c r="BO228" s="110"/>
      <c r="BP228" s="110"/>
      <c r="BQ228" s="110"/>
      <c r="BR228" s="110"/>
      <c r="BS228" s="110"/>
      <c r="BT228" s="110"/>
      <c r="BU228" s="110"/>
      <c r="BV228" s="110"/>
      <c r="BW228" s="110"/>
      <c r="BX228" s="110"/>
      <c r="BY228" s="110"/>
      <c r="BZ228" s="110"/>
      <c r="CA228" s="110"/>
      <c r="CB228" s="110"/>
      <c r="CC228" s="110"/>
      <c r="CD228" s="110"/>
      <c r="CE228" s="110"/>
      <c r="CF228" s="110"/>
    </row>
    <row r="229" spans="1:84" s="45" customFormat="1" x14ac:dyDescent="0.25">
      <c r="A229" t="str">
        <f>Funktional!A229</f>
        <v>Sommeri</v>
      </c>
      <c r="B229" t="str">
        <f>Funktional!B229</f>
        <v>KiGa</v>
      </c>
      <c r="C229">
        <v>0.15310000000000001</v>
      </c>
      <c r="D229">
        <v>8.8200000000000001E-2</v>
      </c>
      <c r="E229" s="26">
        <f t="shared" si="79"/>
        <v>1990263.2000000002</v>
      </c>
      <c r="F229">
        <v>960062.8</v>
      </c>
      <c r="G229">
        <v>1030200.4</v>
      </c>
      <c r="H229">
        <v>57453.65</v>
      </c>
      <c r="I229" s="42">
        <f t="shared" si="75"/>
        <v>2.8867362869393353E-2</v>
      </c>
      <c r="J229" s="80">
        <f t="shared" si="76"/>
        <v>13532</v>
      </c>
      <c r="K229" s="43">
        <f>J229*'KiGa - PS'!L230</f>
        <v>3079.37211079797</v>
      </c>
      <c r="L229" s="42">
        <f>K229/Funktional!E229</f>
        <v>2.2331435166845045E-2</v>
      </c>
      <c r="M229">
        <v>60</v>
      </c>
      <c r="N229" s="43">
        <f>K229/Funktional!C229</f>
        <v>6158.74422159594</v>
      </c>
      <c r="O229" s="44">
        <f>K229/Funktional!D229</f>
        <v>236.87477775369001</v>
      </c>
      <c r="P229">
        <v>3000</v>
      </c>
      <c r="Q229">
        <v>200</v>
      </c>
      <c r="R229">
        <v>0</v>
      </c>
      <c r="S229" s="43">
        <f t="shared" si="77"/>
        <v>3200</v>
      </c>
      <c r="T229">
        <v>8182</v>
      </c>
      <c r="U229">
        <v>0</v>
      </c>
      <c r="V229">
        <v>400</v>
      </c>
      <c r="W229" s="43">
        <f t="shared" si="78"/>
        <v>8582</v>
      </c>
      <c r="X229">
        <v>1750</v>
      </c>
      <c r="Y229" s="110"/>
      <c r="Z229" s="110"/>
      <c r="AA229" s="110"/>
      <c r="AB229" s="110"/>
      <c r="AC229" s="110"/>
      <c r="AD229" s="110"/>
      <c r="AE229" s="110"/>
      <c r="AF229" s="110"/>
      <c r="AG229" s="110"/>
      <c r="AH229" s="110"/>
      <c r="AI229" s="110"/>
      <c r="AJ229" s="110"/>
      <c r="AK229" s="110"/>
      <c r="AL229" s="110"/>
      <c r="AM229" s="110"/>
      <c r="AN229" s="110"/>
      <c r="AO229" s="110"/>
      <c r="AP229" s="110"/>
      <c r="AQ229" s="110"/>
      <c r="AR229" s="110"/>
      <c r="AS229" s="110"/>
      <c r="AT229" s="110"/>
      <c r="AU229" s="110"/>
      <c r="AV229" s="110"/>
      <c r="AW229" s="110"/>
      <c r="AX229" s="110"/>
      <c r="AY229" s="110"/>
      <c r="AZ229" s="110"/>
      <c r="BA229" s="110"/>
      <c r="BB229" s="110"/>
      <c r="BC229" s="110"/>
      <c r="BD229" s="110"/>
      <c r="BE229" s="110"/>
      <c r="BF229" s="110"/>
      <c r="BG229" s="110"/>
      <c r="BH229" s="110"/>
      <c r="BI229" s="110"/>
      <c r="BJ229" s="110"/>
      <c r="BK229" s="110"/>
      <c r="BL229" s="110"/>
      <c r="BM229" s="110"/>
      <c r="BN229" s="110"/>
      <c r="BO229" s="110"/>
      <c r="BP229" s="110"/>
      <c r="BQ229" s="110"/>
      <c r="BR229" s="110"/>
      <c r="BS229" s="110"/>
      <c r="BT229" s="110"/>
      <c r="BU229" s="110"/>
      <c r="BV229" s="110"/>
      <c r="BW229" s="110"/>
      <c r="BX229" s="110"/>
      <c r="BY229" s="110"/>
      <c r="BZ229" s="110"/>
      <c r="CA229" s="110"/>
      <c r="CB229" s="110"/>
      <c r="CC229" s="110"/>
      <c r="CD229" s="110"/>
      <c r="CE229" s="110"/>
      <c r="CF229" s="110"/>
    </row>
    <row r="230" spans="1:84" s="45" customFormat="1" x14ac:dyDescent="0.25">
      <c r="A230" t="str">
        <f>Funktional!A230</f>
        <v>Sonterswil</v>
      </c>
      <c r="B230" t="str">
        <f>Funktional!B230</f>
        <v>KiGa</v>
      </c>
      <c r="C230">
        <v>0.1439</v>
      </c>
      <c r="D230">
        <v>8.1799999999999998E-2</v>
      </c>
      <c r="E230" s="26">
        <f t="shared" si="79"/>
        <v>1272247.2</v>
      </c>
      <c r="F230">
        <v>892107</v>
      </c>
      <c r="G230">
        <v>380140.2</v>
      </c>
      <c r="H230">
        <v>26438.799999999999</v>
      </c>
      <c r="I230" s="42">
        <f t="shared" si="75"/>
        <v>2.0781181518811753E-2</v>
      </c>
      <c r="J230" s="80">
        <f t="shared" si="76"/>
        <v>12290</v>
      </c>
      <c r="K230" s="43">
        <f>J230*'KiGa - PS'!L231</f>
        <v>2201.7208156086704</v>
      </c>
      <c r="L230" s="42">
        <f>K230/Funktional!E230</f>
        <v>1.5850982706113563E-2</v>
      </c>
      <c r="M230">
        <v>50</v>
      </c>
      <c r="N230" s="43">
        <f>K230/Funktional!C230</f>
        <v>2201.7208156086704</v>
      </c>
      <c r="O230" s="44">
        <f>K230/Funktional!D230</f>
        <v>122.31782308937058</v>
      </c>
      <c r="P230">
        <v>2000</v>
      </c>
      <c r="Q230">
        <v>500</v>
      </c>
      <c r="R230">
        <v>0</v>
      </c>
      <c r="S230" s="43">
        <f t="shared" si="77"/>
        <v>2500</v>
      </c>
      <c r="T230">
        <v>7600</v>
      </c>
      <c r="U230">
        <v>500</v>
      </c>
      <c r="V230">
        <v>500</v>
      </c>
      <c r="W230" s="43">
        <f t="shared" si="78"/>
        <v>8600</v>
      </c>
      <c r="X230">
        <v>1190</v>
      </c>
      <c r="Y230" s="110"/>
      <c r="Z230" s="110"/>
      <c r="AA230" s="110"/>
      <c r="AB230" s="110"/>
      <c r="AC230" s="110"/>
      <c r="AD230" s="110"/>
      <c r="AE230" s="110"/>
      <c r="AF230" s="110"/>
      <c r="AG230" s="110"/>
      <c r="AH230" s="110"/>
      <c r="AI230" s="110"/>
      <c r="AJ230" s="110"/>
      <c r="AK230" s="110"/>
      <c r="AL230" s="110"/>
      <c r="AM230" s="110"/>
      <c r="AN230" s="110"/>
      <c r="AO230" s="110"/>
      <c r="AP230" s="110"/>
      <c r="AQ230" s="110"/>
      <c r="AR230" s="110"/>
      <c r="AS230" s="110"/>
      <c r="AT230" s="110"/>
      <c r="AU230" s="110"/>
      <c r="AV230" s="110"/>
      <c r="AW230" s="110"/>
      <c r="AX230" s="110"/>
      <c r="AY230" s="110"/>
      <c r="AZ230" s="110"/>
      <c r="BA230" s="110"/>
      <c r="BB230" s="110"/>
      <c r="BC230" s="110"/>
      <c r="BD230" s="110"/>
      <c r="BE230" s="110"/>
      <c r="BF230" s="110"/>
      <c r="BG230" s="110"/>
      <c r="BH230" s="110"/>
      <c r="BI230" s="110"/>
      <c r="BJ230" s="110"/>
      <c r="BK230" s="110"/>
      <c r="BL230" s="110"/>
      <c r="BM230" s="110"/>
      <c r="BN230" s="110"/>
      <c r="BO230" s="110"/>
      <c r="BP230" s="110"/>
      <c r="BQ230" s="110"/>
      <c r="BR230" s="110"/>
      <c r="BS230" s="110"/>
      <c r="BT230" s="110"/>
      <c r="BU230" s="110"/>
      <c r="BV230" s="110"/>
      <c r="BW230" s="110"/>
      <c r="BX230" s="110"/>
      <c r="BY230" s="110"/>
      <c r="BZ230" s="110"/>
      <c r="CA230" s="110"/>
      <c r="CB230" s="110"/>
      <c r="CC230" s="110"/>
      <c r="CD230" s="110"/>
      <c r="CE230" s="110"/>
      <c r="CF230" s="110"/>
    </row>
    <row r="231" spans="1:84" s="45" customFormat="1" x14ac:dyDescent="0.25">
      <c r="A231" t="str">
        <f>Funktional!A231</f>
        <v>Steckborn</v>
      </c>
      <c r="B231" t="str">
        <f>Funktional!B231</f>
        <v>KiGa</v>
      </c>
      <c r="C231">
        <v>7.4700000000000003E-2</v>
      </c>
      <c r="D231">
        <v>3.4099999999999998E-2</v>
      </c>
      <c r="E231" s="26">
        <f t="shared" si="79"/>
        <v>4678965.5</v>
      </c>
      <c r="F231">
        <v>2562370.6</v>
      </c>
      <c r="G231">
        <v>2116594.9</v>
      </c>
      <c r="H231">
        <v>21918.65</v>
      </c>
      <c r="I231" s="42">
        <f t="shared" si="75"/>
        <v>4.6845077186399436E-3</v>
      </c>
      <c r="J231" s="80">
        <f t="shared" si="76"/>
        <v>107788</v>
      </c>
      <c r="K231" s="43">
        <f>J231*'KiGa - PS'!L232</f>
        <v>17436.89694319079</v>
      </c>
      <c r="L231" s="42">
        <f>K231/Funktional!E231</f>
        <v>2.7818913245177736E-2</v>
      </c>
      <c r="M231">
        <v>70</v>
      </c>
      <c r="N231" s="43">
        <f>K231/Funktional!C231</f>
        <v>3487.3793886381582</v>
      </c>
      <c r="O231" s="44">
        <f>K231/Funktional!D231</f>
        <v>272.45151473735609</v>
      </c>
      <c r="P231">
        <v>44564</v>
      </c>
      <c r="Q231">
        <v>0</v>
      </c>
      <c r="R231">
        <v>1500</v>
      </c>
      <c r="S231" s="43">
        <f t="shared" si="77"/>
        <v>46064</v>
      </c>
      <c r="T231">
        <v>41954</v>
      </c>
      <c r="U231">
        <v>0</v>
      </c>
      <c r="V231">
        <v>1770</v>
      </c>
      <c r="W231" s="43">
        <f t="shared" si="78"/>
        <v>43724</v>
      </c>
      <c r="X231">
        <v>18000</v>
      </c>
      <c r="Y231" s="110"/>
      <c r="Z231" s="110"/>
      <c r="AA231" s="110"/>
      <c r="AB231" s="110"/>
      <c r="AC231" s="110"/>
      <c r="AD231" s="110"/>
      <c r="AE231" s="110"/>
      <c r="AF231" s="110"/>
      <c r="AG231" s="110"/>
      <c r="AH231" s="110"/>
      <c r="AI231" s="110"/>
      <c r="AJ231" s="110"/>
      <c r="AK231" s="110"/>
      <c r="AL231" s="110"/>
      <c r="AM231" s="110"/>
      <c r="AN231" s="110"/>
      <c r="AO231" s="110"/>
      <c r="AP231" s="110"/>
      <c r="AQ231" s="110"/>
      <c r="AR231" s="110"/>
      <c r="AS231" s="110"/>
      <c r="AT231" s="110"/>
      <c r="AU231" s="110"/>
      <c r="AV231" s="110"/>
      <c r="AW231" s="110"/>
      <c r="AX231" s="110"/>
      <c r="AY231" s="110"/>
      <c r="AZ231" s="110"/>
      <c r="BA231" s="110"/>
      <c r="BB231" s="110"/>
      <c r="BC231" s="110"/>
      <c r="BD231" s="110"/>
      <c r="BE231" s="110"/>
      <c r="BF231" s="110"/>
      <c r="BG231" s="110"/>
      <c r="BH231" s="110"/>
      <c r="BI231" s="110"/>
      <c r="BJ231" s="110"/>
      <c r="BK231" s="110"/>
      <c r="BL231" s="110"/>
      <c r="BM231" s="110"/>
      <c r="BN231" s="110"/>
      <c r="BO231" s="110"/>
      <c r="BP231" s="110"/>
      <c r="BQ231" s="110"/>
      <c r="BR231" s="110"/>
      <c r="BS231" s="110"/>
      <c r="BT231" s="110"/>
      <c r="BU231" s="110"/>
      <c r="BV231" s="110"/>
      <c r="BW231" s="110"/>
      <c r="BX231" s="110"/>
      <c r="BY231" s="110"/>
      <c r="BZ231" s="110"/>
      <c r="CA231" s="110"/>
      <c r="CB231" s="110"/>
      <c r="CC231" s="110"/>
      <c r="CD231" s="110"/>
      <c r="CE231" s="110"/>
      <c r="CF231" s="110"/>
    </row>
    <row r="232" spans="1:84" s="45" customFormat="1" x14ac:dyDescent="0.25">
      <c r="A232" t="str">
        <f>Funktional!A232</f>
        <v>Steinebrunn</v>
      </c>
      <c r="B232" t="str">
        <f>Funktional!B232</f>
        <v>KiGa</v>
      </c>
      <c r="C232">
        <v>0.1062</v>
      </c>
      <c r="D232">
        <v>6.4799999999999996E-2</v>
      </c>
      <c r="E232" s="26">
        <f t="shared" si="79"/>
        <v>925995.8</v>
      </c>
      <c r="F232">
        <v>895508</v>
      </c>
      <c r="G232">
        <v>30487.8</v>
      </c>
      <c r="H232">
        <v>280.45</v>
      </c>
      <c r="I232" s="42">
        <f t="shared" si="75"/>
        <v>3.0286314473564562E-4</v>
      </c>
      <c r="J232" s="80">
        <f t="shared" si="76"/>
        <v>10999</v>
      </c>
      <c r="K232" s="43">
        <f>J232*'KiGa - PS'!L233</f>
        <v>1911.0415920115074</v>
      </c>
      <c r="L232" s="42">
        <f>K232/Funktional!E232</f>
        <v>1.51055441357178E-2</v>
      </c>
      <c r="M232">
        <v>60</v>
      </c>
      <c r="N232" s="43">
        <f>K232/Funktional!C232</f>
        <v>1911.0415920115074</v>
      </c>
      <c r="O232" s="44">
        <f>K232/Funktional!D232</f>
        <v>100.58113642165829</v>
      </c>
      <c r="P232">
        <v>1999</v>
      </c>
      <c r="Q232">
        <v>0</v>
      </c>
      <c r="R232">
        <v>0</v>
      </c>
      <c r="S232" s="43">
        <f t="shared" si="77"/>
        <v>1999</v>
      </c>
      <c r="T232">
        <v>7200</v>
      </c>
      <c r="U232">
        <v>0</v>
      </c>
      <c r="V232">
        <v>1800</v>
      </c>
      <c r="W232" s="43">
        <f t="shared" si="78"/>
        <v>9000</v>
      </c>
      <c r="X232">
        <v>0</v>
      </c>
      <c r="Y232" s="110"/>
      <c r="Z232" s="110"/>
      <c r="AA232" s="110"/>
      <c r="AB232" s="110"/>
      <c r="AC232" s="110"/>
      <c r="AD232" s="110"/>
      <c r="AE232" s="110"/>
      <c r="AF232" s="110"/>
      <c r="AG232" s="110"/>
      <c r="AH232" s="110"/>
      <c r="AI232" s="110"/>
      <c r="AJ232" s="110"/>
      <c r="AK232" s="110"/>
      <c r="AL232" s="110"/>
      <c r="AM232" s="110"/>
      <c r="AN232" s="110"/>
      <c r="AO232" s="110"/>
      <c r="AP232" s="110"/>
      <c r="AQ232" s="110"/>
      <c r="AR232" s="110"/>
      <c r="AS232" s="110"/>
      <c r="AT232" s="110"/>
      <c r="AU232" s="110"/>
      <c r="AV232" s="110"/>
      <c r="AW232" s="110"/>
      <c r="AX232" s="110"/>
      <c r="AY232" s="110"/>
      <c r="AZ232" s="110"/>
      <c r="BA232" s="110"/>
      <c r="BB232" s="110"/>
      <c r="BC232" s="110"/>
      <c r="BD232" s="110"/>
      <c r="BE232" s="110"/>
      <c r="BF232" s="110"/>
      <c r="BG232" s="110"/>
      <c r="BH232" s="110"/>
      <c r="BI232" s="110"/>
      <c r="BJ232" s="110"/>
      <c r="BK232" s="110"/>
      <c r="BL232" s="110"/>
      <c r="BM232" s="110"/>
      <c r="BN232" s="110"/>
      <c r="BO232" s="110"/>
      <c r="BP232" s="110"/>
      <c r="BQ232" s="110"/>
      <c r="BR232" s="110"/>
      <c r="BS232" s="110"/>
      <c r="BT232" s="110"/>
      <c r="BU232" s="110"/>
      <c r="BV232" s="110"/>
      <c r="BW232" s="110"/>
      <c r="BX232" s="110"/>
      <c r="BY232" s="110"/>
      <c r="BZ232" s="110"/>
      <c r="CA232" s="110"/>
      <c r="CB232" s="110"/>
      <c r="CC232" s="110"/>
      <c r="CD232" s="110"/>
      <c r="CE232" s="110"/>
      <c r="CF232" s="110"/>
    </row>
    <row r="233" spans="1:84" s="45" customFormat="1" x14ac:dyDescent="0.25">
      <c r="A233" t="str">
        <f>Funktional!A233</f>
        <v>Stettfurt</v>
      </c>
      <c r="B233" t="str">
        <f>Funktional!B233</f>
        <v>KiGa</v>
      </c>
      <c r="C233">
        <v>0.1167</v>
      </c>
      <c r="D233">
        <v>5.28E-2</v>
      </c>
      <c r="E233" s="26">
        <f t="shared" ref="E233:E249" si="80">F233+G233</f>
        <v>2051749.25</v>
      </c>
      <c r="F233">
        <v>1375801.9</v>
      </c>
      <c r="G233">
        <v>675947.35</v>
      </c>
      <c r="H233">
        <v>30511.25</v>
      </c>
      <c r="I233" s="42">
        <f t="shared" ref="I233:I248" si="81">H233/E233</f>
        <v>1.4870847400090434E-2</v>
      </c>
      <c r="J233" s="80">
        <f t="shared" ref="J233:J248" si="82">S233+W233+X233</f>
        <v>19360</v>
      </c>
      <c r="K233" s="43">
        <f>J233*'KiGa - PS'!L234</f>
        <v>4721.9219331929535</v>
      </c>
      <c r="L233" s="42">
        <f>K233/Funktional!E233</f>
        <v>1.77311711745376E-2</v>
      </c>
      <c r="M233">
        <v>52</v>
      </c>
      <c r="N233" s="43">
        <f>K233/Funktional!C233</f>
        <v>4721.9219331929535</v>
      </c>
      <c r="O233" s="44">
        <f>K233/Funktional!D233</f>
        <v>157.39739777309845</v>
      </c>
      <c r="P233">
        <v>3800</v>
      </c>
      <c r="Q233">
        <v>1380</v>
      </c>
      <c r="R233">
        <v>0</v>
      </c>
      <c r="S233" s="43">
        <f t="shared" ref="S233:S248" si="83">P233+Q233+R233</f>
        <v>5180</v>
      </c>
      <c r="T233">
        <v>7600</v>
      </c>
      <c r="U233">
        <v>1380</v>
      </c>
      <c r="V233">
        <v>0</v>
      </c>
      <c r="W233" s="43">
        <f t="shared" ref="W233:W248" si="84">T233+U233+V233</f>
        <v>8980</v>
      </c>
      <c r="X233">
        <v>5200</v>
      </c>
      <c r="Y233" s="110"/>
      <c r="Z233" s="110"/>
      <c r="AA233" s="110"/>
      <c r="AB233" s="110"/>
      <c r="AC233" s="110"/>
      <c r="AD233" s="110"/>
      <c r="AE233" s="110"/>
      <c r="AF233" s="110"/>
      <c r="AG233" s="110"/>
      <c r="AH233" s="110"/>
      <c r="AI233" s="110"/>
      <c r="AJ233" s="110"/>
      <c r="AK233" s="110"/>
      <c r="AL233" s="110"/>
      <c r="AM233" s="110"/>
      <c r="AN233" s="110"/>
      <c r="AO233" s="110"/>
      <c r="AP233" s="110"/>
      <c r="AQ233" s="110"/>
      <c r="AR233" s="110"/>
      <c r="AS233" s="110"/>
      <c r="AT233" s="110"/>
      <c r="AU233" s="110"/>
      <c r="AV233" s="110"/>
      <c r="AW233" s="110"/>
      <c r="AX233" s="110"/>
      <c r="AY233" s="110"/>
      <c r="AZ233" s="110"/>
      <c r="BA233" s="110"/>
      <c r="BB233" s="110"/>
      <c r="BC233" s="110"/>
      <c r="BD233" s="110"/>
      <c r="BE233" s="110"/>
      <c r="BF233" s="110"/>
      <c r="BG233" s="110"/>
      <c r="BH233" s="110"/>
      <c r="BI233" s="110"/>
      <c r="BJ233" s="110"/>
      <c r="BK233" s="110"/>
      <c r="BL233" s="110"/>
      <c r="BM233" s="110"/>
      <c r="BN233" s="110"/>
      <c r="BO233" s="110"/>
      <c r="BP233" s="110"/>
      <c r="BQ233" s="110"/>
      <c r="BR233" s="110"/>
      <c r="BS233" s="110"/>
      <c r="BT233" s="110"/>
      <c r="BU233" s="110"/>
      <c r="BV233" s="110"/>
      <c r="BW233" s="110"/>
      <c r="BX233" s="110"/>
      <c r="BY233" s="110"/>
      <c r="BZ233" s="110"/>
      <c r="CA233" s="110"/>
      <c r="CB233" s="110"/>
      <c r="CC233" s="110"/>
      <c r="CD233" s="110"/>
      <c r="CE233" s="110"/>
      <c r="CF233" s="110"/>
    </row>
    <row r="234" spans="1:84" s="45" customFormat="1" x14ac:dyDescent="0.25">
      <c r="A234" t="str">
        <f>Funktional!A234</f>
        <v>Strohwilen-Wolfikon</v>
      </c>
      <c r="B234" t="str">
        <f>Funktional!B234</f>
        <v>KiGa</v>
      </c>
      <c r="C234">
        <v>0.1027</v>
      </c>
      <c r="D234">
        <v>1.4500000000000001E-2</v>
      </c>
      <c r="E234" s="26">
        <f t="shared" si="80"/>
        <v>624975.65</v>
      </c>
      <c r="F234">
        <v>530934</v>
      </c>
      <c r="G234">
        <v>94041.65</v>
      </c>
      <c r="H234">
        <v>19423.3</v>
      </c>
      <c r="I234" s="42">
        <f t="shared" si="81"/>
        <v>3.1078490818002267E-2</v>
      </c>
      <c r="J234" s="80">
        <f t="shared" si="82"/>
        <v>8000</v>
      </c>
      <c r="K234" s="43">
        <f>J234*'KiGa - PS'!L235</f>
        <v>2188.0285572299917</v>
      </c>
      <c r="L234" s="42">
        <f>K234/Funktional!E234</f>
        <v>2.4063410696697408E-2</v>
      </c>
      <c r="M234">
        <v>50</v>
      </c>
      <c r="N234" s="43">
        <f>K234/Funktional!C234</f>
        <v>4376.0571144599835</v>
      </c>
      <c r="O234" s="44">
        <f>K234/Funktional!D234</f>
        <v>136.75178482687448</v>
      </c>
      <c r="P234">
        <v>1100</v>
      </c>
      <c r="Q234">
        <v>0</v>
      </c>
      <c r="R234">
        <v>600</v>
      </c>
      <c r="S234" s="43">
        <f t="shared" si="83"/>
        <v>1700</v>
      </c>
      <c r="T234">
        <v>3500</v>
      </c>
      <c r="U234">
        <v>0</v>
      </c>
      <c r="V234">
        <v>1800</v>
      </c>
      <c r="W234" s="43">
        <f t="shared" si="84"/>
        <v>5300</v>
      </c>
      <c r="X234">
        <v>1000</v>
      </c>
      <c r="Y234" s="110"/>
      <c r="Z234" s="110"/>
      <c r="AA234" s="110"/>
      <c r="AB234" s="110"/>
      <c r="AC234" s="110"/>
      <c r="AD234" s="110"/>
      <c r="AE234" s="110"/>
      <c r="AF234" s="110"/>
      <c r="AG234" s="110"/>
      <c r="AH234" s="110"/>
      <c r="AI234" s="110"/>
      <c r="AJ234" s="110"/>
      <c r="AK234" s="110"/>
      <c r="AL234" s="110"/>
      <c r="AM234" s="110"/>
      <c r="AN234" s="110"/>
      <c r="AO234" s="110"/>
      <c r="AP234" s="110"/>
      <c r="AQ234" s="110"/>
      <c r="AR234" s="110"/>
      <c r="AS234" s="110"/>
      <c r="AT234" s="110"/>
      <c r="AU234" s="110"/>
      <c r="AV234" s="110"/>
      <c r="AW234" s="110"/>
      <c r="AX234" s="110"/>
      <c r="AY234" s="110"/>
      <c r="AZ234" s="110"/>
      <c r="BA234" s="110"/>
      <c r="BB234" s="110"/>
      <c r="BC234" s="110"/>
      <c r="BD234" s="110"/>
      <c r="BE234" s="110"/>
      <c r="BF234" s="110"/>
      <c r="BG234" s="110"/>
      <c r="BH234" s="110"/>
      <c r="BI234" s="110"/>
      <c r="BJ234" s="110"/>
      <c r="BK234" s="110"/>
      <c r="BL234" s="110"/>
      <c r="BM234" s="110"/>
      <c r="BN234" s="110"/>
      <c r="BO234" s="110"/>
      <c r="BP234" s="110"/>
      <c r="BQ234" s="110"/>
      <c r="BR234" s="110"/>
      <c r="BS234" s="110"/>
      <c r="BT234" s="110"/>
      <c r="BU234" s="110"/>
      <c r="BV234" s="110"/>
      <c r="BW234" s="110"/>
      <c r="BX234" s="110"/>
      <c r="BY234" s="110"/>
      <c r="BZ234" s="110"/>
      <c r="CA234" s="110"/>
      <c r="CB234" s="110"/>
      <c r="CC234" s="110"/>
      <c r="CD234" s="110"/>
      <c r="CE234" s="110"/>
      <c r="CF234" s="110"/>
    </row>
    <row r="235" spans="1:84" s="45" customFormat="1" x14ac:dyDescent="0.25">
      <c r="A235" t="str">
        <f>Funktional!A235</f>
        <v>Sulgen</v>
      </c>
      <c r="B235" t="str">
        <f>Funktional!B235</f>
        <v>KiGa</v>
      </c>
      <c r="C235">
        <v>9.6699999999999994E-2</v>
      </c>
      <c r="D235">
        <v>4.4499999999999998E-2</v>
      </c>
      <c r="E235" s="26">
        <f t="shared" si="80"/>
        <v>4072924.87</v>
      </c>
      <c r="F235">
        <v>3460844.45</v>
      </c>
      <c r="G235">
        <v>612080.42000000004</v>
      </c>
      <c r="H235">
        <v>13279.5</v>
      </c>
      <c r="I235" s="42">
        <f t="shared" si="81"/>
        <v>3.2604333308019011E-3</v>
      </c>
      <c r="J235" s="80">
        <f t="shared" si="82"/>
        <v>61600</v>
      </c>
      <c r="K235" s="43">
        <f>J235*'KiGa - PS'!L236</f>
        <v>9450.7127357582885</v>
      </c>
      <c r="L235" s="42">
        <f>K235/Funktional!E235</f>
        <v>1.7824029978166577E-2</v>
      </c>
      <c r="M235">
        <v>60</v>
      </c>
      <c r="N235" s="43">
        <f>K235/Funktional!C235</f>
        <v>2362.6781839395721</v>
      </c>
      <c r="O235" s="44">
        <f>K235/Funktional!D235</f>
        <v>96.435844242431514</v>
      </c>
      <c r="P235">
        <v>14000</v>
      </c>
      <c r="Q235">
        <v>2600</v>
      </c>
      <c r="R235">
        <v>3000</v>
      </c>
      <c r="S235" s="43">
        <f t="shared" si="83"/>
        <v>19600</v>
      </c>
      <c r="T235">
        <v>38000</v>
      </c>
      <c r="U235">
        <v>1600</v>
      </c>
      <c r="V235">
        <v>2400</v>
      </c>
      <c r="W235" s="43">
        <f t="shared" si="84"/>
        <v>42000</v>
      </c>
      <c r="X235">
        <v>0</v>
      </c>
      <c r="Y235" s="110"/>
      <c r="Z235" s="110"/>
      <c r="AA235" s="110"/>
      <c r="AB235" s="110"/>
      <c r="AC235" s="110"/>
      <c r="AD235" s="110"/>
      <c r="AE235" s="110"/>
      <c r="AF235" s="110"/>
      <c r="AG235" s="110"/>
      <c r="AH235" s="110"/>
      <c r="AI235" s="110"/>
      <c r="AJ235" s="110"/>
      <c r="AK235" s="110"/>
      <c r="AL235" s="110"/>
      <c r="AM235" s="110"/>
      <c r="AN235" s="110"/>
      <c r="AO235" s="110"/>
      <c r="AP235" s="110"/>
      <c r="AQ235" s="110"/>
      <c r="AR235" s="110"/>
      <c r="AS235" s="110"/>
      <c r="AT235" s="110"/>
      <c r="AU235" s="110"/>
      <c r="AV235" s="110"/>
      <c r="AW235" s="110"/>
      <c r="AX235" s="110"/>
      <c r="AY235" s="110"/>
      <c r="AZ235" s="110"/>
      <c r="BA235" s="110"/>
      <c r="BB235" s="110"/>
      <c r="BC235" s="110"/>
      <c r="BD235" s="110"/>
      <c r="BE235" s="110"/>
      <c r="BF235" s="110"/>
      <c r="BG235" s="110"/>
      <c r="BH235" s="110"/>
      <c r="BI235" s="110"/>
      <c r="BJ235" s="110"/>
      <c r="BK235" s="110"/>
      <c r="BL235" s="110"/>
      <c r="BM235" s="110"/>
      <c r="BN235" s="110"/>
      <c r="BO235" s="110"/>
      <c r="BP235" s="110"/>
      <c r="BQ235" s="110"/>
      <c r="BR235" s="110"/>
      <c r="BS235" s="110"/>
      <c r="BT235" s="110"/>
      <c r="BU235" s="110"/>
      <c r="BV235" s="110"/>
      <c r="BW235" s="110"/>
      <c r="BX235" s="110"/>
      <c r="BY235" s="110"/>
      <c r="BZ235" s="110"/>
      <c r="CA235" s="110"/>
      <c r="CB235" s="110"/>
      <c r="CC235" s="110"/>
      <c r="CD235" s="110"/>
      <c r="CE235" s="110"/>
      <c r="CF235" s="110"/>
    </row>
    <row r="236" spans="1:84" s="45" customFormat="1" x14ac:dyDescent="0.25">
      <c r="A236" t="str">
        <f>Funktional!A236</f>
        <v>Tägerwilen</v>
      </c>
      <c r="B236" t="str">
        <f>Funktional!B236</f>
        <v>KiGa</v>
      </c>
      <c r="C236">
        <v>0.17699999999999999</v>
      </c>
      <c r="D236">
        <v>8.14E-2</v>
      </c>
      <c r="E236" s="26">
        <f t="shared" si="80"/>
        <v>8902566.75</v>
      </c>
      <c r="F236">
        <v>5608601</v>
      </c>
      <c r="G236">
        <v>3293965.75</v>
      </c>
      <c r="H236">
        <v>25997.9</v>
      </c>
      <c r="I236" s="42">
        <f t="shared" si="81"/>
        <v>2.920270156918509E-3</v>
      </c>
      <c r="J236" s="80">
        <f t="shared" si="82"/>
        <v>58410</v>
      </c>
      <c r="K236" s="43">
        <f>J236*'KiGa - PS'!L237</f>
        <v>11981.745720146979</v>
      </c>
      <c r="L236" s="42">
        <f>K236/Funktional!E236</f>
        <v>1.6368092134788449E-2</v>
      </c>
      <c r="M236">
        <v>60</v>
      </c>
      <c r="N236" s="43">
        <f>K236/Funktional!C236</f>
        <v>2396.3491440293956</v>
      </c>
      <c r="O236" s="44">
        <f>K236/Funktional!D236</f>
        <v>128.83597548545137</v>
      </c>
      <c r="P236">
        <v>15600</v>
      </c>
      <c r="Q236">
        <v>0</v>
      </c>
      <c r="R236">
        <v>1510</v>
      </c>
      <c r="S236" s="43">
        <f t="shared" si="83"/>
        <v>17110</v>
      </c>
      <c r="T236">
        <v>38400</v>
      </c>
      <c r="U236">
        <v>0</v>
      </c>
      <c r="V236">
        <v>2900</v>
      </c>
      <c r="W236" s="43">
        <f t="shared" si="84"/>
        <v>41300</v>
      </c>
      <c r="X236">
        <v>0</v>
      </c>
      <c r="Y236" s="110"/>
      <c r="Z236" s="110"/>
      <c r="AA236" s="110"/>
      <c r="AB236" s="110"/>
      <c r="AC236" s="110"/>
      <c r="AD236" s="110"/>
      <c r="AE236" s="110"/>
      <c r="AF236" s="110"/>
      <c r="AG236" s="110"/>
      <c r="AH236" s="110"/>
      <c r="AI236" s="110"/>
      <c r="AJ236" s="110"/>
      <c r="AK236" s="110"/>
      <c r="AL236" s="110"/>
      <c r="AM236" s="110"/>
      <c r="AN236" s="110"/>
      <c r="AO236" s="110"/>
      <c r="AP236" s="110"/>
      <c r="AQ236" s="110"/>
      <c r="AR236" s="110"/>
      <c r="AS236" s="110"/>
      <c r="AT236" s="110"/>
      <c r="AU236" s="110"/>
      <c r="AV236" s="110"/>
      <c r="AW236" s="110"/>
      <c r="AX236" s="110"/>
      <c r="AY236" s="110"/>
      <c r="AZ236" s="110"/>
      <c r="BA236" s="110"/>
      <c r="BB236" s="110"/>
      <c r="BC236" s="110"/>
      <c r="BD236" s="110"/>
      <c r="BE236" s="110"/>
      <c r="BF236" s="110"/>
      <c r="BG236" s="110"/>
      <c r="BH236" s="110"/>
      <c r="BI236" s="110"/>
      <c r="BJ236" s="110"/>
      <c r="BK236" s="110"/>
      <c r="BL236" s="110"/>
      <c r="BM236" s="110"/>
      <c r="BN236" s="110"/>
      <c r="BO236" s="110"/>
      <c r="BP236" s="110"/>
      <c r="BQ236" s="110"/>
      <c r="BR236" s="110"/>
      <c r="BS236" s="110"/>
      <c r="BT236" s="110"/>
      <c r="BU236" s="110"/>
      <c r="BV236" s="110"/>
      <c r="BW236" s="110"/>
      <c r="BX236" s="110"/>
      <c r="BY236" s="110"/>
      <c r="BZ236" s="110"/>
      <c r="CA236" s="110"/>
      <c r="CB236" s="110"/>
      <c r="CC236" s="110"/>
      <c r="CD236" s="110"/>
      <c r="CE236" s="110"/>
      <c r="CF236" s="110"/>
    </row>
    <row r="237" spans="1:84" s="45" customFormat="1" x14ac:dyDescent="0.25">
      <c r="A237" t="str">
        <f>Funktional!A237</f>
        <v>Thundorf</v>
      </c>
      <c r="B237" t="str">
        <f>Funktional!B237</f>
        <v>KiGa</v>
      </c>
      <c r="C237">
        <v>0.17649999999999999</v>
      </c>
      <c r="D237">
        <v>7.22E-2</v>
      </c>
      <c r="E237" s="26">
        <f t="shared" si="80"/>
        <v>3356139.05</v>
      </c>
      <c r="F237">
        <v>2700400</v>
      </c>
      <c r="G237">
        <v>655739.05000000005</v>
      </c>
      <c r="H237">
        <v>104728.5</v>
      </c>
      <c r="I237" s="42">
        <f t="shared" si="81"/>
        <v>3.1205053914556968E-2</v>
      </c>
      <c r="J237" s="80">
        <f t="shared" si="82"/>
        <v>28700</v>
      </c>
      <c r="K237" s="43">
        <f>J237*'KiGa - PS'!L238</f>
        <v>4749.7552888157379</v>
      </c>
      <c r="L237" s="42">
        <f>K237/Funktional!E237</f>
        <v>1.813890808677775E-2</v>
      </c>
      <c r="M237">
        <v>60</v>
      </c>
      <c r="N237" s="43">
        <f>K237/Funktional!C237</f>
        <v>3166.5035258771586</v>
      </c>
      <c r="O237" s="44">
        <f>K237/Funktional!D237</f>
        <v>124.9935602319931</v>
      </c>
      <c r="P237">
        <v>6000</v>
      </c>
      <c r="Q237">
        <v>4000</v>
      </c>
      <c r="R237">
        <v>500</v>
      </c>
      <c r="S237" s="43">
        <f t="shared" si="83"/>
        <v>10500</v>
      </c>
      <c r="T237">
        <v>10000</v>
      </c>
      <c r="U237">
        <v>3500</v>
      </c>
      <c r="V237">
        <v>1000</v>
      </c>
      <c r="W237" s="43">
        <f t="shared" si="84"/>
        <v>14500</v>
      </c>
      <c r="X237">
        <v>3700</v>
      </c>
      <c r="Y237" s="110"/>
      <c r="Z237" s="110"/>
      <c r="AA237" s="110"/>
      <c r="AB237" s="110"/>
      <c r="AC237" s="110"/>
      <c r="AD237" s="110"/>
      <c r="AE237" s="110"/>
      <c r="AF237" s="110"/>
      <c r="AG237" s="110"/>
      <c r="AH237" s="110"/>
      <c r="AI237" s="110"/>
      <c r="AJ237" s="110"/>
      <c r="AK237" s="110"/>
      <c r="AL237" s="110"/>
      <c r="AM237" s="110"/>
      <c r="AN237" s="110"/>
      <c r="AO237" s="110"/>
      <c r="AP237" s="110"/>
      <c r="AQ237" s="110"/>
      <c r="AR237" s="110"/>
      <c r="AS237" s="110"/>
      <c r="AT237" s="110"/>
      <c r="AU237" s="110"/>
      <c r="AV237" s="110"/>
      <c r="AW237" s="110"/>
      <c r="AX237" s="110"/>
      <c r="AY237" s="110"/>
      <c r="AZ237" s="110"/>
      <c r="BA237" s="110"/>
      <c r="BB237" s="110"/>
      <c r="BC237" s="110"/>
      <c r="BD237" s="110"/>
      <c r="BE237" s="110"/>
      <c r="BF237" s="110"/>
      <c r="BG237" s="110"/>
      <c r="BH237" s="110"/>
      <c r="BI237" s="110"/>
      <c r="BJ237" s="110"/>
      <c r="BK237" s="110"/>
      <c r="BL237" s="110"/>
      <c r="BM237" s="110"/>
      <c r="BN237" s="110"/>
      <c r="BO237" s="110"/>
      <c r="BP237" s="110"/>
      <c r="BQ237" s="110"/>
      <c r="BR237" s="110"/>
      <c r="BS237" s="110"/>
      <c r="BT237" s="110"/>
      <c r="BU237" s="110"/>
      <c r="BV237" s="110"/>
      <c r="BW237" s="110"/>
      <c r="BX237" s="110"/>
      <c r="BY237" s="110"/>
      <c r="BZ237" s="110"/>
      <c r="CA237" s="110"/>
      <c r="CB237" s="110"/>
      <c r="CC237" s="110"/>
      <c r="CD237" s="110"/>
      <c r="CE237" s="110"/>
      <c r="CF237" s="110"/>
    </row>
    <row r="238" spans="1:84" s="45" customFormat="1" x14ac:dyDescent="0.25">
      <c r="A238" t="str">
        <f>Funktional!A238</f>
        <v>Tobel</v>
      </c>
      <c r="B238" t="str">
        <f>Funktional!B238</f>
        <v>KiGa</v>
      </c>
      <c r="C238">
        <v>0.1079</v>
      </c>
      <c r="D238">
        <v>9.5699999999999993E-2</v>
      </c>
      <c r="E238" s="26">
        <f t="shared" si="80"/>
        <v>5204182.22</v>
      </c>
      <c r="F238">
        <v>3820060.05</v>
      </c>
      <c r="G238">
        <v>1384122.17</v>
      </c>
      <c r="H238">
        <v>51996.25</v>
      </c>
      <c r="I238" s="42">
        <f t="shared" si="81"/>
        <v>9.9912431582766525E-3</v>
      </c>
      <c r="J238" s="80">
        <f t="shared" si="82"/>
        <v>21200</v>
      </c>
      <c r="K238" s="43">
        <f>J238*'KiGa - PS'!L239</f>
        <v>1971.1212049113276</v>
      </c>
      <c r="L238" s="42">
        <f>K238/Funktional!E238</f>
        <v>1.5407346139788627E-2</v>
      </c>
      <c r="M238">
        <v>50</v>
      </c>
      <c r="N238" s="43">
        <f>K238/Funktional!C238</f>
        <v>1971.1212049113276</v>
      </c>
      <c r="O238" s="44">
        <f>K238/Funktional!D238</f>
        <v>98.556060245566385</v>
      </c>
      <c r="P238">
        <v>6400</v>
      </c>
      <c r="Q238">
        <v>200</v>
      </c>
      <c r="R238">
        <v>0</v>
      </c>
      <c r="S238" s="43">
        <f t="shared" si="83"/>
        <v>6600</v>
      </c>
      <c r="T238">
        <v>9500</v>
      </c>
      <c r="U238">
        <v>200</v>
      </c>
      <c r="V238">
        <v>2500</v>
      </c>
      <c r="W238" s="43">
        <f t="shared" si="84"/>
        <v>12200</v>
      </c>
      <c r="X238">
        <v>2400</v>
      </c>
      <c r="Y238" s="110"/>
      <c r="Z238" s="110"/>
      <c r="AA238" s="110"/>
      <c r="AB238" s="110"/>
      <c r="AC238" s="110"/>
      <c r="AD238" s="110"/>
      <c r="AE238" s="110"/>
      <c r="AF238" s="110"/>
      <c r="AG238" s="110"/>
      <c r="AH238" s="110"/>
      <c r="AI238" s="110"/>
      <c r="AJ238" s="110"/>
      <c r="AK238" s="110"/>
      <c r="AL238" s="110"/>
      <c r="AM238" s="110"/>
      <c r="AN238" s="110"/>
      <c r="AO238" s="110"/>
      <c r="AP238" s="110"/>
      <c r="AQ238" s="110"/>
      <c r="AR238" s="110"/>
      <c r="AS238" s="110"/>
      <c r="AT238" s="110"/>
      <c r="AU238" s="110"/>
      <c r="AV238" s="110"/>
      <c r="AW238" s="110"/>
      <c r="AX238" s="110"/>
      <c r="AY238" s="110"/>
      <c r="AZ238" s="110"/>
      <c r="BA238" s="110"/>
      <c r="BB238" s="110"/>
      <c r="BC238" s="110"/>
      <c r="BD238" s="110"/>
      <c r="BE238" s="110"/>
      <c r="BF238" s="110"/>
      <c r="BG238" s="110"/>
      <c r="BH238" s="110"/>
      <c r="BI238" s="110"/>
      <c r="BJ238" s="110"/>
      <c r="BK238" s="110"/>
      <c r="BL238" s="110"/>
      <c r="BM238" s="110"/>
      <c r="BN238" s="110"/>
      <c r="BO238" s="110"/>
      <c r="BP238" s="110"/>
      <c r="BQ238" s="110"/>
      <c r="BR238" s="110"/>
      <c r="BS238" s="110"/>
      <c r="BT238" s="110"/>
      <c r="BU238" s="110"/>
      <c r="BV238" s="110"/>
      <c r="BW238" s="110"/>
      <c r="BX238" s="110"/>
      <c r="BY238" s="110"/>
      <c r="BZ238" s="110"/>
      <c r="CA238" s="110"/>
      <c r="CB238" s="110"/>
      <c r="CC238" s="110"/>
      <c r="CD238" s="110"/>
      <c r="CE238" s="110"/>
      <c r="CF238" s="110"/>
    </row>
    <row r="239" spans="1:84" s="45" customFormat="1" x14ac:dyDescent="0.25">
      <c r="A239" t="str">
        <f>Funktional!A239</f>
        <v>Uesslingen</v>
      </c>
      <c r="B239" t="str">
        <f>Funktional!B239</f>
        <v>KiGa</v>
      </c>
      <c r="C239">
        <v>6.6299999999999998E-2</v>
      </c>
      <c r="D239">
        <v>4.4600000000000001E-2</v>
      </c>
      <c r="E239" s="26">
        <f t="shared" si="80"/>
        <v>1650481.45</v>
      </c>
      <c r="F239">
        <v>466000</v>
      </c>
      <c r="G239">
        <v>1184481.45</v>
      </c>
      <c r="H239">
        <v>37647.800000000003</v>
      </c>
      <c r="I239" s="42">
        <f t="shared" si="81"/>
        <v>2.2810192747092072E-2</v>
      </c>
      <c r="J239" s="80">
        <f t="shared" si="82"/>
        <v>12900</v>
      </c>
      <c r="K239" s="43">
        <f>J239*'KiGa - PS'!L240</f>
        <v>3201.5596457062925</v>
      </c>
      <c r="L239" s="42">
        <f>K239/Funktional!E239</f>
        <v>1.3288577952188933E-2</v>
      </c>
      <c r="M239">
        <v>60</v>
      </c>
      <c r="N239" s="43">
        <f>K239/Funktional!C239</f>
        <v>1600.7798228531462</v>
      </c>
      <c r="O239" s="44">
        <f>K239/Funktional!D239</f>
        <v>82.091272966828015</v>
      </c>
      <c r="P239">
        <v>2400</v>
      </c>
      <c r="Q239">
        <v>0</v>
      </c>
      <c r="R239">
        <v>1000</v>
      </c>
      <c r="S239" s="43">
        <f t="shared" si="83"/>
        <v>3400</v>
      </c>
      <c r="T239">
        <v>6000</v>
      </c>
      <c r="U239">
        <v>0</v>
      </c>
      <c r="V239">
        <v>1000</v>
      </c>
      <c r="W239" s="43">
        <f t="shared" si="84"/>
        <v>7000</v>
      </c>
      <c r="X239">
        <v>2500</v>
      </c>
      <c r="Y239" s="110"/>
      <c r="Z239" s="110"/>
      <c r="AA239" s="110"/>
      <c r="AB239" s="110"/>
      <c r="AC239" s="110"/>
      <c r="AD239" s="110"/>
      <c r="AE239" s="110"/>
      <c r="AF239" s="110"/>
      <c r="AG239" s="110"/>
      <c r="AH239" s="110"/>
      <c r="AI239" s="110"/>
      <c r="AJ239" s="110"/>
      <c r="AK239" s="110"/>
      <c r="AL239" s="110"/>
      <c r="AM239" s="110"/>
      <c r="AN239" s="110"/>
      <c r="AO239" s="110"/>
      <c r="AP239" s="110"/>
      <c r="AQ239" s="110"/>
      <c r="AR239" s="110"/>
      <c r="AS239" s="110"/>
      <c r="AT239" s="110"/>
      <c r="AU239" s="110"/>
      <c r="AV239" s="110"/>
      <c r="AW239" s="110"/>
      <c r="AX239" s="110"/>
      <c r="AY239" s="110"/>
      <c r="AZ239" s="110"/>
      <c r="BA239" s="110"/>
      <c r="BB239" s="110"/>
      <c r="BC239" s="110"/>
      <c r="BD239" s="110"/>
      <c r="BE239" s="110"/>
      <c r="BF239" s="110"/>
      <c r="BG239" s="110"/>
      <c r="BH239" s="110"/>
      <c r="BI239" s="110"/>
      <c r="BJ239" s="110"/>
      <c r="BK239" s="110"/>
      <c r="BL239" s="110"/>
      <c r="BM239" s="110"/>
      <c r="BN239" s="110"/>
      <c r="BO239" s="110"/>
      <c r="BP239" s="110"/>
      <c r="BQ239" s="110"/>
      <c r="BR239" s="110"/>
      <c r="BS239" s="110"/>
      <c r="BT239" s="110"/>
      <c r="BU239" s="110"/>
      <c r="BV239" s="110"/>
      <c r="BW239" s="110"/>
      <c r="BX239" s="110"/>
      <c r="BY239" s="110"/>
      <c r="BZ239" s="110"/>
      <c r="CA239" s="110"/>
      <c r="CB239" s="110"/>
      <c r="CC239" s="110"/>
      <c r="CD239" s="110"/>
      <c r="CE239" s="110"/>
      <c r="CF239" s="110"/>
    </row>
    <row r="240" spans="1:84" s="45" customFormat="1" x14ac:dyDescent="0.25">
      <c r="A240" t="str">
        <f>Funktional!A240</f>
        <v>Uttwil</v>
      </c>
      <c r="B240" t="str">
        <f>Funktional!B240</f>
        <v>KiGa</v>
      </c>
      <c r="C240">
        <v>0.16719999999999999</v>
      </c>
      <c r="D240">
        <v>8.1699999999999995E-2</v>
      </c>
      <c r="E240" s="26">
        <f t="shared" si="80"/>
        <v>4053947.1</v>
      </c>
      <c r="F240">
        <v>2500428.5</v>
      </c>
      <c r="G240">
        <v>1553518.6</v>
      </c>
      <c r="H240">
        <v>44891</v>
      </c>
      <c r="I240" s="42">
        <f t="shared" si="81"/>
        <v>1.1073405471916493E-2</v>
      </c>
      <c r="J240" s="80">
        <f t="shared" si="82"/>
        <v>17300</v>
      </c>
      <c r="K240" s="43">
        <f>J240*'KiGa - PS'!L241</f>
        <v>2371.2789357291149</v>
      </c>
      <c r="L240" s="42">
        <f>K240/Funktional!E240</f>
        <v>1.169648131304564E-2</v>
      </c>
      <c r="M240">
        <v>50</v>
      </c>
      <c r="N240" s="43">
        <f>K240/Funktional!C240</f>
        <v>1185.6394678645574</v>
      </c>
      <c r="O240" s="44">
        <f>K240/Funktional!D240</f>
        <v>53.892703084752611</v>
      </c>
      <c r="P240">
        <v>4000</v>
      </c>
      <c r="Q240">
        <v>800</v>
      </c>
      <c r="R240">
        <v>1000</v>
      </c>
      <c r="S240" s="43">
        <f t="shared" si="83"/>
        <v>5800</v>
      </c>
      <c r="T240">
        <v>7200</v>
      </c>
      <c r="U240">
        <v>800</v>
      </c>
      <c r="V240">
        <v>2000</v>
      </c>
      <c r="W240" s="43">
        <f t="shared" si="84"/>
        <v>10000</v>
      </c>
      <c r="X240">
        <v>1500</v>
      </c>
      <c r="Y240" s="110"/>
      <c r="Z240" s="110"/>
      <c r="AA240" s="110"/>
      <c r="AB240" s="110"/>
      <c r="AC240" s="110"/>
      <c r="AD240" s="110"/>
      <c r="AE240" s="110"/>
      <c r="AF240" s="110"/>
      <c r="AG240" s="110"/>
      <c r="AH240" s="110"/>
      <c r="AI240" s="110"/>
      <c r="AJ240" s="110"/>
      <c r="AK240" s="110"/>
      <c r="AL240" s="110"/>
      <c r="AM240" s="110"/>
      <c r="AN240" s="110"/>
      <c r="AO240" s="110"/>
      <c r="AP240" s="110"/>
      <c r="AQ240" s="110"/>
      <c r="AR240" s="110"/>
      <c r="AS240" s="110"/>
      <c r="AT240" s="110"/>
      <c r="AU240" s="110"/>
      <c r="AV240" s="110"/>
      <c r="AW240" s="110"/>
      <c r="AX240" s="110"/>
      <c r="AY240" s="110"/>
      <c r="AZ240" s="110"/>
      <c r="BA240" s="110"/>
      <c r="BB240" s="110"/>
      <c r="BC240" s="110"/>
      <c r="BD240" s="110"/>
      <c r="BE240" s="110"/>
      <c r="BF240" s="110"/>
      <c r="BG240" s="110"/>
      <c r="BH240" s="110"/>
      <c r="BI240" s="110"/>
      <c r="BJ240" s="110"/>
      <c r="BK240" s="110"/>
      <c r="BL240" s="110"/>
      <c r="BM240" s="110"/>
      <c r="BN240" s="110"/>
      <c r="BO240" s="110"/>
      <c r="BP240" s="110"/>
      <c r="BQ240" s="110"/>
      <c r="BR240" s="110"/>
      <c r="BS240" s="110"/>
      <c r="BT240" s="110"/>
      <c r="BU240" s="110"/>
      <c r="BV240" s="110"/>
      <c r="BW240" s="110"/>
      <c r="BX240" s="110"/>
      <c r="BY240" s="110"/>
      <c r="BZ240" s="110"/>
      <c r="CA240" s="110"/>
      <c r="CB240" s="110"/>
      <c r="CC240" s="110"/>
      <c r="CD240" s="110"/>
      <c r="CE240" s="110"/>
      <c r="CF240" s="110"/>
    </row>
    <row r="241" spans="1:84" s="45" customFormat="1" x14ac:dyDescent="0.25">
      <c r="A241" t="str">
        <f>Funktional!A241</f>
        <v>Wagenhausen-Rheinklingen</v>
      </c>
      <c r="B241" t="str">
        <f>Funktional!B241</f>
        <v>KiGa</v>
      </c>
      <c r="C241">
        <v>9.9199999999999997E-2</v>
      </c>
      <c r="D241">
        <v>1.83E-2</v>
      </c>
      <c r="E241" s="26">
        <f t="shared" si="80"/>
        <v>1444473.4</v>
      </c>
      <c r="F241">
        <v>812412</v>
      </c>
      <c r="G241">
        <v>632061.4</v>
      </c>
      <c r="H241">
        <v>25241.65</v>
      </c>
      <c r="I241" s="42">
        <f t="shared" si="81"/>
        <v>1.7474638162253458E-2</v>
      </c>
      <c r="J241" s="80">
        <f t="shared" si="82"/>
        <v>20000</v>
      </c>
      <c r="K241" s="43">
        <f>J241*'KiGa - PS'!L242</f>
        <v>3122.6062871564859</v>
      </c>
      <c r="L241" s="42">
        <f>K241/Funktional!E241</f>
        <v>2.5095044343570735E-2</v>
      </c>
      <c r="M241">
        <v>50</v>
      </c>
      <c r="N241" s="43">
        <f>K241/Funktional!C241</f>
        <v>3122.6062871564859</v>
      </c>
      <c r="O241" s="44">
        <f>K241/Funktional!D241</f>
        <v>173.47812706424921</v>
      </c>
      <c r="P241">
        <v>5000</v>
      </c>
      <c r="Q241">
        <v>0</v>
      </c>
      <c r="R241">
        <v>800</v>
      </c>
      <c r="S241" s="43">
        <f t="shared" si="83"/>
        <v>5800</v>
      </c>
      <c r="T241">
        <v>10000</v>
      </c>
      <c r="U241">
        <v>0</v>
      </c>
      <c r="V241">
        <v>1200</v>
      </c>
      <c r="W241" s="43">
        <f t="shared" si="84"/>
        <v>11200</v>
      </c>
      <c r="X241">
        <v>3000</v>
      </c>
      <c r="Y241" s="110"/>
      <c r="Z241" s="110"/>
      <c r="AA241" s="110"/>
      <c r="AB241" s="110"/>
      <c r="AC241" s="110"/>
      <c r="AD241" s="110"/>
      <c r="AE241" s="110"/>
      <c r="AF241" s="110"/>
      <c r="AG241" s="110"/>
      <c r="AH241" s="110"/>
      <c r="AI241" s="110"/>
      <c r="AJ241" s="110"/>
      <c r="AK241" s="110"/>
      <c r="AL241" s="110"/>
      <c r="AM241" s="110"/>
      <c r="AN241" s="110"/>
      <c r="AO241" s="110"/>
      <c r="AP241" s="110"/>
      <c r="AQ241" s="110"/>
      <c r="AR241" s="110"/>
      <c r="AS241" s="110"/>
      <c r="AT241" s="110"/>
      <c r="AU241" s="110"/>
      <c r="AV241" s="110"/>
      <c r="AW241" s="110"/>
      <c r="AX241" s="110"/>
      <c r="AY241" s="110"/>
      <c r="AZ241" s="110"/>
      <c r="BA241" s="110"/>
      <c r="BB241" s="110"/>
      <c r="BC241" s="110"/>
      <c r="BD241" s="110"/>
      <c r="BE241" s="110"/>
      <c r="BF241" s="110"/>
      <c r="BG241" s="110"/>
      <c r="BH241" s="110"/>
      <c r="BI241" s="110"/>
      <c r="BJ241" s="110"/>
      <c r="BK241" s="110"/>
      <c r="BL241" s="110"/>
      <c r="BM241" s="110"/>
      <c r="BN241" s="110"/>
      <c r="BO241" s="110"/>
      <c r="BP241" s="110"/>
      <c r="BQ241" s="110"/>
      <c r="BR241" s="110"/>
      <c r="BS241" s="110"/>
      <c r="BT241" s="110"/>
      <c r="BU241" s="110"/>
      <c r="BV241" s="110"/>
      <c r="BW241" s="110"/>
      <c r="BX241" s="110"/>
      <c r="BY241" s="110"/>
      <c r="BZ241" s="110"/>
      <c r="CA241" s="110"/>
      <c r="CB241" s="110"/>
      <c r="CC241" s="110"/>
      <c r="CD241" s="110"/>
      <c r="CE241" s="110"/>
      <c r="CF241" s="110"/>
    </row>
    <row r="242" spans="1:84" s="45" customFormat="1" x14ac:dyDescent="0.25">
      <c r="A242" t="str">
        <f>Funktional!A242</f>
        <v>Wäldi</v>
      </c>
      <c r="B242" t="str">
        <f>Funktional!B242</f>
        <v>KiGa</v>
      </c>
      <c r="C242">
        <v>-2.1999999999999999E-2</v>
      </c>
      <c r="D242">
        <v>-4.1399999999999999E-2</v>
      </c>
      <c r="E242" s="26">
        <f t="shared" si="80"/>
        <v>207247</v>
      </c>
      <c r="F242">
        <v>105700</v>
      </c>
      <c r="G242">
        <v>101547</v>
      </c>
      <c r="H242">
        <v>15320.65</v>
      </c>
      <c r="I242" s="42">
        <f t="shared" si="81"/>
        <v>7.3924592394582309E-2</v>
      </c>
      <c r="J242" s="80">
        <f t="shared" si="82"/>
        <v>4307</v>
      </c>
      <c r="K242" s="43">
        <f>J242*'KiGa - PS'!L243</f>
        <v>0</v>
      </c>
      <c r="L242" s="42"/>
      <c r="M242">
        <v>30</v>
      </c>
      <c r="N242" s="43"/>
      <c r="O242" s="44"/>
      <c r="P242">
        <v>589</v>
      </c>
      <c r="Q242">
        <v>0</v>
      </c>
      <c r="R242">
        <v>0</v>
      </c>
      <c r="S242" s="43">
        <f t="shared" si="83"/>
        <v>589</v>
      </c>
      <c r="T242">
        <v>3218</v>
      </c>
      <c r="U242">
        <v>300</v>
      </c>
      <c r="V242">
        <v>200</v>
      </c>
      <c r="W242" s="43">
        <f t="shared" si="84"/>
        <v>3718</v>
      </c>
      <c r="X242">
        <v>0</v>
      </c>
      <c r="Y242" s="110"/>
      <c r="Z242" s="110"/>
      <c r="AA242" s="110"/>
      <c r="AB242" s="110"/>
      <c r="AC242" s="110"/>
      <c r="AD242" s="110"/>
      <c r="AE242" s="110"/>
      <c r="AF242" s="110"/>
      <c r="AG242" s="110"/>
      <c r="AH242" s="110"/>
      <c r="AI242" s="110"/>
      <c r="AJ242" s="110"/>
      <c r="AK242" s="110"/>
      <c r="AL242" s="110"/>
      <c r="AM242" s="110"/>
      <c r="AN242" s="110"/>
      <c r="AO242" s="110"/>
      <c r="AP242" s="110"/>
      <c r="AQ242" s="110"/>
      <c r="AR242" s="110"/>
      <c r="AS242" s="110"/>
      <c r="AT242" s="110"/>
      <c r="AU242" s="110"/>
      <c r="AV242" s="110"/>
      <c r="AW242" s="110"/>
      <c r="AX242" s="110"/>
      <c r="AY242" s="110"/>
      <c r="AZ242" s="110"/>
      <c r="BA242" s="110"/>
      <c r="BB242" s="110"/>
      <c r="BC242" s="110"/>
      <c r="BD242" s="110"/>
      <c r="BE242" s="110"/>
      <c r="BF242" s="110"/>
      <c r="BG242" s="110"/>
      <c r="BH242" s="110"/>
      <c r="BI242" s="110"/>
      <c r="BJ242" s="110"/>
      <c r="BK242" s="110"/>
      <c r="BL242" s="110"/>
      <c r="BM242" s="110"/>
      <c r="BN242" s="110"/>
      <c r="BO242" s="110"/>
      <c r="BP242" s="110"/>
      <c r="BQ242" s="110"/>
      <c r="BR242" s="110"/>
      <c r="BS242" s="110"/>
      <c r="BT242" s="110"/>
      <c r="BU242" s="110"/>
      <c r="BV242" s="110"/>
      <c r="BW242" s="110"/>
      <c r="BX242" s="110"/>
      <c r="BY242" s="110"/>
      <c r="BZ242" s="110"/>
      <c r="CA242" s="110"/>
      <c r="CB242" s="110"/>
      <c r="CC242" s="110"/>
      <c r="CD242" s="110"/>
      <c r="CE242" s="110"/>
      <c r="CF242" s="110"/>
    </row>
    <row r="243" spans="1:84" s="45" customFormat="1" x14ac:dyDescent="0.25">
      <c r="A243" t="str">
        <f>Funktional!A243</f>
        <v>Warth-Weiningen</v>
      </c>
      <c r="B243" t="str">
        <f>Funktional!B243</f>
        <v>KiGa</v>
      </c>
      <c r="C243">
        <v>5.96E-2</v>
      </c>
      <c r="D243">
        <v>2.3099999999999999E-2</v>
      </c>
      <c r="E243" s="26">
        <f t="shared" si="80"/>
        <v>1841059.45</v>
      </c>
      <c r="F243">
        <v>844877</v>
      </c>
      <c r="G243">
        <v>996182.45</v>
      </c>
      <c r="H243">
        <v>82149.95</v>
      </c>
      <c r="I243" s="42">
        <f t="shared" si="81"/>
        <v>4.4621019706886707E-2</v>
      </c>
      <c r="J243" s="80">
        <f t="shared" si="82"/>
        <v>6900</v>
      </c>
      <c r="K243" s="43">
        <f>J243*'KiGa - PS'!L244</f>
        <v>821.39434882709077</v>
      </c>
      <c r="L243" s="42">
        <f>K243/Funktional!E243</f>
        <v>5.8206454159401575E-3</v>
      </c>
      <c r="M243">
        <v>40</v>
      </c>
      <c r="N243" s="43">
        <f>K243/Funktional!C243</f>
        <v>821.39434882709077</v>
      </c>
      <c r="O243" s="44">
        <f>K243/Funktional!D243</f>
        <v>28.323943063003131</v>
      </c>
      <c r="P243">
        <v>0</v>
      </c>
      <c r="Q243">
        <v>1500</v>
      </c>
      <c r="R243">
        <v>0</v>
      </c>
      <c r="S243" s="43">
        <f t="shared" si="83"/>
        <v>1500</v>
      </c>
      <c r="T243">
        <v>3000</v>
      </c>
      <c r="U243">
        <v>2000</v>
      </c>
      <c r="V243">
        <v>0</v>
      </c>
      <c r="W243" s="43">
        <f t="shared" si="84"/>
        <v>5000</v>
      </c>
      <c r="X243">
        <v>400</v>
      </c>
      <c r="Y243" s="110"/>
      <c r="Z243" s="110"/>
      <c r="AA243" s="110"/>
      <c r="AB243" s="110"/>
      <c r="AC243" s="110"/>
      <c r="AD243" s="110"/>
      <c r="AE243" s="110"/>
      <c r="AF243" s="110"/>
      <c r="AG243" s="110"/>
      <c r="AH243" s="110"/>
      <c r="AI243" s="110"/>
      <c r="AJ243" s="110"/>
      <c r="AK243" s="110"/>
      <c r="AL243" s="110"/>
      <c r="AM243" s="110"/>
      <c r="AN243" s="110"/>
      <c r="AO243" s="110"/>
      <c r="AP243" s="110"/>
      <c r="AQ243" s="110"/>
      <c r="AR243" s="110"/>
      <c r="AS243" s="110"/>
      <c r="AT243" s="110"/>
      <c r="AU243" s="110"/>
      <c r="AV243" s="110"/>
      <c r="AW243" s="110"/>
      <c r="AX243" s="110"/>
      <c r="AY243" s="110"/>
      <c r="AZ243" s="110"/>
      <c r="BA243" s="110"/>
      <c r="BB243" s="110"/>
      <c r="BC243" s="110"/>
      <c r="BD243" s="110"/>
      <c r="BE243" s="110"/>
      <c r="BF243" s="110"/>
      <c r="BG243" s="110"/>
      <c r="BH243" s="110"/>
      <c r="BI243" s="110"/>
      <c r="BJ243" s="110"/>
      <c r="BK243" s="110"/>
      <c r="BL243" s="110"/>
      <c r="BM243" s="110"/>
      <c r="BN243" s="110"/>
      <c r="BO243" s="110"/>
      <c r="BP243" s="110"/>
      <c r="BQ243" s="110"/>
      <c r="BR243" s="110"/>
      <c r="BS243" s="110"/>
      <c r="BT243" s="110"/>
      <c r="BU243" s="110"/>
      <c r="BV243" s="110"/>
      <c r="BW243" s="110"/>
      <c r="BX243" s="110"/>
      <c r="BY243" s="110"/>
      <c r="BZ243" s="110"/>
      <c r="CA243" s="110"/>
      <c r="CB243" s="110"/>
      <c r="CC243" s="110"/>
      <c r="CD243" s="110"/>
      <c r="CE243" s="110"/>
      <c r="CF243" s="110"/>
    </row>
    <row r="244" spans="1:84" s="45" customFormat="1" x14ac:dyDescent="0.25">
      <c r="A244" t="str">
        <f>Funktional!A244</f>
        <v>Weinfelden</v>
      </c>
      <c r="B244" t="str">
        <f>Funktional!B244</f>
        <v>KiGa</v>
      </c>
      <c r="C244">
        <v>-1.6E-2</v>
      </c>
      <c r="D244">
        <v>-2.3900000000000001E-2</v>
      </c>
      <c r="E244" s="26">
        <f t="shared" si="80"/>
        <v>2550312.5</v>
      </c>
      <c r="F244">
        <v>365859.25</v>
      </c>
      <c r="G244">
        <v>2184453.25</v>
      </c>
      <c r="H244">
        <v>231991.5</v>
      </c>
      <c r="I244" s="42">
        <f t="shared" si="81"/>
        <v>9.0965911040313693E-2</v>
      </c>
      <c r="J244" s="80">
        <f t="shared" si="82"/>
        <v>191000</v>
      </c>
      <c r="K244" s="43">
        <f>J244*'KiGa - PS'!L245</f>
        <v>32652.439392897268</v>
      </c>
      <c r="L244" s="42">
        <f>K244/Funktional!E244</f>
        <v>2.5161103018757344E-2</v>
      </c>
      <c r="M244">
        <v>60</v>
      </c>
      <c r="N244" s="43">
        <f>K244/Funktional!C244</f>
        <v>3265.2439392897268</v>
      </c>
      <c r="O244" s="44">
        <f>K244/Funktional!D244</f>
        <v>147.08306032836606</v>
      </c>
      <c r="P244">
        <v>45000</v>
      </c>
      <c r="Q244">
        <v>6000</v>
      </c>
      <c r="R244">
        <v>0</v>
      </c>
      <c r="S244" s="43">
        <f t="shared" si="83"/>
        <v>51000</v>
      </c>
      <c r="T244">
        <v>80000</v>
      </c>
      <c r="U244">
        <v>2400</v>
      </c>
      <c r="V244">
        <v>57600</v>
      </c>
      <c r="W244" s="43">
        <f t="shared" si="84"/>
        <v>140000</v>
      </c>
      <c r="X244">
        <v>0</v>
      </c>
      <c r="Y244" s="110"/>
      <c r="Z244" s="110"/>
      <c r="AA244" s="110"/>
      <c r="AB244" s="110"/>
      <c r="AC244" s="110"/>
      <c r="AD244" s="110"/>
      <c r="AE244" s="110"/>
      <c r="AF244" s="110"/>
      <c r="AG244" s="110"/>
      <c r="AH244" s="110"/>
      <c r="AI244" s="110"/>
      <c r="AJ244" s="110"/>
      <c r="AK244" s="110"/>
      <c r="AL244" s="110"/>
      <c r="AM244" s="110"/>
      <c r="AN244" s="110"/>
      <c r="AO244" s="110"/>
      <c r="AP244" s="110"/>
      <c r="AQ244" s="110"/>
      <c r="AR244" s="110"/>
      <c r="AS244" s="110"/>
      <c r="AT244" s="110"/>
      <c r="AU244" s="110"/>
      <c r="AV244" s="110"/>
      <c r="AW244" s="110"/>
      <c r="AX244" s="110"/>
      <c r="AY244" s="110"/>
      <c r="AZ244" s="110"/>
      <c r="BA244" s="110"/>
      <c r="BB244" s="110"/>
      <c r="BC244" s="110"/>
      <c r="BD244" s="110"/>
      <c r="BE244" s="110"/>
      <c r="BF244" s="110"/>
      <c r="BG244" s="110"/>
      <c r="BH244" s="110"/>
      <c r="BI244" s="110"/>
      <c r="BJ244" s="110"/>
      <c r="BK244" s="110"/>
      <c r="BL244" s="110"/>
      <c r="BM244" s="110"/>
      <c r="BN244" s="110"/>
      <c r="BO244" s="110"/>
      <c r="BP244" s="110"/>
      <c r="BQ244" s="110"/>
      <c r="BR244" s="110"/>
      <c r="BS244" s="110"/>
      <c r="BT244" s="110"/>
      <c r="BU244" s="110"/>
      <c r="BV244" s="110"/>
      <c r="BW244" s="110"/>
      <c r="BX244" s="110"/>
      <c r="BY244" s="110"/>
      <c r="BZ244" s="110"/>
      <c r="CA244" s="110"/>
      <c r="CB244" s="110"/>
      <c r="CC244" s="110"/>
      <c r="CD244" s="110"/>
      <c r="CE244" s="110"/>
      <c r="CF244" s="110"/>
    </row>
    <row r="245" spans="1:84" s="45" customFormat="1" x14ac:dyDescent="0.25">
      <c r="A245" t="str">
        <f>Funktional!A245</f>
        <v>Wigoltingen</v>
      </c>
      <c r="B245" t="str">
        <f>Funktional!B245</f>
        <v>KiGa</v>
      </c>
      <c r="C245">
        <v>4.87E-2</v>
      </c>
      <c r="D245">
        <v>4.4900000000000002E-2</v>
      </c>
      <c r="E245" s="26">
        <f t="shared" si="80"/>
        <v>3234762</v>
      </c>
      <c r="F245">
        <v>797645.5</v>
      </c>
      <c r="G245">
        <v>2437116.5</v>
      </c>
      <c r="H245">
        <v>71409.05</v>
      </c>
      <c r="I245" s="42">
        <f t="shared" si="81"/>
        <v>2.2075519002634506E-2</v>
      </c>
      <c r="J245" s="80">
        <f t="shared" si="82"/>
        <v>30100</v>
      </c>
      <c r="K245" s="43">
        <f>J245*'KiGa - PS'!L246</f>
        <v>4294.5183746464036</v>
      </c>
      <c r="L245" s="42">
        <f>K245/Funktional!E245</f>
        <v>1.5543554886913023E-2</v>
      </c>
      <c r="M245">
        <v>70</v>
      </c>
      <c r="N245" s="43">
        <f>K245/Funktional!C245</f>
        <v>2147.2591873232018</v>
      </c>
      <c r="O245" s="44">
        <f>K245/Funktional!D245</f>
        <v>84.206242640125566</v>
      </c>
      <c r="P245">
        <v>6000</v>
      </c>
      <c r="Q245">
        <v>0</v>
      </c>
      <c r="R245">
        <v>2500</v>
      </c>
      <c r="S245" s="43">
        <f t="shared" si="83"/>
        <v>8500</v>
      </c>
      <c r="T245">
        <v>18000</v>
      </c>
      <c r="U245">
        <v>300</v>
      </c>
      <c r="V245">
        <v>2500</v>
      </c>
      <c r="W245" s="43">
        <f t="shared" si="84"/>
        <v>20800</v>
      </c>
      <c r="X245">
        <v>800</v>
      </c>
      <c r="Y245" s="110"/>
      <c r="Z245" s="110"/>
      <c r="AA245" s="110"/>
      <c r="AB245" s="110"/>
      <c r="AC245" s="110"/>
      <c r="AD245" s="110"/>
      <c r="AE245" s="110"/>
      <c r="AF245" s="110"/>
      <c r="AG245" s="110"/>
      <c r="AH245" s="110"/>
      <c r="AI245" s="110"/>
      <c r="AJ245" s="110"/>
      <c r="AK245" s="110"/>
      <c r="AL245" s="110"/>
      <c r="AM245" s="110"/>
      <c r="AN245" s="110"/>
      <c r="AO245" s="110"/>
      <c r="AP245" s="110"/>
      <c r="AQ245" s="110"/>
      <c r="AR245" s="110"/>
      <c r="AS245" s="110"/>
      <c r="AT245" s="110"/>
      <c r="AU245" s="110"/>
      <c r="AV245" s="110"/>
      <c r="AW245" s="110"/>
      <c r="AX245" s="110"/>
      <c r="AY245" s="110"/>
      <c r="AZ245" s="110"/>
      <c r="BA245" s="110"/>
      <c r="BB245" s="110"/>
      <c r="BC245" s="110"/>
      <c r="BD245" s="110"/>
      <c r="BE245" s="110"/>
      <c r="BF245" s="110"/>
      <c r="BG245" s="110"/>
      <c r="BH245" s="110"/>
      <c r="BI245" s="110"/>
      <c r="BJ245" s="110"/>
      <c r="BK245" s="110"/>
      <c r="BL245" s="110"/>
      <c r="BM245" s="110"/>
      <c r="BN245" s="110"/>
      <c r="BO245" s="110"/>
      <c r="BP245" s="110"/>
      <c r="BQ245" s="110"/>
      <c r="BR245" s="110"/>
      <c r="BS245" s="110"/>
      <c r="BT245" s="110"/>
      <c r="BU245" s="110"/>
      <c r="BV245" s="110"/>
      <c r="BW245" s="110"/>
      <c r="BX245" s="110"/>
      <c r="BY245" s="110"/>
      <c r="BZ245" s="110"/>
      <c r="CA245" s="110"/>
      <c r="CB245" s="110"/>
      <c r="CC245" s="110"/>
      <c r="CD245" s="110"/>
      <c r="CE245" s="110"/>
      <c r="CF245" s="110"/>
    </row>
    <row r="246" spans="1:84" s="45" customFormat="1" x14ac:dyDescent="0.25">
      <c r="A246" t="str">
        <f>Funktional!A246</f>
        <v>Wilen bei Wil</v>
      </c>
      <c r="B246" t="str">
        <f>Funktional!B246</f>
        <v>KiGa</v>
      </c>
      <c r="C246">
        <v>8.3900000000000002E-2</v>
      </c>
      <c r="D246">
        <v>4.0399999999999998E-2</v>
      </c>
      <c r="E246" s="26">
        <f t="shared" si="80"/>
        <v>3247120.35</v>
      </c>
      <c r="F246">
        <v>1359421</v>
      </c>
      <c r="G246">
        <v>1887699.35</v>
      </c>
      <c r="H246">
        <v>6373.4</v>
      </c>
      <c r="I246" s="42">
        <f t="shared" si="81"/>
        <v>1.9627852721874014E-3</v>
      </c>
      <c r="J246" s="80">
        <f t="shared" si="82"/>
        <v>28380</v>
      </c>
      <c r="K246" s="43">
        <f>J246*'KiGa - PS'!L247</f>
        <v>4407.6400011264268</v>
      </c>
      <c r="L246" s="42">
        <f>K246/Funktional!E246</f>
        <v>1.6301722247086144E-2</v>
      </c>
      <c r="M246">
        <v>60</v>
      </c>
      <c r="N246" s="43">
        <f>K246/Funktional!C246</f>
        <v>1469.2133337088089</v>
      </c>
      <c r="O246" s="44">
        <f>K246/Funktional!D246</f>
        <v>83.163018889177863</v>
      </c>
      <c r="P246">
        <v>5400</v>
      </c>
      <c r="Q246">
        <v>2750</v>
      </c>
      <c r="R246">
        <v>1500</v>
      </c>
      <c r="S246" s="43">
        <f t="shared" si="83"/>
        <v>9650</v>
      </c>
      <c r="T246">
        <v>7820</v>
      </c>
      <c r="U246">
        <v>2000</v>
      </c>
      <c r="V246">
        <v>2500</v>
      </c>
      <c r="W246" s="43">
        <f t="shared" si="84"/>
        <v>12320</v>
      </c>
      <c r="X246">
        <v>6410</v>
      </c>
      <c r="Y246" s="110"/>
      <c r="Z246" s="110"/>
      <c r="AA246" s="110"/>
      <c r="AB246" s="110"/>
      <c r="AC246" s="110"/>
      <c r="AD246" s="110"/>
      <c r="AE246" s="110"/>
      <c r="AF246" s="110"/>
      <c r="AG246" s="110"/>
      <c r="AH246" s="110"/>
      <c r="AI246" s="110"/>
      <c r="AJ246" s="110"/>
      <c r="AK246" s="110"/>
      <c r="AL246" s="110"/>
      <c r="AM246" s="110"/>
      <c r="AN246" s="110"/>
      <c r="AO246" s="110"/>
      <c r="AP246" s="110"/>
      <c r="AQ246" s="110"/>
      <c r="AR246" s="110"/>
      <c r="AS246" s="110"/>
      <c r="AT246" s="110"/>
      <c r="AU246" s="110"/>
      <c r="AV246" s="110"/>
      <c r="AW246" s="110"/>
      <c r="AX246" s="110"/>
      <c r="AY246" s="110"/>
      <c r="AZ246" s="110"/>
      <c r="BA246" s="110"/>
      <c r="BB246" s="110"/>
      <c r="BC246" s="110"/>
      <c r="BD246" s="110"/>
      <c r="BE246" s="110"/>
      <c r="BF246" s="110"/>
      <c r="BG246" s="110"/>
      <c r="BH246" s="110"/>
      <c r="BI246" s="110"/>
      <c r="BJ246" s="110"/>
      <c r="BK246" s="110"/>
      <c r="BL246" s="110"/>
      <c r="BM246" s="110"/>
      <c r="BN246" s="110"/>
      <c r="BO246" s="110"/>
      <c r="BP246" s="110"/>
      <c r="BQ246" s="110"/>
      <c r="BR246" s="110"/>
      <c r="BS246" s="110"/>
      <c r="BT246" s="110"/>
      <c r="BU246" s="110"/>
      <c r="BV246" s="110"/>
      <c r="BW246" s="110"/>
      <c r="BX246" s="110"/>
      <c r="BY246" s="110"/>
      <c r="BZ246" s="110"/>
      <c r="CA246" s="110"/>
      <c r="CB246" s="110"/>
      <c r="CC246" s="110"/>
      <c r="CD246" s="110"/>
      <c r="CE246" s="110"/>
      <c r="CF246" s="110"/>
    </row>
    <row r="247" spans="1:84" s="45" customFormat="1" x14ac:dyDescent="0.25">
      <c r="A247" t="str">
        <f>Funktional!A247</f>
        <v>Wittenwil</v>
      </c>
      <c r="B247" t="str">
        <f>Funktional!B247</f>
        <v>KiGa</v>
      </c>
      <c r="C247">
        <v>3.6999999999999998E-2</v>
      </c>
      <c r="D247">
        <v>2.07E-2</v>
      </c>
      <c r="E247" s="26">
        <f t="shared" si="80"/>
        <v>361424</v>
      </c>
      <c r="F247">
        <v>288139.95</v>
      </c>
      <c r="G247">
        <v>73284.05</v>
      </c>
      <c r="H247">
        <v>9706.25</v>
      </c>
      <c r="I247" s="42">
        <f t="shared" si="81"/>
        <v>2.6855576829430253E-2</v>
      </c>
      <c r="J247" s="80">
        <f t="shared" si="82"/>
        <v>8600</v>
      </c>
      <c r="K247" s="43">
        <f>J247*'KiGa - PS'!L248</f>
        <v>1609.9928170771211</v>
      </c>
      <c r="L247" s="42">
        <f>K247/Funktional!E247</f>
        <v>1.8748106114280606E-2</v>
      </c>
      <c r="M247">
        <v>50</v>
      </c>
      <c r="N247" s="43">
        <f>K247/Funktional!C247</f>
        <v>3219.9856341542422</v>
      </c>
      <c r="O247" s="44">
        <f>K247/Funktional!D247</f>
        <v>94.705459828065955</v>
      </c>
      <c r="P247">
        <v>4000</v>
      </c>
      <c r="Q247">
        <v>0</v>
      </c>
      <c r="R247">
        <v>300</v>
      </c>
      <c r="S247" s="43">
        <f t="shared" si="83"/>
        <v>4300</v>
      </c>
      <c r="T247">
        <v>4000</v>
      </c>
      <c r="U247">
        <v>0</v>
      </c>
      <c r="V247">
        <v>300</v>
      </c>
      <c r="W247" s="43">
        <f t="shared" si="84"/>
        <v>4300</v>
      </c>
      <c r="X247">
        <v>0</v>
      </c>
      <c r="Y247" s="110"/>
      <c r="Z247" s="110"/>
      <c r="AA247" s="110"/>
      <c r="AB247" s="110"/>
      <c r="AC247" s="110"/>
      <c r="AD247" s="110"/>
      <c r="AE247" s="110"/>
      <c r="AF247" s="110"/>
      <c r="AG247" s="110"/>
      <c r="AH247" s="110"/>
      <c r="AI247" s="110"/>
      <c r="AJ247" s="110"/>
      <c r="AK247" s="110"/>
      <c r="AL247" s="110"/>
      <c r="AM247" s="110"/>
      <c r="AN247" s="110"/>
      <c r="AO247" s="110"/>
      <c r="AP247" s="110"/>
      <c r="AQ247" s="110"/>
      <c r="AR247" s="110"/>
      <c r="AS247" s="110"/>
      <c r="AT247" s="110"/>
      <c r="AU247" s="110"/>
      <c r="AV247" s="110"/>
      <c r="AW247" s="110"/>
      <c r="AX247" s="110"/>
      <c r="AY247" s="110"/>
      <c r="AZ247" s="110"/>
      <c r="BA247" s="110"/>
      <c r="BB247" s="110"/>
      <c r="BC247" s="110"/>
      <c r="BD247" s="110"/>
      <c r="BE247" s="110"/>
      <c r="BF247" s="110"/>
      <c r="BG247" s="110"/>
      <c r="BH247" s="110"/>
      <c r="BI247" s="110"/>
      <c r="BJ247" s="110"/>
      <c r="BK247" s="110"/>
      <c r="BL247" s="110"/>
      <c r="BM247" s="110"/>
      <c r="BN247" s="110"/>
      <c r="BO247" s="110"/>
      <c r="BP247" s="110"/>
      <c r="BQ247" s="110"/>
      <c r="BR247" s="110"/>
      <c r="BS247" s="110"/>
      <c r="BT247" s="110"/>
      <c r="BU247" s="110"/>
      <c r="BV247" s="110"/>
      <c r="BW247" s="110"/>
      <c r="BX247" s="110"/>
      <c r="BY247" s="110"/>
      <c r="BZ247" s="110"/>
      <c r="CA247" s="110"/>
      <c r="CB247" s="110"/>
      <c r="CC247" s="110"/>
      <c r="CD247" s="110"/>
      <c r="CE247" s="110"/>
      <c r="CF247" s="110"/>
    </row>
    <row r="248" spans="1:84" s="45" customFormat="1" x14ac:dyDescent="0.25">
      <c r="A248" t="str">
        <f>Funktional!A248</f>
        <v>Wuppenau</v>
      </c>
      <c r="B248" t="str">
        <f>Funktional!B248</f>
        <v>KiGa</v>
      </c>
      <c r="C248">
        <v>2.4899999999999999E-2</v>
      </c>
      <c r="D248">
        <v>-1.03E-2</v>
      </c>
      <c r="E248" s="26">
        <f t="shared" si="80"/>
        <v>1753069.55</v>
      </c>
      <c r="F248">
        <v>1150304</v>
      </c>
      <c r="G248">
        <v>602765.55000000005</v>
      </c>
      <c r="H248">
        <v>81573</v>
      </c>
      <c r="I248" s="42">
        <f t="shared" si="81"/>
        <v>4.6531525232413051E-2</v>
      </c>
      <c r="J248" s="80">
        <f t="shared" si="82"/>
        <v>17900</v>
      </c>
      <c r="K248" s="43">
        <f>J248*'KiGa - PS'!L249</f>
        <v>1175.5305077443984</v>
      </c>
      <c r="L248" s="42">
        <f>K248/Funktional!E248</f>
        <v>1.1616251109343868E-2</v>
      </c>
      <c r="M248">
        <v>50</v>
      </c>
      <c r="N248" s="43">
        <f>K248/Funktional!C248</f>
        <v>2351.0610154887968</v>
      </c>
      <c r="O248" s="44">
        <f>K248/Funktional!D248</f>
        <v>55.977643225923735</v>
      </c>
      <c r="P248">
        <v>3000</v>
      </c>
      <c r="Q248">
        <v>0</v>
      </c>
      <c r="R248">
        <v>1500</v>
      </c>
      <c r="S248" s="43">
        <f t="shared" si="83"/>
        <v>4500</v>
      </c>
      <c r="T248">
        <v>11000</v>
      </c>
      <c r="U248">
        <v>0</v>
      </c>
      <c r="V248">
        <v>2400</v>
      </c>
      <c r="W248" s="43">
        <f t="shared" si="84"/>
        <v>13400</v>
      </c>
      <c r="X248">
        <v>0</v>
      </c>
      <c r="Y248" s="110"/>
      <c r="Z248" s="110"/>
      <c r="AA248" s="110"/>
      <c r="AB248" s="110"/>
      <c r="AC248" s="110"/>
      <c r="AD248" s="110"/>
      <c r="AE248" s="110"/>
      <c r="AF248" s="110"/>
      <c r="AG248" s="110"/>
      <c r="AH248" s="110"/>
      <c r="AI248" s="110"/>
      <c r="AJ248" s="110"/>
      <c r="AK248" s="110"/>
      <c r="AL248" s="110"/>
      <c r="AM248" s="110"/>
      <c r="AN248" s="110"/>
      <c r="AO248" s="110"/>
      <c r="AP248" s="110"/>
      <c r="AQ248" s="110"/>
      <c r="AR248" s="110"/>
      <c r="AS248" s="110"/>
      <c r="AT248" s="110"/>
      <c r="AU248" s="110"/>
      <c r="AV248" s="110"/>
      <c r="AW248" s="110"/>
      <c r="AX248" s="110"/>
      <c r="AY248" s="110"/>
      <c r="AZ248" s="110"/>
      <c r="BA248" s="110"/>
      <c r="BB248" s="110"/>
      <c r="BC248" s="110"/>
      <c r="BD248" s="110"/>
      <c r="BE248" s="110"/>
      <c r="BF248" s="110"/>
      <c r="BG248" s="110"/>
      <c r="BH248" s="110"/>
      <c r="BI248" s="110"/>
      <c r="BJ248" s="110"/>
      <c r="BK248" s="110"/>
      <c r="BL248" s="110"/>
      <c r="BM248" s="110"/>
      <c r="BN248" s="110"/>
      <c r="BO248" s="110"/>
      <c r="BP248" s="110"/>
      <c r="BQ248" s="110"/>
      <c r="BR248" s="110"/>
      <c r="BS248" s="110"/>
      <c r="BT248" s="110"/>
      <c r="BU248" s="110"/>
      <c r="BV248" s="110"/>
      <c r="BW248" s="110"/>
      <c r="BX248" s="110"/>
      <c r="BY248" s="110"/>
      <c r="BZ248" s="110"/>
      <c r="CA248" s="110"/>
      <c r="CB248" s="110"/>
      <c r="CC248" s="110"/>
      <c r="CD248" s="110"/>
      <c r="CE248" s="110"/>
      <c r="CF248" s="110"/>
    </row>
    <row r="249" spans="1:84" s="45" customFormat="1" x14ac:dyDescent="0.25">
      <c r="A249" t="str">
        <f>Funktional!A249</f>
        <v>Zezikon</v>
      </c>
      <c r="B249" t="str">
        <f>Funktional!B249</f>
        <v>KiGa</v>
      </c>
      <c r="C249">
        <v>0.1</v>
      </c>
      <c r="D249">
        <v>6.3899999999999998E-2</v>
      </c>
      <c r="E249" s="26">
        <f t="shared" si="80"/>
        <v>964307.85</v>
      </c>
      <c r="F249">
        <v>456831</v>
      </c>
      <c r="G249">
        <v>507476.85</v>
      </c>
      <c r="H249">
        <v>18016.150000000001</v>
      </c>
      <c r="I249" s="42">
        <f t="shared" ref="I249:I264" si="85">H249/E249</f>
        <v>1.8682985936493209E-2</v>
      </c>
      <c r="J249" s="80">
        <f t="shared" ref="J249:J264" si="86">S249+W249+X249</f>
        <v>9679</v>
      </c>
      <c r="K249" s="43">
        <f>J249*'KiGa - PS'!L250</f>
        <v>0</v>
      </c>
      <c r="L249" s="42"/>
      <c r="M249">
        <v>50</v>
      </c>
      <c r="N249" s="43"/>
      <c r="O249" s="44"/>
      <c r="P249">
        <v>2400</v>
      </c>
      <c r="Q249">
        <v>300</v>
      </c>
      <c r="R249">
        <v>0</v>
      </c>
      <c r="S249" s="43">
        <f t="shared" ref="S249:S264" si="87">P249+Q249+R249</f>
        <v>2700</v>
      </c>
      <c r="T249">
        <v>3000</v>
      </c>
      <c r="U249">
        <v>300</v>
      </c>
      <c r="V249">
        <v>0</v>
      </c>
      <c r="W249" s="43">
        <f t="shared" ref="W249:W264" si="88">T249+U249+V249</f>
        <v>3300</v>
      </c>
      <c r="X249">
        <v>3679</v>
      </c>
      <c r="Y249" s="110"/>
      <c r="Z249" s="110"/>
      <c r="AA249" s="110"/>
      <c r="AB249" s="110"/>
      <c r="AC249" s="110"/>
      <c r="AD249" s="110"/>
      <c r="AE249" s="110"/>
      <c r="AF249" s="110"/>
      <c r="AG249" s="110"/>
      <c r="AH249" s="110"/>
      <c r="AI249" s="110"/>
      <c r="AJ249" s="110"/>
      <c r="AK249" s="110"/>
      <c r="AL249" s="110"/>
      <c r="AM249" s="110"/>
      <c r="AN249" s="110"/>
      <c r="AO249" s="110"/>
      <c r="AP249" s="110"/>
      <c r="AQ249" s="110"/>
      <c r="AR249" s="110"/>
      <c r="AS249" s="110"/>
      <c r="AT249" s="110"/>
      <c r="AU249" s="110"/>
      <c r="AV249" s="110"/>
      <c r="AW249" s="110"/>
      <c r="AX249" s="110"/>
      <c r="AY249" s="110"/>
      <c r="AZ249" s="110"/>
      <c r="BA249" s="110"/>
      <c r="BB249" s="110"/>
      <c r="BC249" s="110"/>
      <c r="BD249" s="110"/>
      <c r="BE249" s="110"/>
      <c r="BF249" s="110"/>
      <c r="BG249" s="110"/>
      <c r="BH249" s="110"/>
      <c r="BI249" s="110"/>
      <c r="BJ249" s="110"/>
      <c r="BK249" s="110"/>
      <c r="BL249" s="110"/>
      <c r="BM249" s="110"/>
      <c r="BN249" s="110"/>
      <c r="BO249" s="110"/>
      <c r="BP249" s="110"/>
      <c r="BQ249" s="110"/>
      <c r="BR249" s="110"/>
      <c r="BS249" s="110"/>
      <c r="BT249" s="110"/>
      <c r="BU249" s="110"/>
      <c r="BV249" s="110"/>
      <c r="BW249" s="110"/>
      <c r="BX249" s="110"/>
      <c r="BY249" s="110"/>
      <c r="BZ249" s="110"/>
      <c r="CA249" s="110"/>
      <c r="CB249" s="110"/>
      <c r="CC249" s="110"/>
      <c r="CD249" s="110"/>
      <c r="CE249" s="110"/>
      <c r="CF249" s="110"/>
    </row>
    <row r="250" spans="1:84" s="45" customFormat="1" x14ac:dyDescent="0.25">
      <c r="A250" t="str">
        <f>Funktional!A250</f>
        <v>Zihlschlacht</v>
      </c>
      <c r="B250" t="str">
        <f>Funktional!B250</f>
        <v>KiGa</v>
      </c>
      <c r="C250">
        <v>0.10249999999999999</v>
      </c>
      <c r="D250">
        <v>3.6999999999999998E-2</v>
      </c>
      <c r="E250" s="26">
        <f t="shared" ref="E250:E251" si="89">F250+G250</f>
        <v>1577325.5</v>
      </c>
      <c r="F250">
        <v>1310189</v>
      </c>
      <c r="G250">
        <v>267136.5</v>
      </c>
      <c r="H250">
        <v>2597.6999999999998</v>
      </c>
      <c r="I250" s="42">
        <f t="shared" si="85"/>
        <v>1.6469016699470083E-3</v>
      </c>
      <c r="J250" s="80">
        <f t="shared" si="86"/>
        <v>18478</v>
      </c>
      <c r="K250" s="43">
        <f>J250*'KiGa - PS'!L251</f>
        <v>2421.6616841658933</v>
      </c>
      <c r="L250" s="42">
        <f>K250/Funktional!E250</f>
        <v>1.4346786234088572E-2</v>
      </c>
      <c r="M250">
        <v>70</v>
      </c>
      <c r="N250" s="43">
        <f>K250/Funktional!C250</f>
        <v>2421.6616841658933</v>
      </c>
      <c r="O250" s="44">
        <f>K250/Funktional!D250</f>
        <v>142.45068730387607</v>
      </c>
      <c r="P250">
        <v>3800</v>
      </c>
      <c r="Q250">
        <v>0</v>
      </c>
      <c r="R250">
        <v>1200</v>
      </c>
      <c r="S250" s="43">
        <f t="shared" si="87"/>
        <v>5000</v>
      </c>
      <c r="T250">
        <v>12278</v>
      </c>
      <c r="U250">
        <v>0</v>
      </c>
      <c r="V250">
        <v>1200</v>
      </c>
      <c r="W250" s="43">
        <f t="shared" si="88"/>
        <v>13478</v>
      </c>
      <c r="X250">
        <v>0</v>
      </c>
      <c r="Y250" s="110"/>
      <c r="Z250" s="110"/>
      <c r="AA250" s="110"/>
      <c r="AB250" s="110"/>
      <c r="AC250" s="110"/>
      <c r="AD250" s="110"/>
      <c r="AE250" s="110"/>
      <c r="AF250" s="110"/>
      <c r="AG250" s="110"/>
      <c r="AH250" s="110"/>
      <c r="AI250" s="110"/>
      <c r="AJ250" s="110"/>
      <c r="AK250" s="110"/>
      <c r="AL250" s="110"/>
      <c r="AM250" s="110"/>
      <c r="AN250" s="110"/>
      <c r="AO250" s="110"/>
      <c r="AP250" s="110"/>
      <c r="AQ250" s="110"/>
      <c r="AR250" s="110"/>
      <c r="AS250" s="110"/>
      <c r="AT250" s="110"/>
      <c r="AU250" s="110"/>
      <c r="AV250" s="110"/>
      <c r="AW250" s="110"/>
      <c r="AX250" s="110"/>
      <c r="AY250" s="110"/>
      <c r="AZ250" s="110"/>
      <c r="BA250" s="110"/>
      <c r="BB250" s="110"/>
      <c r="BC250" s="110"/>
      <c r="BD250" s="110"/>
      <c r="BE250" s="110"/>
      <c r="BF250" s="110"/>
      <c r="BG250" s="110"/>
      <c r="BH250" s="110"/>
      <c r="BI250" s="110"/>
      <c r="BJ250" s="110"/>
      <c r="BK250" s="110"/>
      <c r="BL250" s="110"/>
      <c r="BM250" s="110"/>
      <c r="BN250" s="110"/>
      <c r="BO250" s="110"/>
      <c r="BP250" s="110"/>
      <c r="BQ250" s="110"/>
      <c r="BR250" s="110"/>
      <c r="BS250" s="110"/>
      <c r="BT250" s="110"/>
      <c r="BU250" s="110"/>
      <c r="BV250" s="110"/>
      <c r="BW250" s="110"/>
      <c r="BX250" s="110"/>
      <c r="BY250" s="110"/>
      <c r="BZ250" s="110"/>
      <c r="CA250" s="110"/>
      <c r="CB250" s="110"/>
      <c r="CC250" s="110"/>
      <c r="CD250" s="110"/>
      <c r="CE250" s="110"/>
      <c r="CF250" s="110"/>
    </row>
    <row r="251" spans="1:84" s="45" customFormat="1" x14ac:dyDescent="0.25">
      <c r="A251" t="str">
        <f>Funktional!A251</f>
        <v>Zuben-Schönenbaumgarten</v>
      </c>
      <c r="B251" t="str">
        <f>Funktional!B251</f>
        <v>KiGa</v>
      </c>
      <c r="C251">
        <v>6.5199999999999994E-2</v>
      </c>
      <c r="D251">
        <v>1.52E-2</v>
      </c>
      <c r="E251" s="26">
        <f t="shared" si="89"/>
        <v>472368.3</v>
      </c>
      <c r="F251">
        <v>361579.05</v>
      </c>
      <c r="G251">
        <v>110789.25</v>
      </c>
      <c r="H251">
        <v>22471</v>
      </c>
      <c r="I251" s="42">
        <f t="shared" si="85"/>
        <v>4.7570931410935068E-2</v>
      </c>
      <c r="J251" s="80">
        <f t="shared" si="86"/>
        <v>12320</v>
      </c>
      <c r="K251" s="43">
        <f>J251*'KiGa - PS'!L252</f>
        <v>0</v>
      </c>
      <c r="L251" s="42"/>
      <c r="M251">
        <v>60</v>
      </c>
      <c r="N251" s="43"/>
      <c r="O251" s="44"/>
      <c r="P251">
        <v>3020</v>
      </c>
      <c r="Q251">
        <v>1000</v>
      </c>
      <c r="R251">
        <v>400</v>
      </c>
      <c r="S251" s="43">
        <f t="shared" si="87"/>
        <v>4420</v>
      </c>
      <c r="T251">
        <v>5500</v>
      </c>
      <c r="U251">
        <v>1000</v>
      </c>
      <c r="V251">
        <v>1400</v>
      </c>
      <c r="W251" s="43">
        <f t="shared" si="88"/>
        <v>7900</v>
      </c>
      <c r="X251">
        <v>0</v>
      </c>
      <c r="Y251" s="110"/>
      <c r="Z251" s="110"/>
      <c r="AA251" s="110"/>
      <c r="AB251" s="110"/>
      <c r="AC251" s="110"/>
      <c r="AD251" s="110"/>
      <c r="AE251" s="110"/>
      <c r="AF251" s="110"/>
      <c r="AG251" s="110"/>
      <c r="AH251" s="110"/>
      <c r="AI251" s="110"/>
      <c r="AJ251" s="110"/>
      <c r="AK251" s="110"/>
      <c r="AL251" s="110"/>
      <c r="AM251" s="110"/>
      <c r="AN251" s="110"/>
      <c r="AO251" s="110"/>
      <c r="AP251" s="110"/>
      <c r="AQ251" s="110"/>
      <c r="AR251" s="110"/>
      <c r="AS251" s="110"/>
      <c r="AT251" s="110"/>
      <c r="AU251" s="110"/>
      <c r="AV251" s="110"/>
      <c r="AW251" s="110"/>
      <c r="AX251" s="110"/>
      <c r="AY251" s="110"/>
      <c r="AZ251" s="110"/>
      <c r="BA251" s="110"/>
      <c r="BB251" s="110"/>
      <c r="BC251" s="110"/>
      <c r="BD251" s="110"/>
      <c r="BE251" s="110"/>
      <c r="BF251" s="110"/>
      <c r="BG251" s="110"/>
      <c r="BH251" s="110"/>
      <c r="BI251" s="110"/>
      <c r="BJ251" s="110"/>
      <c r="BK251" s="110"/>
      <c r="BL251" s="110"/>
      <c r="BM251" s="110"/>
      <c r="BN251" s="110"/>
      <c r="BO251" s="110"/>
      <c r="BP251" s="110"/>
      <c r="BQ251" s="110"/>
      <c r="BR251" s="110"/>
      <c r="BS251" s="110"/>
      <c r="BT251" s="110"/>
      <c r="BU251" s="110"/>
      <c r="BV251" s="110"/>
      <c r="BW251" s="110"/>
      <c r="BX251" s="110"/>
      <c r="BY251" s="110"/>
      <c r="BZ251" s="110"/>
      <c r="CA251" s="110"/>
      <c r="CB251" s="110"/>
      <c r="CC251" s="110"/>
      <c r="CD251" s="110"/>
      <c r="CE251" s="110"/>
      <c r="CF251" s="110"/>
    </row>
    <row r="252" spans="1:84" s="45" customFormat="1" x14ac:dyDescent="0.25">
      <c r="A252" t="str">
        <f>Funktional!A252</f>
        <v>Arbon</v>
      </c>
      <c r="B252" t="str">
        <f>Funktional!B252</f>
        <v>VSG</v>
      </c>
      <c r="C252">
        <v>4.5199999999999997E-2</v>
      </c>
      <c r="D252">
        <v>3.9600000000000003E-2</v>
      </c>
      <c r="E252" s="26">
        <f t="shared" ref="E252:E257" si="90">F252+G252</f>
        <v>23928879.649999999</v>
      </c>
      <c r="F252">
        <v>20522116.949999999</v>
      </c>
      <c r="G252">
        <v>3406762.7</v>
      </c>
      <c r="H252">
        <v>88997.1</v>
      </c>
      <c r="I252" s="42">
        <f t="shared" si="85"/>
        <v>3.7192338839816936E-3</v>
      </c>
      <c r="J252" s="80">
        <f t="shared" si="86"/>
        <v>332430</v>
      </c>
      <c r="K252" s="43">
        <f>J252*'KiGa - PS'!L253</f>
        <v>332430</v>
      </c>
      <c r="L252" s="42">
        <f>K252/Funktional!E252</f>
        <v>1.6991878300797143E-2</v>
      </c>
      <c r="M252">
        <v>80</v>
      </c>
      <c r="N252" s="43">
        <f>K252/Funktional!C252</f>
        <v>3821.0344827586205</v>
      </c>
      <c r="O252" s="44">
        <f>K252/Funktional!D252</f>
        <v>187.28450704225352</v>
      </c>
      <c r="P252">
        <v>146200</v>
      </c>
      <c r="Q252">
        <v>4500</v>
      </c>
      <c r="R252">
        <v>0</v>
      </c>
      <c r="S252" s="43">
        <f t="shared" si="87"/>
        <v>150700</v>
      </c>
      <c r="T252">
        <v>115360</v>
      </c>
      <c r="U252">
        <v>1500</v>
      </c>
      <c r="V252">
        <v>0</v>
      </c>
      <c r="W252" s="43">
        <f t="shared" si="88"/>
        <v>116860</v>
      </c>
      <c r="X252">
        <v>64870</v>
      </c>
      <c r="Y252" s="110"/>
      <c r="Z252" s="110"/>
      <c r="AA252" s="110"/>
      <c r="AB252" s="110"/>
      <c r="AC252" s="110"/>
      <c r="AD252" s="110"/>
      <c r="AE252" s="110"/>
      <c r="AF252" s="110"/>
      <c r="AG252" s="110"/>
      <c r="AH252" s="110"/>
      <c r="AI252" s="110"/>
      <c r="AJ252" s="110"/>
      <c r="AK252" s="110"/>
      <c r="AL252" s="110"/>
      <c r="AM252" s="110"/>
      <c r="AN252" s="110"/>
      <c r="AO252" s="110"/>
      <c r="AP252" s="110"/>
      <c r="AQ252" s="110"/>
      <c r="AR252" s="110"/>
      <c r="AS252" s="110"/>
      <c r="AT252" s="110"/>
      <c r="AU252" s="110"/>
      <c r="AV252" s="110"/>
      <c r="AW252" s="110"/>
      <c r="AX252" s="110"/>
      <c r="AY252" s="110"/>
      <c r="AZ252" s="110"/>
      <c r="BA252" s="110"/>
      <c r="BB252" s="110"/>
      <c r="BC252" s="110"/>
      <c r="BD252" s="110"/>
      <c r="BE252" s="110"/>
      <c r="BF252" s="110"/>
      <c r="BG252" s="110"/>
      <c r="BH252" s="110"/>
      <c r="BI252" s="110"/>
      <c r="BJ252" s="110"/>
      <c r="BK252" s="110"/>
      <c r="BL252" s="110"/>
      <c r="BM252" s="110"/>
      <c r="BN252" s="110"/>
      <c r="BO252" s="110"/>
      <c r="BP252" s="110"/>
      <c r="BQ252" s="110"/>
      <c r="BR252" s="110"/>
      <c r="BS252" s="110"/>
      <c r="BT252" s="110"/>
      <c r="BU252" s="110"/>
      <c r="BV252" s="110"/>
      <c r="BW252" s="110"/>
      <c r="BX252" s="110"/>
      <c r="BY252" s="110"/>
      <c r="BZ252" s="110"/>
      <c r="CA252" s="110"/>
      <c r="CB252" s="110"/>
      <c r="CC252" s="110"/>
      <c r="CD252" s="110"/>
      <c r="CE252" s="110"/>
      <c r="CF252" s="110"/>
    </row>
    <row r="253" spans="1:84" s="45" customFormat="1" x14ac:dyDescent="0.25">
      <c r="A253" t="str">
        <f>Funktional!A253</f>
        <v>Erlen-Riedt-Ennetaach</v>
      </c>
      <c r="B253" t="str">
        <f>Funktional!B253</f>
        <v>VSG</v>
      </c>
      <c r="C253">
        <v>3.6600000000000001E-2</v>
      </c>
      <c r="D253">
        <v>1.6E-2</v>
      </c>
      <c r="E253" s="26">
        <f t="shared" si="90"/>
        <v>4036335.6799999997</v>
      </c>
      <c r="F253">
        <v>2281931</v>
      </c>
      <c r="G253">
        <v>1754404.68</v>
      </c>
      <c r="H253">
        <v>30185.15</v>
      </c>
      <c r="I253" s="42">
        <f t="shared" si="85"/>
        <v>7.4783547239559624E-3</v>
      </c>
      <c r="J253" s="80">
        <f t="shared" si="86"/>
        <v>158000</v>
      </c>
      <c r="K253" s="43">
        <f>J253*'KiGa - PS'!L254</f>
        <v>158000</v>
      </c>
      <c r="L253" s="42">
        <f>K253/Funktional!E253</f>
        <v>3.024855216166588E-2</v>
      </c>
      <c r="M253">
        <v>80</v>
      </c>
      <c r="N253" s="43">
        <f>K253/Funktional!C253</f>
        <v>6320</v>
      </c>
      <c r="O253" s="44">
        <f>K253/Funktional!D253</f>
        <v>312.2529644268775</v>
      </c>
      <c r="P253">
        <v>38800</v>
      </c>
      <c r="Q253">
        <v>5600</v>
      </c>
      <c r="R253">
        <v>3600</v>
      </c>
      <c r="S253" s="43">
        <f t="shared" si="87"/>
        <v>48000</v>
      </c>
      <c r="T253">
        <v>83900</v>
      </c>
      <c r="U253">
        <v>4800</v>
      </c>
      <c r="V253">
        <v>3600</v>
      </c>
      <c r="W253" s="43">
        <f t="shared" si="88"/>
        <v>92300</v>
      </c>
      <c r="X253">
        <v>17700</v>
      </c>
      <c r="Y253" s="110"/>
      <c r="Z253" s="110"/>
      <c r="AA253" s="110"/>
      <c r="AB253" s="110"/>
      <c r="AC253" s="110"/>
      <c r="AD253" s="110"/>
      <c r="AE253" s="110"/>
      <c r="AF253" s="110"/>
      <c r="AG253" s="110"/>
      <c r="AH253" s="110"/>
      <c r="AI253" s="110"/>
      <c r="AJ253" s="110"/>
      <c r="AK253" s="110"/>
      <c r="AL253" s="110"/>
      <c r="AM253" s="110"/>
      <c r="AN253" s="110"/>
      <c r="AO253" s="110"/>
      <c r="AP253" s="110"/>
      <c r="AQ253" s="110"/>
      <c r="AR253" s="110"/>
      <c r="AS253" s="110"/>
      <c r="AT253" s="110"/>
      <c r="AU253" s="110"/>
      <c r="AV253" s="110"/>
      <c r="AW253" s="110"/>
      <c r="AX253" s="110"/>
      <c r="AY253" s="110"/>
      <c r="AZ253" s="110"/>
      <c r="BA253" s="110"/>
      <c r="BB253" s="110"/>
      <c r="BC253" s="110"/>
      <c r="BD253" s="110"/>
      <c r="BE253" s="110"/>
      <c r="BF253" s="110"/>
      <c r="BG253" s="110"/>
      <c r="BH253" s="110"/>
      <c r="BI253" s="110"/>
      <c r="BJ253" s="110"/>
      <c r="BK253" s="110"/>
      <c r="BL253" s="110"/>
      <c r="BM253" s="110"/>
      <c r="BN253" s="110"/>
      <c r="BO253" s="110"/>
      <c r="BP253" s="110"/>
      <c r="BQ253" s="110"/>
      <c r="BR253" s="110"/>
      <c r="BS253" s="110"/>
      <c r="BT253" s="110"/>
      <c r="BU253" s="110"/>
      <c r="BV253" s="110"/>
      <c r="BW253" s="110"/>
      <c r="BX253" s="110"/>
      <c r="BY253" s="110"/>
      <c r="BZ253" s="110"/>
      <c r="CA253" s="110"/>
      <c r="CB253" s="110"/>
      <c r="CC253" s="110"/>
      <c r="CD253" s="110"/>
      <c r="CE253" s="110"/>
      <c r="CF253" s="110"/>
    </row>
    <row r="254" spans="1:84" s="45" customFormat="1" x14ac:dyDescent="0.25">
      <c r="A254" t="str">
        <f>Funktional!A254</f>
        <v>Eschlikon</v>
      </c>
      <c r="B254" t="str">
        <f>Funktional!B254</f>
        <v>VSG</v>
      </c>
      <c r="C254">
        <v>0.23200000000000001</v>
      </c>
      <c r="D254">
        <v>9.6600000000000005E-2</v>
      </c>
      <c r="E254" s="26">
        <f t="shared" si="90"/>
        <v>12584573.85</v>
      </c>
      <c r="F254">
        <v>10984602</v>
      </c>
      <c r="G254">
        <v>1599971.85</v>
      </c>
      <c r="H254">
        <v>7608.2</v>
      </c>
      <c r="I254" s="42">
        <f t="shared" si="85"/>
        <v>6.0456556500719332E-4</v>
      </c>
      <c r="J254" s="80">
        <f t="shared" si="86"/>
        <v>110223</v>
      </c>
      <c r="K254" s="43">
        <f>J254*'KiGa - PS'!L255</f>
        <v>110223</v>
      </c>
      <c r="L254" s="42">
        <f>K254/Funktional!E254</f>
        <v>2.0226388453677985E-2</v>
      </c>
      <c r="M254">
        <v>53.5</v>
      </c>
      <c r="N254" s="43">
        <f>K254/Funktional!C254</f>
        <v>4792.304347826087</v>
      </c>
      <c r="O254" s="44">
        <f>K254/Funktional!D254</f>
        <v>248.25</v>
      </c>
      <c r="P254">
        <v>24400</v>
      </c>
      <c r="Q254">
        <v>7800</v>
      </c>
      <c r="R254">
        <v>7800</v>
      </c>
      <c r="S254" s="43">
        <f t="shared" si="87"/>
        <v>40000</v>
      </c>
      <c r="T254">
        <v>48600</v>
      </c>
      <c r="U254">
        <v>2840</v>
      </c>
      <c r="V254">
        <v>2840</v>
      </c>
      <c r="W254" s="43">
        <f t="shared" si="88"/>
        <v>54280</v>
      </c>
      <c r="X254">
        <v>15943</v>
      </c>
      <c r="Y254" s="110"/>
      <c r="Z254" s="110"/>
      <c r="AA254" s="110"/>
      <c r="AB254" s="110"/>
      <c r="AC254" s="110"/>
      <c r="AD254" s="110"/>
      <c r="AE254" s="110"/>
      <c r="AF254" s="110"/>
      <c r="AG254" s="110"/>
      <c r="AH254" s="110"/>
      <c r="AI254" s="110"/>
      <c r="AJ254" s="110"/>
      <c r="AK254" s="110"/>
      <c r="AL254" s="110"/>
      <c r="AM254" s="110"/>
      <c r="AN254" s="110"/>
      <c r="AO254" s="110"/>
      <c r="AP254" s="110"/>
      <c r="AQ254" s="110"/>
      <c r="AR254" s="110"/>
      <c r="AS254" s="110"/>
      <c r="AT254" s="110"/>
      <c r="AU254" s="110"/>
      <c r="AV254" s="110"/>
      <c r="AW254" s="110"/>
      <c r="AX254" s="110"/>
      <c r="AY254" s="110"/>
      <c r="AZ254" s="110"/>
      <c r="BA254" s="110"/>
      <c r="BB254" s="110"/>
      <c r="BC254" s="110"/>
      <c r="BD254" s="110"/>
      <c r="BE254" s="110"/>
      <c r="BF254" s="110"/>
      <c r="BG254" s="110"/>
      <c r="BH254" s="110"/>
      <c r="BI254" s="110"/>
      <c r="BJ254" s="110"/>
      <c r="BK254" s="110"/>
      <c r="BL254" s="110"/>
      <c r="BM254" s="110"/>
      <c r="BN254" s="110"/>
      <c r="BO254" s="110"/>
      <c r="BP254" s="110"/>
      <c r="BQ254" s="110"/>
      <c r="BR254" s="110"/>
      <c r="BS254" s="110"/>
      <c r="BT254" s="110"/>
      <c r="BU254" s="110"/>
      <c r="BV254" s="110"/>
      <c r="BW254" s="110"/>
      <c r="BX254" s="110"/>
      <c r="BY254" s="110"/>
      <c r="BZ254" s="110"/>
      <c r="CA254" s="110"/>
      <c r="CB254" s="110"/>
      <c r="CC254" s="110"/>
      <c r="CD254" s="110"/>
      <c r="CE254" s="110"/>
      <c r="CF254" s="110"/>
    </row>
    <row r="255" spans="1:84" s="45" customFormat="1" x14ac:dyDescent="0.25">
      <c r="A255" t="str">
        <f>Funktional!A255</f>
        <v>Horn</v>
      </c>
      <c r="B255" t="str">
        <f>Funktional!B255</f>
        <v>VSG</v>
      </c>
      <c r="C255">
        <v>0.10730000000000001</v>
      </c>
      <c r="D255">
        <v>5.1299999999999998E-2</v>
      </c>
      <c r="E255" s="26">
        <f t="shared" si="90"/>
        <v>5087099.4400000004</v>
      </c>
      <c r="F255">
        <v>4650486.25</v>
      </c>
      <c r="G255">
        <v>436613.19</v>
      </c>
      <c r="H255">
        <v>20106.3</v>
      </c>
      <c r="I255" s="42">
        <f t="shared" si="85"/>
        <v>3.9524094697075546E-3</v>
      </c>
      <c r="J255" s="80">
        <f t="shared" si="86"/>
        <v>48460</v>
      </c>
      <c r="K255" s="43">
        <f>J255*'KiGa - PS'!L256</f>
        <v>48460</v>
      </c>
      <c r="L255" s="42">
        <f>K255/Funktional!E255</f>
        <v>1.3751127235602068E-2</v>
      </c>
      <c r="M255">
        <v>50</v>
      </c>
      <c r="N255" s="43">
        <f>K255/Funktional!C255</f>
        <v>3028.75</v>
      </c>
      <c r="O255" s="44">
        <f>K255/Funktional!D255</f>
        <v>161.53333333333333</v>
      </c>
      <c r="P255">
        <v>7000</v>
      </c>
      <c r="Q255">
        <v>0</v>
      </c>
      <c r="R255">
        <v>0</v>
      </c>
      <c r="S255" s="43">
        <f t="shared" si="87"/>
        <v>7000</v>
      </c>
      <c r="T255">
        <v>27000</v>
      </c>
      <c r="U255">
        <v>0</v>
      </c>
      <c r="V255">
        <v>4200</v>
      </c>
      <c r="W255" s="43">
        <f t="shared" si="88"/>
        <v>31200</v>
      </c>
      <c r="X255">
        <v>10260</v>
      </c>
      <c r="Y255" s="110"/>
      <c r="Z255" s="110"/>
      <c r="AA255" s="110"/>
      <c r="AB255" s="110"/>
      <c r="AC255" s="110"/>
      <c r="AD255" s="110"/>
      <c r="AE255" s="110"/>
      <c r="AF255" s="110"/>
      <c r="AG255" s="110"/>
      <c r="AH255" s="110"/>
      <c r="AI255" s="110"/>
      <c r="AJ255" s="110"/>
      <c r="AK255" s="110"/>
      <c r="AL255" s="110"/>
      <c r="AM255" s="110"/>
      <c r="AN255" s="110"/>
      <c r="AO255" s="110"/>
      <c r="AP255" s="110"/>
      <c r="AQ255" s="110"/>
      <c r="AR255" s="110"/>
      <c r="AS255" s="110"/>
      <c r="AT255" s="110"/>
      <c r="AU255" s="110"/>
      <c r="AV255" s="110"/>
      <c r="AW255" s="110"/>
      <c r="AX255" s="110"/>
      <c r="AY255" s="110"/>
      <c r="AZ255" s="110"/>
      <c r="BA255" s="110"/>
      <c r="BB255" s="110"/>
      <c r="BC255" s="110"/>
      <c r="BD255" s="110"/>
      <c r="BE255" s="110"/>
      <c r="BF255" s="110"/>
      <c r="BG255" s="110"/>
      <c r="BH255" s="110"/>
      <c r="BI255" s="110"/>
      <c r="BJ255" s="110"/>
      <c r="BK255" s="110"/>
      <c r="BL255" s="110"/>
      <c r="BM255" s="110"/>
      <c r="BN255" s="110"/>
      <c r="BO255" s="110"/>
      <c r="BP255" s="110"/>
      <c r="BQ255" s="110"/>
      <c r="BR255" s="110"/>
      <c r="BS255" s="110"/>
      <c r="BT255" s="110"/>
      <c r="BU255" s="110"/>
      <c r="BV255" s="110"/>
      <c r="BW255" s="110"/>
      <c r="BX255" s="110"/>
      <c r="BY255" s="110"/>
      <c r="BZ255" s="110"/>
      <c r="CA255" s="110"/>
      <c r="CB255" s="110"/>
      <c r="CC255" s="110"/>
      <c r="CD255" s="110"/>
      <c r="CE255" s="110"/>
      <c r="CF255" s="110"/>
    </row>
    <row r="256" spans="1:84" s="45" customFormat="1" x14ac:dyDescent="0.25">
      <c r="A256" t="str">
        <f>Funktional!A256</f>
        <v>Münchwilen</v>
      </c>
      <c r="B256" t="str">
        <f>Funktional!B256</f>
        <v>VSG</v>
      </c>
      <c r="C256">
        <v>0.1055</v>
      </c>
      <c r="D256">
        <v>3.7400000000000003E-2</v>
      </c>
      <c r="E256" s="26">
        <f t="shared" si="90"/>
        <v>9526326.5</v>
      </c>
      <c r="F256">
        <v>7922018</v>
      </c>
      <c r="G256">
        <v>1604308.5</v>
      </c>
      <c r="H256">
        <v>55699.25</v>
      </c>
      <c r="I256" s="42">
        <f t="shared" si="85"/>
        <v>5.8468760229874548E-3</v>
      </c>
      <c r="J256" s="80">
        <f t="shared" si="86"/>
        <v>215320</v>
      </c>
      <c r="K256" s="43">
        <f>J256*'KiGa - PS'!L257</f>
        <v>215320</v>
      </c>
      <c r="L256" s="42">
        <f>K256/Funktional!E256</f>
        <v>2.9842136249572895E-2</v>
      </c>
      <c r="M256">
        <v>90</v>
      </c>
      <c r="N256" s="43">
        <f>K256/Funktional!C256</f>
        <v>6152</v>
      </c>
      <c r="O256" s="44">
        <f>K256/Funktional!D256</f>
        <v>323.30330330330332</v>
      </c>
      <c r="P256">
        <v>43120</v>
      </c>
      <c r="Q256">
        <v>3600</v>
      </c>
      <c r="R256">
        <v>3600</v>
      </c>
      <c r="S256" s="43">
        <f t="shared" si="87"/>
        <v>50320</v>
      </c>
      <c r="T256">
        <v>143900</v>
      </c>
      <c r="U256">
        <v>1000</v>
      </c>
      <c r="V256">
        <v>0</v>
      </c>
      <c r="W256" s="43">
        <f t="shared" si="88"/>
        <v>144900</v>
      </c>
      <c r="X256">
        <v>20100</v>
      </c>
      <c r="Y256" s="110"/>
      <c r="Z256" s="110"/>
      <c r="AA256" s="110"/>
      <c r="AB256" s="110"/>
      <c r="AC256" s="110"/>
      <c r="AD256" s="110"/>
      <c r="AE256" s="110"/>
      <c r="AF256" s="110"/>
      <c r="AG256" s="110"/>
      <c r="AH256" s="110"/>
      <c r="AI256" s="110"/>
      <c r="AJ256" s="110"/>
      <c r="AK256" s="110"/>
      <c r="AL256" s="110"/>
      <c r="AM256" s="110"/>
      <c r="AN256" s="110"/>
      <c r="AO256" s="110"/>
      <c r="AP256" s="110"/>
      <c r="AQ256" s="110"/>
      <c r="AR256" s="110"/>
      <c r="AS256" s="110"/>
      <c r="AT256" s="110"/>
      <c r="AU256" s="110"/>
      <c r="AV256" s="110"/>
      <c r="AW256" s="110"/>
      <c r="AX256" s="110"/>
      <c r="AY256" s="110"/>
      <c r="AZ256" s="110"/>
      <c r="BA256" s="110"/>
      <c r="BB256" s="110"/>
      <c r="BC256" s="110"/>
      <c r="BD256" s="110"/>
      <c r="BE256" s="110"/>
      <c r="BF256" s="110"/>
      <c r="BG256" s="110"/>
      <c r="BH256" s="110"/>
      <c r="BI256" s="110"/>
      <c r="BJ256" s="110"/>
      <c r="BK256" s="110"/>
      <c r="BL256" s="110"/>
      <c r="BM256" s="110"/>
      <c r="BN256" s="110"/>
      <c r="BO256" s="110"/>
      <c r="BP256" s="110"/>
      <c r="BQ256" s="110"/>
      <c r="BR256" s="110"/>
      <c r="BS256" s="110"/>
      <c r="BT256" s="110"/>
      <c r="BU256" s="110"/>
      <c r="BV256" s="110"/>
      <c r="BW256" s="110"/>
      <c r="BX256" s="110"/>
      <c r="BY256" s="110"/>
      <c r="BZ256" s="110"/>
      <c r="CA256" s="110"/>
      <c r="CB256" s="110"/>
      <c r="CC256" s="110"/>
      <c r="CD256" s="110"/>
      <c r="CE256" s="110"/>
      <c r="CF256" s="110"/>
    </row>
    <row r="257" spans="1:84" s="45" customFormat="1" x14ac:dyDescent="0.25">
      <c r="A257" t="str">
        <f>Funktional!A257</f>
        <v>Wängi</v>
      </c>
      <c r="B257" t="str">
        <f>Funktional!B257</f>
        <v>VSG</v>
      </c>
      <c r="C257">
        <v>6.1800000000000001E-2</v>
      </c>
      <c r="D257">
        <v>2.7400000000000001E-2</v>
      </c>
      <c r="E257" s="26">
        <f t="shared" si="90"/>
        <v>8983072.3500000015</v>
      </c>
      <c r="F257">
        <v>5109996.6500000004</v>
      </c>
      <c r="G257">
        <v>3873075.7</v>
      </c>
      <c r="H257">
        <v>128586.55</v>
      </c>
      <c r="I257" s="42">
        <f t="shared" si="85"/>
        <v>1.431431752856805E-2</v>
      </c>
      <c r="J257" s="80">
        <f t="shared" si="86"/>
        <v>59500</v>
      </c>
      <c r="K257" s="43">
        <f>J257*'KiGa - PS'!L258</f>
        <v>59500</v>
      </c>
      <c r="L257" s="42">
        <f>K257/Funktional!E257</f>
        <v>8.8294100782056323E-3</v>
      </c>
      <c r="M257">
        <v>40</v>
      </c>
      <c r="N257" s="43">
        <f>K257/Funktional!C257</f>
        <v>1608.1081081081081</v>
      </c>
      <c r="O257" s="44">
        <f>K257/Funktional!D257</f>
        <v>85.982658959537574</v>
      </c>
      <c r="P257">
        <v>14000</v>
      </c>
      <c r="Q257">
        <v>1400</v>
      </c>
      <c r="R257">
        <v>0</v>
      </c>
      <c r="S257" s="43">
        <f t="shared" si="87"/>
        <v>15400</v>
      </c>
      <c r="T257">
        <v>22000</v>
      </c>
      <c r="U257">
        <v>400</v>
      </c>
      <c r="V257">
        <v>0</v>
      </c>
      <c r="W257" s="43">
        <f t="shared" si="88"/>
        <v>22400</v>
      </c>
      <c r="X257">
        <v>21700</v>
      </c>
      <c r="Y257" s="110"/>
      <c r="Z257" s="110"/>
      <c r="AA257" s="110"/>
      <c r="AB257" s="110"/>
      <c r="AC257" s="110"/>
      <c r="AD257" s="110"/>
      <c r="AE257" s="110"/>
      <c r="AF257" s="110"/>
      <c r="AG257" s="110"/>
      <c r="AH257" s="110"/>
      <c r="AI257" s="110"/>
      <c r="AJ257" s="110"/>
      <c r="AK257" s="110"/>
      <c r="AL257" s="110"/>
      <c r="AM257" s="110"/>
      <c r="AN257" s="110"/>
      <c r="AO257" s="110"/>
      <c r="AP257" s="110"/>
      <c r="AQ257" s="110"/>
      <c r="AR257" s="110"/>
      <c r="AS257" s="110"/>
      <c r="AT257" s="110"/>
      <c r="AU257" s="110"/>
      <c r="AV257" s="110"/>
      <c r="AW257" s="110"/>
      <c r="AX257" s="110"/>
      <c r="AY257" s="110"/>
      <c r="AZ257" s="110"/>
      <c r="BA257" s="110"/>
      <c r="BB257" s="110"/>
      <c r="BC257" s="110"/>
      <c r="BD257" s="110"/>
      <c r="BE257" s="110"/>
      <c r="BF257" s="110"/>
      <c r="BG257" s="110"/>
      <c r="BH257" s="110"/>
      <c r="BI257" s="110"/>
      <c r="BJ257" s="110"/>
      <c r="BK257" s="110"/>
      <c r="BL257" s="110"/>
      <c r="BM257" s="110"/>
      <c r="BN257" s="110"/>
      <c r="BO257" s="110"/>
      <c r="BP257" s="110"/>
      <c r="BQ257" s="110"/>
      <c r="BR257" s="110"/>
      <c r="BS257" s="110"/>
      <c r="BT257" s="110"/>
      <c r="BU257" s="110"/>
      <c r="BV257" s="110"/>
      <c r="BW257" s="110"/>
      <c r="BX257" s="110"/>
      <c r="BY257" s="110"/>
      <c r="BZ257" s="110"/>
      <c r="CA257" s="110"/>
      <c r="CB257" s="110"/>
      <c r="CC257" s="110"/>
      <c r="CD257" s="110"/>
      <c r="CE257" s="110"/>
      <c r="CF257" s="110"/>
    </row>
    <row r="258" spans="1:84" s="45" customFormat="1" x14ac:dyDescent="0.25">
      <c r="A258" t="str">
        <f>Funktional!A258</f>
        <v>Andwil</v>
      </c>
      <c r="B258" t="str">
        <f>Funktional!B258</f>
        <v>VSG*</v>
      </c>
      <c r="C258">
        <v>0.09</v>
      </c>
      <c r="D258">
        <v>2.18E-2</v>
      </c>
      <c r="E258" s="26">
        <f t="shared" ref="E258:E271" si="91">F258+G258</f>
        <v>870686.94</v>
      </c>
      <c r="F258">
        <v>677275.5</v>
      </c>
      <c r="G258">
        <v>193411.44</v>
      </c>
      <c r="H258">
        <v>24299.5</v>
      </c>
      <c r="I258" s="42">
        <f t="shared" si="85"/>
        <v>2.7908423663733833E-2</v>
      </c>
      <c r="J258" s="80">
        <f t="shared" si="86"/>
        <v>14000</v>
      </c>
      <c r="K258" s="43">
        <f>J258*'KiGa - PS'!L259</f>
        <v>11735.716956753986</v>
      </c>
      <c r="L258" s="42">
        <f>K258/Funktional!E258</f>
        <v>2.2210350261189747E-2</v>
      </c>
      <c r="M258">
        <v>50</v>
      </c>
      <c r="N258" s="43">
        <f>K258/Funktional!C258</f>
        <v>4694.2867827015943</v>
      </c>
      <c r="O258" s="44">
        <f>K258/Funktional!D258</f>
        <v>300.91581940394838</v>
      </c>
      <c r="P258">
        <v>3000</v>
      </c>
      <c r="Q258">
        <v>0</v>
      </c>
      <c r="R258">
        <v>1500</v>
      </c>
      <c r="S258" s="43">
        <f t="shared" si="87"/>
        <v>4500</v>
      </c>
      <c r="T258">
        <v>8000</v>
      </c>
      <c r="U258">
        <v>0</v>
      </c>
      <c r="V258">
        <v>1500</v>
      </c>
      <c r="W258" s="43">
        <f t="shared" si="88"/>
        <v>9500</v>
      </c>
      <c r="X258">
        <v>0</v>
      </c>
      <c r="Y258" s="110"/>
      <c r="Z258" s="110"/>
      <c r="AA258" s="110"/>
      <c r="AB258" s="110"/>
      <c r="AC258" s="110"/>
      <c r="AD258" s="110"/>
      <c r="AE258" s="110"/>
      <c r="AF258" s="110"/>
      <c r="AG258" s="110"/>
      <c r="AH258" s="110"/>
      <c r="AI258" s="110"/>
      <c r="AJ258" s="110"/>
      <c r="AK258" s="110"/>
      <c r="AL258" s="110"/>
      <c r="AM258" s="110"/>
      <c r="AN258" s="110"/>
      <c r="AO258" s="110"/>
      <c r="AP258" s="110"/>
      <c r="AQ258" s="110"/>
      <c r="AR258" s="110"/>
      <c r="AS258" s="110"/>
      <c r="AT258" s="110"/>
      <c r="AU258" s="110"/>
      <c r="AV258" s="110"/>
      <c r="AW258" s="110"/>
      <c r="AX258" s="110"/>
      <c r="AY258" s="110"/>
      <c r="AZ258" s="110"/>
      <c r="BA258" s="110"/>
      <c r="BB258" s="110"/>
      <c r="BC258" s="110"/>
      <c r="BD258" s="110"/>
      <c r="BE258" s="110"/>
      <c r="BF258" s="110"/>
      <c r="BG258" s="110"/>
      <c r="BH258" s="110"/>
      <c r="BI258" s="110"/>
      <c r="BJ258" s="110"/>
      <c r="BK258" s="110"/>
      <c r="BL258" s="110"/>
      <c r="BM258" s="110"/>
      <c r="BN258" s="110"/>
      <c r="BO258" s="110"/>
      <c r="BP258" s="110"/>
      <c r="BQ258" s="110"/>
      <c r="BR258" s="110"/>
      <c r="BS258" s="110"/>
      <c r="BT258" s="110"/>
      <c r="BU258" s="110"/>
      <c r="BV258" s="110"/>
      <c r="BW258" s="110"/>
      <c r="BX258" s="110"/>
      <c r="BY258" s="110"/>
      <c r="BZ258" s="110"/>
      <c r="CA258" s="110"/>
      <c r="CB258" s="110"/>
      <c r="CC258" s="110"/>
      <c r="CD258" s="110"/>
      <c r="CE258" s="110"/>
      <c r="CF258" s="110"/>
    </row>
    <row r="259" spans="1:84" s="45" customFormat="1" x14ac:dyDescent="0.25">
      <c r="A259" t="str">
        <f>Funktional!A259</f>
        <v>Frasnacht</v>
      </c>
      <c r="B259" t="str">
        <f>Funktional!B259</f>
        <v>VSG*</v>
      </c>
      <c r="C259">
        <v>6.6600000000000006E-2</v>
      </c>
      <c r="D259">
        <v>5.4000000000000003E-3</v>
      </c>
      <c r="E259" s="26">
        <f t="shared" si="91"/>
        <v>3537022.45</v>
      </c>
      <c r="F259">
        <v>1858544</v>
      </c>
      <c r="G259">
        <v>1678478.45</v>
      </c>
      <c r="H259">
        <v>49315.7</v>
      </c>
      <c r="I259" s="42">
        <f t="shared" si="85"/>
        <v>1.394271613967279E-2</v>
      </c>
      <c r="J259" s="80">
        <f t="shared" si="86"/>
        <v>21150</v>
      </c>
      <c r="K259" s="43">
        <f>J259*'KiGa - PS'!L260</f>
        <v>17013.993536427548</v>
      </c>
      <c r="L259" s="42">
        <f>K259/Funktional!E259</f>
        <v>1.6128096279930677E-2</v>
      </c>
      <c r="M259">
        <v>70</v>
      </c>
      <c r="N259" s="43">
        <f>K259/Funktional!C259</f>
        <v>3402.7987072855094</v>
      </c>
      <c r="O259" s="44">
        <f>K259/Funktional!D259</f>
        <v>177.22909933778695</v>
      </c>
      <c r="P259">
        <v>3400</v>
      </c>
      <c r="Q259">
        <v>0</v>
      </c>
      <c r="R259">
        <v>0</v>
      </c>
      <c r="S259" s="43">
        <f t="shared" si="87"/>
        <v>3400</v>
      </c>
      <c r="T259">
        <v>9600</v>
      </c>
      <c r="U259">
        <v>0</v>
      </c>
      <c r="V259">
        <v>0</v>
      </c>
      <c r="W259" s="43">
        <f t="shared" si="88"/>
        <v>9600</v>
      </c>
      <c r="X259">
        <v>8150</v>
      </c>
      <c r="Y259" s="110"/>
      <c r="Z259" s="110"/>
      <c r="AA259" s="110"/>
      <c r="AB259" s="110"/>
      <c r="AC259" s="110"/>
      <c r="AD259" s="110"/>
      <c r="AE259" s="110"/>
      <c r="AF259" s="110"/>
      <c r="AG259" s="110"/>
      <c r="AH259" s="110"/>
      <c r="AI259" s="110"/>
      <c r="AJ259" s="110"/>
      <c r="AK259" s="110"/>
      <c r="AL259" s="110"/>
      <c r="AM259" s="110"/>
      <c r="AN259" s="110"/>
      <c r="AO259" s="110"/>
      <c r="AP259" s="110"/>
      <c r="AQ259" s="110"/>
      <c r="AR259" s="110"/>
      <c r="AS259" s="110"/>
      <c r="AT259" s="110"/>
      <c r="AU259" s="110"/>
      <c r="AV259" s="110"/>
      <c r="AW259" s="110"/>
      <c r="AX259" s="110"/>
      <c r="AY259" s="110"/>
      <c r="AZ259" s="110"/>
      <c r="BA259" s="110"/>
      <c r="BB259" s="110"/>
      <c r="BC259" s="110"/>
      <c r="BD259" s="110"/>
      <c r="BE259" s="110"/>
      <c r="BF259" s="110"/>
      <c r="BG259" s="110"/>
      <c r="BH259" s="110"/>
      <c r="BI259" s="110"/>
      <c r="BJ259" s="110"/>
      <c r="BK259" s="110"/>
      <c r="BL259" s="110"/>
      <c r="BM259" s="110"/>
      <c r="BN259" s="110"/>
      <c r="BO259" s="110"/>
      <c r="BP259" s="110"/>
      <c r="BQ259" s="110"/>
      <c r="BR259" s="110"/>
      <c r="BS259" s="110"/>
      <c r="BT259" s="110"/>
      <c r="BU259" s="110"/>
      <c r="BV259" s="110"/>
      <c r="BW259" s="110"/>
      <c r="BX259" s="110"/>
      <c r="BY259" s="110"/>
      <c r="BZ259" s="110"/>
      <c r="CA259" s="110"/>
      <c r="CB259" s="110"/>
      <c r="CC259" s="110"/>
      <c r="CD259" s="110"/>
      <c r="CE259" s="110"/>
      <c r="CF259" s="110"/>
    </row>
    <row r="260" spans="1:84" s="45" customFormat="1" x14ac:dyDescent="0.25">
      <c r="A260" t="str">
        <f>Funktional!A260</f>
        <v>Freidorf-Watt</v>
      </c>
      <c r="B260" t="str">
        <f>Funktional!B260</f>
        <v>VSG*</v>
      </c>
      <c r="C260">
        <v>0.27100000000000002</v>
      </c>
      <c r="D260">
        <v>0.12909999999999999</v>
      </c>
      <c r="E260" s="26">
        <f t="shared" si="91"/>
        <v>4714632.3</v>
      </c>
      <c r="F260">
        <v>4249001</v>
      </c>
      <c r="G260">
        <v>465631.3</v>
      </c>
      <c r="H260">
        <v>14416.2</v>
      </c>
      <c r="I260" s="42">
        <f t="shared" si="85"/>
        <v>3.0577570174454543E-3</v>
      </c>
      <c r="J260" s="80">
        <f t="shared" si="86"/>
        <v>10500</v>
      </c>
      <c r="K260" s="43">
        <f>J260*'KiGa - PS'!L261</f>
        <v>8766.9557689580979</v>
      </c>
      <c r="L260" s="42">
        <f>K260/Funktional!E260</f>
        <v>8.644681485269895E-3</v>
      </c>
      <c r="M260">
        <v>50</v>
      </c>
      <c r="N260" s="43">
        <f>K260/Funktional!C260</f>
        <v>1593.9919579923815</v>
      </c>
      <c r="O260" s="44">
        <f>K260/Funktional!D260</f>
        <v>82.707129895831116</v>
      </c>
      <c r="P260">
        <v>4000</v>
      </c>
      <c r="Q260">
        <v>0</v>
      </c>
      <c r="R260">
        <v>0</v>
      </c>
      <c r="S260" s="43">
        <f t="shared" si="87"/>
        <v>4000</v>
      </c>
      <c r="T260">
        <v>6000</v>
      </c>
      <c r="U260">
        <v>0</v>
      </c>
      <c r="V260">
        <v>500</v>
      </c>
      <c r="W260" s="43">
        <f t="shared" si="88"/>
        <v>6500</v>
      </c>
      <c r="X260">
        <v>0</v>
      </c>
      <c r="Y260" s="110"/>
      <c r="Z260" s="110"/>
      <c r="AA260" s="110"/>
      <c r="AB260" s="110"/>
      <c r="AC260" s="110"/>
      <c r="AD260" s="110"/>
      <c r="AE260" s="110"/>
      <c r="AF260" s="110"/>
      <c r="AG260" s="110"/>
      <c r="AH260" s="110"/>
      <c r="AI260" s="110"/>
      <c r="AJ260" s="110"/>
      <c r="AK260" s="110"/>
      <c r="AL260" s="110"/>
      <c r="AM260" s="110"/>
      <c r="AN260" s="110"/>
      <c r="AO260" s="110"/>
      <c r="AP260" s="110"/>
      <c r="AQ260" s="110"/>
      <c r="AR260" s="110"/>
      <c r="AS260" s="110"/>
      <c r="AT260" s="110"/>
      <c r="AU260" s="110"/>
      <c r="AV260" s="110"/>
      <c r="AW260" s="110"/>
      <c r="AX260" s="110"/>
      <c r="AY260" s="110"/>
      <c r="AZ260" s="110"/>
      <c r="BA260" s="110"/>
      <c r="BB260" s="110"/>
      <c r="BC260" s="110"/>
      <c r="BD260" s="110"/>
      <c r="BE260" s="110"/>
      <c r="BF260" s="110"/>
      <c r="BG260" s="110"/>
      <c r="BH260" s="110"/>
      <c r="BI260" s="110"/>
      <c r="BJ260" s="110"/>
      <c r="BK260" s="110"/>
      <c r="BL260" s="110"/>
      <c r="BM260" s="110"/>
      <c r="BN260" s="110"/>
      <c r="BO260" s="110"/>
      <c r="BP260" s="110"/>
      <c r="BQ260" s="110"/>
      <c r="BR260" s="110"/>
      <c r="BS260" s="110"/>
      <c r="BT260" s="110"/>
      <c r="BU260" s="110"/>
      <c r="BV260" s="110"/>
      <c r="BW260" s="110"/>
      <c r="BX260" s="110"/>
      <c r="BY260" s="110"/>
      <c r="BZ260" s="110"/>
      <c r="CA260" s="110"/>
      <c r="CB260" s="110"/>
      <c r="CC260" s="110"/>
      <c r="CD260" s="110"/>
      <c r="CE260" s="110"/>
      <c r="CF260" s="110"/>
    </row>
    <row r="261" spans="1:84" s="45" customFormat="1" x14ac:dyDescent="0.25">
      <c r="A261" t="str">
        <f>Funktional!A261</f>
        <v>Kümmertshausen</v>
      </c>
      <c r="B261" t="str">
        <f>Funktional!B261</f>
        <v>VSG*</v>
      </c>
      <c r="C261">
        <v>3.5200000000000002E-2</v>
      </c>
      <c r="D261">
        <v>2.8999999999999998E-3</v>
      </c>
      <c r="E261" s="26">
        <f t="shared" si="91"/>
        <v>610815.5</v>
      </c>
      <c r="F261">
        <v>465888</v>
      </c>
      <c r="G261">
        <v>144927.5</v>
      </c>
      <c r="H261">
        <v>18403.150000000001</v>
      </c>
      <c r="I261" s="42">
        <f t="shared" si="85"/>
        <v>3.0128819586274419E-2</v>
      </c>
      <c r="J261" s="80">
        <f t="shared" si="86"/>
        <v>9424</v>
      </c>
      <c r="K261" s="43">
        <f>J261*'KiGa - PS'!L262</f>
        <v>8309.1164014763654</v>
      </c>
      <c r="L261" s="42">
        <f>K261/Funktional!E261</f>
        <v>1.4347362838549009E-2</v>
      </c>
      <c r="M261">
        <v>50</v>
      </c>
      <c r="N261" s="43">
        <f>K261/Funktional!C261</f>
        <v>4154.5582007381827</v>
      </c>
      <c r="O261" s="44">
        <f>K261/Funktional!D261</f>
        <v>143.26062761166148</v>
      </c>
      <c r="P261">
        <v>3000</v>
      </c>
      <c r="Q261">
        <v>0</v>
      </c>
      <c r="R261">
        <v>0</v>
      </c>
      <c r="S261" s="43">
        <f t="shared" si="87"/>
        <v>3000</v>
      </c>
      <c r="T261">
        <v>4000</v>
      </c>
      <c r="U261">
        <v>0</v>
      </c>
      <c r="V261">
        <v>700</v>
      </c>
      <c r="W261" s="43">
        <f t="shared" si="88"/>
        <v>4700</v>
      </c>
      <c r="X261">
        <v>1724</v>
      </c>
      <c r="Y261" s="110"/>
      <c r="Z261" s="110"/>
      <c r="AA261" s="110"/>
      <c r="AB261" s="110"/>
      <c r="AC261" s="110"/>
      <c r="AD261" s="110"/>
      <c r="AE261" s="110"/>
      <c r="AF261" s="110"/>
      <c r="AG261" s="110"/>
      <c r="AH261" s="110"/>
      <c r="AI261" s="110"/>
      <c r="AJ261" s="110"/>
      <c r="AK261" s="110"/>
      <c r="AL261" s="110"/>
      <c r="AM261" s="110"/>
      <c r="AN261" s="110"/>
      <c r="AO261" s="110"/>
      <c r="AP261" s="110"/>
      <c r="AQ261" s="110"/>
      <c r="AR261" s="110"/>
      <c r="AS261" s="110"/>
      <c r="AT261" s="110"/>
      <c r="AU261" s="110"/>
      <c r="AV261" s="110"/>
      <c r="AW261" s="110"/>
      <c r="AX261" s="110"/>
      <c r="AY261" s="110"/>
      <c r="AZ261" s="110"/>
      <c r="BA261" s="110"/>
      <c r="BB261" s="110"/>
      <c r="BC261" s="110"/>
      <c r="BD261" s="110"/>
      <c r="BE261" s="110"/>
      <c r="BF261" s="110"/>
      <c r="BG261" s="110"/>
      <c r="BH261" s="110"/>
      <c r="BI261" s="110"/>
      <c r="BJ261" s="110"/>
      <c r="BK261" s="110"/>
      <c r="BL261" s="110"/>
      <c r="BM261" s="110"/>
      <c r="BN261" s="110"/>
      <c r="BO261" s="110"/>
      <c r="BP261" s="110"/>
      <c r="BQ261" s="110"/>
      <c r="BR261" s="110"/>
      <c r="BS261" s="110"/>
      <c r="BT261" s="110"/>
      <c r="BU261" s="110"/>
      <c r="BV261" s="110"/>
      <c r="BW261" s="110"/>
      <c r="BX261" s="110"/>
      <c r="BY261" s="110"/>
      <c r="BZ261" s="110"/>
      <c r="CA261" s="110"/>
      <c r="CB261" s="110"/>
      <c r="CC261" s="110"/>
      <c r="CD261" s="110"/>
      <c r="CE261" s="110"/>
      <c r="CF261" s="110"/>
    </row>
    <row r="262" spans="1:84" s="45" customFormat="1" x14ac:dyDescent="0.25">
      <c r="A262" t="str">
        <f>Funktional!A262</f>
        <v>Neunforn</v>
      </c>
      <c r="B262" t="str">
        <f>Funktional!B262</f>
        <v>VSG*</v>
      </c>
      <c r="C262">
        <v>1.0500000000000001E-2</v>
      </c>
      <c r="D262">
        <v>3.3E-3</v>
      </c>
      <c r="E262" s="26">
        <f t="shared" si="91"/>
        <v>3066161.95</v>
      </c>
      <c r="F262">
        <v>1226302</v>
      </c>
      <c r="G262">
        <v>1839859.95</v>
      </c>
      <c r="H262">
        <v>136629.70000000001</v>
      </c>
      <c r="I262" s="42">
        <f t="shared" si="85"/>
        <v>4.456049687786387E-2</v>
      </c>
      <c r="J262" s="80">
        <f t="shared" si="86"/>
        <v>20500</v>
      </c>
      <c r="K262" s="43">
        <f>J262*'KiGa - PS'!L263</f>
        <v>17153.563987872734</v>
      </c>
      <c r="L262" s="42">
        <f>K262/Funktional!E262</f>
        <v>1.4626536539960074E-2</v>
      </c>
      <c r="M262">
        <v>50</v>
      </c>
      <c r="N262" s="43">
        <f>K262/Funktional!C262</f>
        <v>2858.9273313121225</v>
      </c>
      <c r="O262" s="44">
        <f>K262/Funktional!D262</f>
        <v>142.94636656560613</v>
      </c>
      <c r="P262">
        <v>5000</v>
      </c>
      <c r="Q262">
        <v>0</v>
      </c>
      <c r="R262">
        <v>0</v>
      </c>
      <c r="S262" s="43">
        <f t="shared" si="87"/>
        <v>5000</v>
      </c>
      <c r="T262">
        <v>8000</v>
      </c>
      <c r="U262">
        <v>0</v>
      </c>
      <c r="V262">
        <v>1500</v>
      </c>
      <c r="W262" s="43">
        <f t="shared" si="88"/>
        <v>9500</v>
      </c>
      <c r="X262">
        <v>6000</v>
      </c>
      <c r="Y262" s="110"/>
      <c r="Z262" s="110"/>
      <c r="AA262" s="110"/>
      <c r="AB262" s="110"/>
      <c r="AC262" s="110"/>
      <c r="AD262" s="110"/>
      <c r="AE262" s="110"/>
      <c r="AF262" s="110"/>
      <c r="AG262" s="110"/>
      <c r="AH262" s="110"/>
      <c r="AI262" s="110"/>
      <c r="AJ262" s="110"/>
      <c r="AK262" s="110"/>
      <c r="AL262" s="110"/>
      <c r="AM262" s="110"/>
      <c r="AN262" s="110"/>
      <c r="AO262" s="110"/>
      <c r="AP262" s="110"/>
      <c r="AQ262" s="110"/>
      <c r="AR262" s="110"/>
      <c r="AS262" s="110"/>
      <c r="AT262" s="110"/>
      <c r="AU262" s="110"/>
      <c r="AV262" s="110"/>
      <c r="AW262" s="110"/>
      <c r="AX262" s="110"/>
      <c r="AY262" s="110"/>
      <c r="AZ262" s="110"/>
      <c r="BA262" s="110"/>
      <c r="BB262" s="110"/>
      <c r="BC262" s="110"/>
      <c r="BD262" s="110"/>
      <c r="BE262" s="110"/>
      <c r="BF262" s="110"/>
      <c r="BG262" s="110"/>
      <c r="BH262" s="110"/>
      <c r="BI262" s="110"/>
      <c r="BJ262" s="110"/>
      <c r="BK262" s="110"/>
      <c r="BL262" s="110"/>
      <c r="BM262" s="110"/>
      <c r="BN262" s="110"/>
      <c r="BO262" s="110"/>
      <c r="BP262" s="110"/>
      <c r="BQ262" s="110"/>
      <c r="BR262" s="110"/>
      <c r="BS262" s="110"/>
      <c r="BT262" s="110"/>
      <c r="BU262" s="110"/>
      <c r="BV262" s="110"/>
      <c r="BW262" s="110"/>
      <c r="BX262" s="110"/>
      <c r="BY262" s="110"/>
      <c r="BZ262" s="110"/>
      <c r="CA262" s="110"/>
      <c r="CB262" s="110"/>
      <c r="CC262" s="110"/>
      <c r="CD262" s="110"/>
      <c r="CE262" s="110"/>
      <c r="CF262" s="110"/>
    </row>
    <row r="263" spans="1:84" s="45" customFormat="1" x14ac:dyDescent="0.25">
      <c r="A263" t="str">
        <f>Funktional!A263</f>
        <v>Roggwil</v>
      </c>
      <c r="B263" t="str">
        <f>Funktional!B263</f>
        <v>VSG*</v>
      </c>
      <c r="C263">
        <v>7.2900000000000006E-2</v>
      </c>
      <c r="D263">
        <v>2.18E-2</v>
      </c>
      <c r="E263" s="26">
        <f>F263+G263</f>
        <v>2691824.35</v>
      </c>
      <c r="F263">
        <v>1596288</v>
      </c>
      <c r="G263">
        <v>1095536.3500000001</v>
      </c>
      <c r="H263">
        <v>21318.45</v>
      </c>
      <c r="I263" s="42">
        <f t="shared" si="85"/>
        <v>7.9197032302646339E-3</v>
      </c>
      <c r="J263" s="80">
        <f t="shared" si="86"/>
        <v>27640</v>
      </c>
      <c r="K263" s="43">
        <f>J263*'KiGa - PS'!L264</f>
        <v>23071.495646088646</v>
      </c>
      <c r="L263" s="42">
        <f>K263/Funktional!E263</f>
        <v>1.9197309376239549E-2</v>
      </c>
      <c r="M263">
        <v>60</v>
      </c>
      <c r="N263" s="43">
        <f>K263/Funktional!C263</f>
        <v>3845.2492743481075</v>
      </c>
      <c r="O263" s="44">
        <f>K263/Funktional!D263</f>
        <v>192.26246371740538</v>
      </c>
      <c r="P263">
        <v>4531</v>
      </c>
      <c r="Q263">
        <v>0</v>
      </c>
      <c r="R263">
        <v>0</v>
      </c>
      <c r="S263" s="43">
        <f t="shared" si="87"/>
        <v>4531</v>
      </c>
      <c r="T263">
        <v>10480</v>
      </c>
      <c r="U263">
        <v>0</v>
      </c>
      <c r="V263">
        <v>2500</v>
      </c>
      <c r="W263" s="43">
        <f t="shared" si="88"/>
        <v>12980</v>
      </c>
      <c r="X263">
        <v>10129</v>
      </c>
      <c r="Y263" s="110"/>
      <c r="Z263" s="110"/>
      <c r="AA263" s="110"/>
      <c r="AB263" s="110"/>
      <c r="AC263" s="110"/>
      <c r="AD263" s="110"/>
      <c r="AE263" s="110"/>
      <c r="AF263" s="110"/>
      <c r="AG263" s="110"/>
      <c r="AH263" s="110"/>
      <c r="AI263" s="110"/>
      <c r="AJ263" s="110"/>
      <c r="AK263" s="110"/>
      <c r="AL263" s="110"/>
      <c r="AM263" s="110"/>
      <c r="AN263" s="110"/>
      <c r="AO263" s="110"/>
      <c r="AP263" s="110"/>
      <c r="AQ263" s="110"/>
      <c r="AR263" s="110"/>
      <c r="AS263" s="110"/>
      <c r="AT263" s="110"/>
      <c r="AU263" s="110"/>
      <c r="AV263" s="110"/>
      <c r="AW263" s="110"/>
      <c r="AX263" s="110"/>
      <c r="AY263" s="110"/>
      <c r="AZ263" s="110"/>
      <c r="BA263" s="110"/>
      <c r="BB263" s="110"/>
      <c r="BC263" s="110"/>
      <c r="BD263" s="110"/>
      <c r="BE263" s="110"/>
      <c r="BF263" s="110"/>
      <c r="BG263" s="110"/>
      <c r="BH263" s="110"/>
      <c r="BI263" s="110"/>
      <c r="BJ263" s="110"/>
      <c r="BK263" s="110"/>
      <c r="BL263" s="110"/>
      <c r="BM263" s="110"/>
      <c r="BN263" s="110"/>
      <c r="BO263" s="110"/>
      <c r="BP263" s="110"/>
      <c r="BQ263" s="110"/>
      <c r="BR263" s="110"/>
      <c r="BS263" s="110"/>
      <c r="BT263" s="110"/>
      <c r="BU263" s="110"/>
      <c r="BV263" s="110"/>
      <c r="BW263" s="110"/>
      <c r="BX263" s="110"/>
      <c r="BY263" s="110"/>
      <c r="BZ263" s="110"/>
      <c r="CA263" s="110"/>
      <c r="CB263" s="110"/>
      <c r="CC263" s="110"/>
      <c r="CD263" s="110"/>
      <c r="CE263" s="110"/>
      <c r="CF263" s="110"/>
    </row>
    <row r="264" spans="1:84" s="45" customFormat="1" x14ac:dyDescent="0.25">
      <c r="A264" t="str">
        <f>Funktional!A264</f>
        <v>Speiserslehn</v>
      </c>
      <c r="B264" t="str">
        <f>Funktional!B264</f>
        <v>VSG*</v>
      </c>
      <c r="C264">
        <v>0</v>
      </c>
      <c r="D264">
        <v>0</v>
      </c>
      <c r="E264" s="26">
        <f t="shared" si="91"/>
        <v>958788.61</v>
      </c>
      <c r="F264">
        <v>266002</v>
      </c>
      <c r="G264">
        <v>692786.61</v>
      </c>
      <c r="H264">
        <v>0</v>
      </c>
      <c r="I264" s="42">
        <f t="shared" si="85"/>
        <v>0</v>
      </c>
      <c r="J264" s="80">
        <f t="shared" si="86"/>
        <v>11000</v>
      </c>
      <c r="K264" s="43">
        <f>J264*'KiGa - PS'!L265</f>
        <v>8630.3727152902502</v>
      </c>
      <c r="L264" s="42">
        <f>K264/Funktional!E264</f>
        <v>1.2181911599965071E-2</v>
      </c>
      <c r="M264">
        <v>65</v>
      </c>
      <c r="N264" s="43">
        <f>K264/Funktional!C264</f>
        <v>8630.3727152902502</v>
      </c>
      <c r="O264" s="44">
        <f>K264/Funktional!D264</f>
        <v>319.64343389963892</v>
      </c>
      <c r="P264">
        <v>4000</v>
      </c>
      <c r="Q264">
        <v>0</v>
      </c>
      <c r="R264">
        <v>0</v>
      </c>
      <c r="S264" s="43">
        <f t="shared" si="87"/>
        <v>4000</v>
      </c>
      <c r="T264">
        <v>7000</v>
      </c>
      <c r="U264">
        <v>0</v>
      </c>
      <c r="V264">
        <v>0</v>
      </c>
      <c r="W264" s="43">
        <f t="shared" si="88"/>
        <v>7000</v>
      </c>
      <c r="X264">
        <v>0</v>
      </c>
      <c r="Y264" s="110"/>
      <c r="Z264" s="110"/>
      <c r="AA264" s="110"/>
      <c r="AB264" s="110"/>
      <c r="AC264" s="110"/>
      <c r="AD264" s="110"/>
      <c r="AE264" s="110"/>
      <c r="AF264" s="110"/>
      <c r="AG264" s="110"/>
      <c r="AH264" s="110"/>
      <c r="AI264" s="110"/>
      <c r="AJ264" s="110"/>
      <c r="AK264" s="110"/>
      <c r="AL264" s="110"/>
      <c r="AM264" s="110"/>
      <c r="AN264" s="110"/>
      <c r="AO264" s="110"/>
      <c r="AP264" s="110"/>
      <c r="AQ264" s="110"/>
      <c r="AR264" s="110"/>
      <c r="AS264" s="110"/>
      <c r="AT264" s="110"/>
      <c r="AU264" s="110"/>
      <c r="AV264" s="110"/>
      <c r="AW264" s="110"/>
      <c r="AX264" s="110"/>
      <c r="AY264" s="110"/>
      <c r="AZ264" s="110"/>
      <c r="BA264" s="110"/>
      <c r="BB264" s="110"/>
      <c r="BC264" s="110"/>
      <c r="BD264" s="110"/>
      <c r="BE264" s="110"/>
      <c r="BF264" s="110"/>
      <c r="BG264" s="110"/>
      <c r="BH264" s="110"/>
      <c r="BI264" s="110"/>
      <c r="BJ264" s="110"/>
      <c r="BK264" s="110"/>
      <c r="BL264" s="110"/>
      <c r="BM264" s="110"/>
      <c r="BN264" s="110"/>
      <c r="BO264" s="110"/>
      <c r="BP264" s="110"/>
      <c r="BQ264" s="110"/>
      <c r="BR264" s="110"/>
      <c r="BS264" s="110"/>
      <c r="BT264" s="110"/>
      <c r="BU264" s="110"/>
      <c r="BV264" s="110"/>
      <c r="BW264" s="110"/>
      <c r="BX264" s="110"/>
      <c r="BY264" s="110"/>
      <c r="BZ264" s="110"/>
      <c r="CA264" s="110"/>
      <c r="CB264" s="110"/>
      <c r="CC264" s="110"/>
      <c r="CD264" s="110"/>
      <c r="CE264" s="110"/>
      <c r="CF264" s="110"/>
    </row>
    <row r="265" spans="1:84" s="45" customFormat="1" x14ac:dyDescent="0.25">
      <c r="A265" t="str">
        <f>Funktional!A265</f>
        <v>Andwil</v>
      </c>
      <c r="B265" t="str">
        <f>Funktional!B265</f>
        <v>KiGa*</v>
      </c>
      <c r="C265">
        <v>0.09</v>
      </c>
      <c r="D265">
        <v>2.18E-2</v>
      </c>
      <c r="E265" s="26">
        <f t="shared" si="91"/>
        <v>870686.94</v>
      </c>
      <c r="F265">
        <v>677275.5</v>
      </c>
      <c r="G265">
        <v>193411.44</v>
      </c>
      <c r="H265">
        <v>24299.5</v>
      </c>
      <c r="I265" s="42">
        <f t="shared" ref="I265:I280" si="92">H265/E265</f>
        <v>2.7908423663733833E-2</v>
      </c>
      <c r="J265" s="80">
        <f t="shared" ref="J265:J280" si="93">S265+W265+X265</f>
        <v>14000</v>
      </c>
      <c r="K265" s="43">
        <f>J265*'KiGa - PS'!L266</f>
        <v>2264.2830432460137</v>
      </c>
      <c r="L265" s="42">
        <f>K265/Funktional!E265</f>
        <v>2.2210350261189751E-2</v>
      </c>
      <c r="M265">
        <v>50</v>
      </c>
      <c r="N265" s="43">
        <f>K265/Funktional!C265</f>
        <v>4528.5660864920274</v>
      </c>
      <c r="O265" s="44">
        <f>K265/Funktional!D265</f>
        <v>150.95220288306757</v>
      </c>
      <c r="P265">
        <v>3000</v>
      </c>
      <c r="Q265">
        <v>0</v>
      </c>
      <c r="R265">
        <v>1500</v>
      </c>
      <c r="S265" s="43">
        <f t="shared" ref="S265:S280" si="94">P265+Q265+R265</f>
        <v>4500</v>
      </c>
      <c r="T265">
        <v>8000</v>
      </c>
      <c r="U265">
        <v>0</v>
      </c>
      <c r="V265">
        <v>1500</v>
      </c>
      <c r="W265" s="43">
        <f t="shared" ref="W265:W280" si="95">T265+U265+V265</f>
        <v>9500</v>
      </c>
      <c r="X265">
        <v>0</v>
      </c>
      <c r="Y265" s="110"/>
      <c r="Z265" s="110"/>
      <c r="AA265" s="110"/>
      <c r="AB265" s="110"/>
      <c r="AC265" s="110"/>
      <c r="AD265" s="110"/>
      <c r="AE265" s="110"/>
      <c r="AF265" s="110"/>
      <c r="AG265" s="110"/>
      <c r="AH265" s="110"/>
      <c r="AI265" s="110"/>
      <c r="AJ265" s="110"/>
      <c r="AK265" s="110"/>
      <c r="AL265" s="110"/>
      <c r="AM265" s="110"/>
      <c r="AN265" s="110"/>
      <c r="AO265" s="110"/>
      <c r="AP265" s="110"/>
      <c r="AQ265" s="110"/>
      <c r="AR265" s="110"/>
      <c r="AS265" s="110"/>
      <c r="AT265" s="110"/>
      <c r="AU265" s="110"/>
      <c r="AV265" s="110"/>
      <c r="AW265" s="110"/>
      <c r="AX265" s="110"/>
      <c r="AY265" s="110"/>
      <c r="AZ265" s="110"/>
      <c r="BA265" s="110"/>
      <c r="BB265" s="110"/>
      <c r="BC265" s="110"/>
      <c r="BD265" s="110"/>
      <c r="BE265" s="110"/>
      <c r="BF265" s="110"/>
      <c r="BG265" s="110"/>
      <c r="BH265" s="110"/>
      <c r="BI265" s="110"/>
      <c r="BJ265" s="110"/>
      <c r="BK265" s="110"/>
      <c r="BL265" s="110"/>
      <c r="BM265" s="110"/>
      <c r="BN265" s="110"/>
      <c r="BO265" s="110"/>
      <c r="BP265" s="110"/>
      <c r="BQ265" s="110"/>
      <c r="BR265" s="110"/>
      <c r="BS265" s="110"/>
      <c r="BT265" s="110"/>
      <c r="BU265" s="110"/>
      <c r="BV265" s="110"/>
      <c r="BW265" s="110"/>
      <c r="BX265" s="110"/>
      <c r="BY265" s="110"/>
      <c r="BZ265" s="110"/>
      <c r="CA265" s="110"/>
      <c r="CB265" s="110"/>
      <c r="CC265" s="110"/>
      <c r="CD265" s="110"/>
      <c r="CE265" s="110"/>
      <c r="CF265" s="110"/>
    </row>
    <row r="266" spans="1:84" s="45" customFormat="1" x14ac:dyDescent="0.25">
      <c r="A266" t="str">
        <f>Funktional!A266</f>
        <v>Frasnacht</v>
      </c>
      <c r="B266" t="str">
        <f>Funktional!B266</f>
        <v>KiGa*</v>
      </c>
      <c r="C266">
        <v>6.6600000000000006E-2</v>
      </c>
      <c r="D266">
        <v>5.4000000000000003E-3</v>
      </c>
      <c r="E266" s="26">
        <f t="shared" si="91"/>
        <v>3537022.45</v>
      </c>
      <c r="F266">
        <v>1858544</v>
      </c>
      <c r="G266">
        <v>1678478.45</v>
      </c>
      <c r="H266">
        <v>49315.7</v>
      </c>
      <c r="I266" s="42">
        <f t="shared" si="92"/>
        <v>1.394271613967279E-2</v>
      </c>
      <c r="J266" s="80">
        <f t="shared" si="93"/>
        <v>21150</v>
      </c>
      <c r="K266" s="43">
        <f>J266*'KiGa - PS'!L267</f>
        <v>4136.006463572453</v>
      </c>
      <c r="L266" s="42">
        <f>K266/Funktional!E266</f>
        <v>1.6128096279930674E-2</v>
      </c>
      <c r="M266">
        <v>70</v>
      </c>
      <c r="N266" s="43">
        <f>K266/Funktional!C266</f>
        <v>2068.0032317862265</v>
      </c>
      <c r="O266" s="44">
        <f>K266/Funktional!D266</f>
        <v>98.476344370772694</v>
      </c>
      <c r="P266">
        <v>3400</v>
      </c>
      <c r="Q266">
        <v>0</v>
      </c>
      <c r="R266">
        <v>0</v>
      </c>
      <c r="S266" s="43">
        <f t="shared" si="94"/>
        <v>3400</v>
      </c>
      <c r="T266">
        <v>9600</v>
      </c>
      <c r="U266">
        <v>0</v>
      </c>
      <c r="V266">
        <v>0</v>
      </c>
      <c r="W266" s="43">
        <f t="shared" si="95"/>
        <v>9600</v>
      </c>
      <c r="X266">
        <v>8150</v>
      </c>
      <c r="Y266" s="110"/>
      <c r="Z266" s="110"/>
      <c r="AA266" s="110"/>
      <c r="AB266" s="110"/>
      <c r="AC266" s="110"/>
      <c r="AD266" s="110"/>
      <c r="AE266" s="110"/>
      <c r="AF266" s="110"/>
      <c r="AG266" s="110"/>
      <c r="AH266" s="110"/>
      <c r="AI266" s="110"/>
      <c r="AJ266" s="110"/>
      <c r="AK266" s="110"/>
      <c r="AL266" s="110"/>
      <c r="AM266" s="110"/>
      <c r="AN266" s="110"/>
      <c r="AO266" s="110"/>
      <c r="AP266" s="110"/>
      <c r="AQ266" s="110"/>
      <c r="AR266" s="110"/>
      <c r="AS266" s="110"/>
      <c r="AT266" s="110"/>
      <c r="AU266" s="110"/>
      <c r="AV266" s="110"/>
      <c r="AW266" s="110"/>
      <c r="AX266" s="110"/>
      <c r="AY266" s="110"/>
      <c r="AZ266" s="110"/>
      <c r="BA266" s="110"/>
      <c r="BB266" s="110"/>
      <c r="BC266" s="110"/>
      <c r="BD266" s="110"/>
      <c r="BE266" s="110"/>
      <c r="BF266" s="110"/>
      <c r="BG266" s="110"/>
      <c r="BH266" s="110"/>
      <c r="BI266" s="110"/>
      <c r="BJ266" s="110"/>
      <c r="BK266" s="110"/>
      <c r="BL266" s="110"/>
      <c r="BM266" s="110"/>
      <c r="BN266" s="110"/>
      <c r="BO266" s="110"/>
      <c r="BP266" s="110"/>
      <c r="BQ266" s="110"/>
      <c r="BR266" s="110"/>
      <c r="BS266" s="110"/>
      <c r="BT266" s="110"/>
      <c r="BU266" s="110"/>
      <c r="BV266" s="110"/>
      <c r="BW266" s="110"/>
      <c r="BX266" s="110"/>
      <c r="BY266" s="110"/>
      <c r="BZ266" s="110"/>
      <c r="CA266" s="110"/>
      <c r="CB266" s="110"/>
      <c r="CC266" s="110"/>
      <c r="CD266" s="110"/>
      <c r="CE266" s="110"/>
      <c r="CF266" s="110"/>
    </row>
    <row r="267" spans="1:84" s="45" customFormat="1" x14ac:dyDescent="0.25">
      <c r="A267" t="str">
        <f>Funktional!A267</f>
        <v>Freidorf-Watt</v>
      </c>
      <c r="B267" t="str">
        <f>Funktional!B267</f>
        <v>KiGa*</v>
      </c>
      <c r="C267">
        <v>0.27100000000000002</v>
      </c>
      <c r="D267">
        <v>0.12909999999999999</v>
      </c>
      <c r="E267" s="26">
        <f t="shared" si="91"/>
        <v>4714632.3</v>
      </c>
      <c r="F267">
        <v>4249001</v>
      </c>
      <c r="G267">
        <v>465631.3</v>
      </c>
      <c r="H267">
        <v>14416.2</v>
      </c>
      <c r="I267" s="42">
        <f t="shared" si="92"/>
        <v>3.0577570174454543E-3</v>
      </c>
      <c r="J267" s="80">
        <f t="shared" si="93"/>
        <v>10500</v>
      </c>
      <c r="K267" s="43">
        <f>J267*'KiGa - PS'!L268</f>
        <v>1733.0442310419019</v>
      </c>
      <c r="L267" s="42">
        <f>K267/Funktional!E267</f>
        <v>8.6446814852698967E-3</v>
      </c>
      <c r="M267">
        <v>50</v>
      </c>
      <c r="N267" s="43">
        <f>K267/Funktional!C267</f>
        <v>866.52211552095093</v>
      </c>
      <c r="O267" s="44">
        <f>K267/Funktional!D267</f>
        <v>66.655547347765463</v>
      </c>
      <c r="P267">
        <v>4000</v>
      </c>
      <c r="Q267">
        <v>0</v>
      </c>
      <c r="R267">
        <v>0</v>
      </c>
      <c r="S267" s="43">
        <f t="shared" si="94"/>
        <v>4000</v>
      </c>
      <c r="T267">
        <v>6000</v>
      </c>
      <c r="U267">
        <v>0</v>
      </c>
      <c r="V267">
        <v>500</v>
      </c>
      <c r="W267" s="43">
        <f t="shared" si="95"/>
        <v>6500</v>
      </c>
      <c r="X267">
        <v>0</v>
      </c>
      <c r="Y267" s="110"/>
      <c r="Z267" s="110"/>
      <c r="AA267" s="110"/>
      <c r="AB267" s="110"/>
      <c r="AC267" s="110"/>
      <c r="AD267" s="110"/>
      <c r="AE267" s="110"/>
      <c r="AF267" s="110"/>
      <c r="AG267" s="110"/>
      <c r="AH267" s="110"/>
      <c r="AI267" s="110"/>
      <c r="AJ267" s="110"/>
      <c r="AK267" s="110"/>
      <c r="AL267" s="110"/>
      <c r="AM267" s="110"/>
      <c r="AN267" s="110"/>
      <c r="AO267" s="110"/>
      <c r="AP267" s="110"/>
      <c r="AQ267" s="110"/>
      <c r="AR267" s="110"/>
      <c r="AS267" s="110"/>
      <c r="AT267" s="110"/>
      <c r="AU267" s="110"/>
      <c r="AV267" s="110"/>
      <c r="AW267" s="110"/>
      <c r="AX267" s="110"/>
      <c r="AY267" s="110"/>
      <c r="AZ267" s="110"/>
      <c r="BA267" s="110"/>
      <c r="BB267" s="110"/>
      <c r="BC267" s="110"/>
      <c r="BD267" s="110"/>
      <c r="BE267" s="110"/>
      <c r="BF267" s="110"/>
      <c r="BG267" s="110"/>
      <c r="BH267" s="110"/>
      <c r="BI267" s="110"/>
      <c r="BJ267" s="110"/>
      <c r="BK267" s="110"/>
      <c r="BL267" s="110"/>
      <c r="BM267" s="110"/>
      <c r="BN267" s="110"/>
      <c r="BO267" s="110"/>
      <c r="BP267" s="110"/>
      <c r="BQ267" s="110"/>
      <c r="BR267" s="110"/>
      <c r="BS267" s="110"/>
      <c r="BT267" s="110"/>
      <c r="BU267" s="110"/>
      <c r="BV267" s="110"/>
      <c r="BW267" s="110"/>
      <c r="BX267" s="110"/>
      <c r="BY267" s="110"/>
      <c r="BZ267" s="110"/>
      <c r="CA267" s="110"/>
      <c r="CB267" s="110"/>
      <c r="CC267" s="110"/>
      <c r="CD267" s="110"/>
      <c r="CE267" s="110"/>
      <c r="CF267" s="110"/>
    </row>
    <row r="268" spans="1:84" s="45" customFormat="1" x14ac:dyDescent="0.25">
      <c r="A268" t="str">
        <f>Funktional!A268</f>
        <v>Kümmertshausen</v>
      </c>
      <c r="B268" t="str">
        <f>Funktional!B268</f>
        <v>KiGa*</v>
      </c>
      <c r="C268">
        <v>3.5200000000000002E-2</v>
      </c>
      <c r="D268">
        <v>2.8999999999999998E-3</v>
      </c>
      <c r="E268" s="26">
        <f t="shared" si="91"/>
        <v>610815.5</v>
      </c>
      <c r="F268">
        <v>465888</v>
      </c>
      <c r="G268">
        <v>144927.5</v>
      </c>
      <c r="H268">
        <v>18403.150000000001</v>
      </c>
      <c r="I268" s="42">
        <f t="shared" si="92"/>
        <v>3.0128819586274419E-2</v>
      </c>
      <c r="J268" s="80">
        <f t="shared" si="93"/>
        <v>9424</v>
      </c>
      <c r="K268" s="43">
        <f>J268*'KiGa - PS'!L269</f>
        <v>1114.8835985236346</v>
      </c>
      <c r="L268" s="42">
        <f>K268/Funktional!E268</f>
        <v>1.4347362838549007E-2</v>
      </c>
      <c r="M268">
        <v>50</v>
      </c>
      <c r="N268" s="43">
        <f>K268/Funktional!C268</f>
        <v>2229.7671970472693</v>
      </c>
      <c r="O268" s="44">
        <f>K268/Funktional!D268</f>
        <v>92.906966543636216</v>
      </c>
      <c r="P268">
        <v>3000</v>
      </c>
      <c r="Q268">
        <v>0</v>
      </c>
      <c r="R268">
        <v>0</v>
      </c>
      <c r="S268" s="43">
        <f t="shared" si="94"/>
        <v>3000</v>
      </c>
      <c r="T268">
        <v>4000</v>
      </c>
      <c r="U268">
        <v>0</v>
      </c>
      <c r="V268">
        <v>700</v>
      </c>
      <c r="W268" s="43">
        <f t="shared" si="95"/>
        <v>4700</v>
      </c>
      <c r="X268">
        <v>1724</v>
      </c>
      <c r="Y268" s="110"/>
      <c r="Z268" s="110"/>
      <c r="AA268" s="110"/>
      <c r="AB268" s="110"/>
      <c r="AC268" s="110"/>
      <c r="AD268" s="110"/>
      <c r="AE268" s="110"/>
      <c r="AF268" s="110"/>
      <c r="AG268" s="110"/>
      <c r="AH268" s="110"/>
      <c r="AI268" s="110"/>
      <c r="AJ268" s="110"/>
      <c r="AK268" s="110"/>
      <c r="AL268" s="110"/>
      <c r="AM268" s="110"/>
      <c r="AN268" s="110"/>
      <c r="AO268" s="110"/>
      <c r="AP268" s="110"/>
      <c r="AQ268" s="110"/>
      <c r="AR268" s="110"/>
      <c r="AS268" s="110"/>
      <c r="AT268" s="110"/>
      <c r="AU268" s="110"/>
      <c r="AV268" s="110"/>
      <c r="AW268" s="110"/>
      <c r="AX268" s="110"/>
      <c r="AY268" s="110"/>
      <c r="AZ268" s="110"/>
      <c r="BA268" s="110"/>
      <c r="BB268" s="110"/>
      <c r="BC268" s="110"/>
      <c r="BD268" s="110"/>
      <c r="BE268" s="110"/>
      <c r="BF268" s="110"/>
      <c r="BG268" s="110"/>
      <c r="BH268" s="110"/>
      <c r="BI268" s="110"/>
      <c r="BJ268" s="110"/>
      <c r="BK268" s="110"/>
      <c r="BL268" s="110"/>
      <c r="BM268" s="110"/>
      <c r="BN268" s="110"/>
      <c r="BO268" s="110"/>
      <c r="BP268" s="110"/>
      <c r="BQ268" s="110"/>
      <c r="BR268" s="110"/>
      <c r="BS268" s="110"/>
      <c r="BT268" s="110"/>
      <c r="BU268" s="110"/>
      <c r="BV268" s="110"/>
      <c r="BW268" s="110"/>
      <c r="BX268" s="110"/>
      <c r="BY268" s="110"/>
      <c r="BZ268" s="110"/>
      <c r="CA268" s="110"/>
      <c r="CB268" s="110"/>
      <c r="CC268" s="110"/>
      <c r="CD268" s="110"/>
      <c r="CE268" s="110"/>
      <c r="CF268" s="110"/>
    </row>
    <row r="269" spans="1:84" s="45" customFormat="1" x14ac:dyDescent="0.25">
      <c r="A269" t="str">
        <f>Funktional!A269</f>
        <v>Neunforn</v>
      </c>
      <c r="B269" t="str">
        <f>Funktional!B269</f>
        <v>KiGa*</v>
      </c>
      <c r="C269">
        <v>1.0500000000000001E-2</v>
      </c>
      <c r="D269">
        <v>3.3E-3</v>
      </c>
      <c r="E269" s="26">
        <f t="shared" si="91"/>
        <v>3066161.95</v>
      </c>
      <c r="F269">
        <v>1226302</v>
      </c>
      <c r="G269">
        <v>1839859.95</v>
      </c>
      <c r="H269">
        <v>136629.70000000001</v>
      </c>
      <c r="I269" s="42">
        <f t="shared" si="92"/>
        <v>4.456049687786387E-2</v>
      </c>
      <c r="J269" s="80">
        <f t="shared" si="93"/>
        <v>20500</v>
      </c>
      <c r="K269" s="43">
        <f>J269*'KiGa - PS'!L270</f>
        <v>3346.4360121272666</v>
      </c>
      <c r="L269" s="42">
        <f>K269/Funktional!E269</f>
        <v>1.4626536539960072E-2</v>
      </c>
      <c r="M269">
        <v>50</v>
      </c>
      <c r="N269" s="43">
        <f>K269/Funktional!C269</f>
        <v>1673.2180060636333</v>
      </c>
      <c r="O269" s="44">
        <f>K269/Funktional!D269</f>
        <v>104.57612537897708</v>
      </c>
      <c r="P269">
        <v>5000</v>
      </c>
      <c r="Q269">
        <v>0</v>
      </c>
      <c r="R269">
        <v>0</v>
      </c>
      <c r="S269" s="43">
        <f t="shared" si="94"/>
        <v>5000</v>
      </c>
      <c r="T269">
        <v>8000</v>
      </c>
      <c r="U269">
        <v>0</v>
      </c>
      <c r="V269">
        <v>1500</v>
      </c>
      <c r="W269" s="43">
        <f t="shared" si="95"/>
        <v>9500</v>
      </c>
      <c r="X269">
        <v>6000</v>
      </c>
      <c r="Y269" s="110"/>
      <c r="Z269" s="110"/>
      <c r="AA269" s="110"/>
      <c r="AB269" s="110"/>
      <c r="AC269" s="110"/>
      <c r="AD269" s="110"/>
      <c r="AE269" s="110"/>
      <c r="AF269" s="110"/>
      <c r="AG269" s="110"/>
      <c r="AH269" s="110"/>
      <c r="AI269" s="110"/>
      <c r="AJ269" s="110"/>
      <c r="AK269" s="110"/>
      <c r="AL269" s="110"/>
      <c r="AM269" s="110"/>
      <c r="AN269" s="110"/>
      <c r="AO269" s="110"/>
      <c r="AP269" s="110"/>
      <c r="AQ269" s="110"/>
      <c r="AR269" s="110"/>
      <c r="AS269" s="110"/>
      <c r="AT269" s="110"/>
      <c r="AU269" s="110"/>
      <c r="AV269" s="110"/>
      <c r="AW269" s="110"/>
      <c r="AX269" s="110"/>
      <c r="AY269" s="110"/>
      <c r="AZ269" s="110"/>
      <c r="BA269" s="110"/>
      <c r="BB269" s="110"/>
      <c r="BC269" s="110"/>
      <c r="BD269" s="110"/>
      <c r="BE269" s="110"/>
      <c r="BF269" s="110"/>
      <c r="BG269" s="110"/>
      <c r="BH269" s="110"/>
      <c r="BI269" s="110"/>
      <c r="BJ269" s="110"/>
      <c r="BK269" s="110"/>
      <c r="BL269" s="110"/>
      <c r="BM269" s="110"/>
      <c r="BN269" s="110"/>
      <c r="BO269" s="110"/>
      <c r="BP269" s="110"/>
      <c r="BQ269" s="110"/>
      <c r="BR269" s="110"/>
      <c r="BS269" s="110"/>
      <c r="BT269" s="110"/>
      <c r="BU269" s="110"/>
      <c r="BV269" s="110"/>
      <c r="BW269" s="110"/>
      <c r="BX269" s="110"/>
      <c r="BY269" s="110"/>
      <c r="BZ269" s="110"/>
      <c r="CA269" s="110"/>
      <c r="CB269" s="110"/>
      <c r="CC269" s="110"/>
      <c r="CD269" s="110"/>
      <c r="CE269" s="110"/>
      <c r="CF269" s="110"/>
    </row>
    <row r="270" spans="1:84" s="45" customFormat="1" x14ac:dyDescent="0.25">
      <c r="A270" t="str">
        <f>Funktional!A270</f>
        <v>Roggwil</v>
      </c>
      <c r="B270" t="str">
        <f>Funktional!B270</f>
        <v>KiGa*</v>
      </c>
      <c r="C270">
        <v>7.2900000000000006E-2</v>
      </c>
      <c r="D270">
        <v>2.18E-2</v>
      </c>
      <c r="E270" s="26">
        <f>F270+G270</f>
        <v>2691824.35</v>
      </c>
      <c r="F270">
        <v>1596288</v>
      </c>
      <c r="G270">
        <v>1095536.3500000001</v>
      </c>
      <c r="H270">
        <v>21318.45</v>
      </c>
      <c r="I270" s="42">
        <f t="shared" si="92"/>
        <v>7.9197032302646339E-3</v>
      </c>
      <c r="J270" s="80">
        <f t="shared" si="93"/>
        <v>27640</v>
      </c>
      <c r="K270" s="43">
        <f>J270*'KiGa - PS'!L271</f>
        <v>4568.5043539113558</v>
      </c>
      <c r="L270" s="42">
        <f>K270/Funktional!E270</f>
        <v>1.9197309376239549E-2</v>
      </c>
      <c r="M270">
        <v>60</v>
      </c>
      <c r="N270" s="43">
        <f>K270/Funktional!C270</f>
        <v>2284.2521769556779</v>
      </c>
      <c r="O270" s="44">
        <f>K270/Funktional!D270</f>
        <v>142.76576105972987</v>
      </c>
      <c r="P270">
        <v>4531</v>
      </c>
      <c r="Q270">
        <v>0</v>
      </c>
      <c r="R270">
        <v>0</v>
      </c>
      <c r="S270" s="43">
        <f t="shared" si="94"/>
        <v>4531</v>
      </c>
      <c r="T270">
        <v>10480</v>
      </c>
      <c r="U270">
        <v>0</v>
      </c>
      <c r="V270">
        <v>2500</v>
      </c>
      <c r="W270" s="43">
        <f t="shared" si="95"/>
        <v>12980</v>
      </c>
      <c r="X270">
        <v>10129</v>
      </c>
      <c r="Y270" s="110"/>
      <c r="Z270" s="110"/>
      <c r="AA270" s="110"/>
      <c r="AB270" s="110"/>
      <c r="AC270" s="110"/>
      <c r="AD270" s="110"/>
      <c r="AE270" s="110"/>
      <c r="AF270" s="110"/>
      <c r="AG270" s="110"/>
      <c r="AH270" s="110"/>
      <c r="AI270" s="110"/>
      <c r="AJ270" s="110"/>
      <c r="AK270" s="110"/>
      <c r="AL270" s="110"/>
      <c r="AM270" s="110"/>
      <c r="AN270" s="110"/>
      <c r="AO270" s="110"/>
      <c r="AP270" s="110"/>
      <c r="AQ270" s="110"/>
      <c r="AR270" s="110"/>
      <c r="AS270" s="110"/>
      <c r="AT270" s="110"/>
      <c r="AU270" s="110"/>
      <c r="AV270" s="110"/>
      <c r="AW270" s="110"/>
      <c r="AX270" s="110"/>
      <c r="AY270" s="110"/>
      <c r="AZ270" s="110"/>
      <c r="BA270" s="110"/>
      <c r="BB270" s="110"/>
      <c r="BC270" s="110"/>
      <c r="BD270" s="110"/>
      <c r="BE270" s="110"/>
      <c r="BF270" s="110"/>
      <c r="BG270" s="110"/>
      <c r="BH270" s="110"/>
      <c r="BI270" s="110"/>
      <c r="BJ270" s="110"/>
      <c r="BK270" s="110"/>
      <c r="BL270" s="110"/>
      <c r="BM270" s="110"/>
      <c r="BN270" s="110"/>
      <c r="BO270" s="110"/>
      <c r="BP270" s="110"/>
      <c r="BQ270" s="110"/>
      <c r="BR270" s="110"/>
      <c r="BS270" s="110"/>
      <c r="BT270" s="110"/>
      <c r="BU270" s="110"/>
      <c r="BV270" s="110"/>
      <c r="BW270" s="110"/>
      <c r="BX270" s="110"/>
      <c r="BY270" s="110"/>
      <c r="BZ270" s="110"/>
      <c r="CA270" s="110"/>
      <c r="CB270" s="110"/>
      <c r="CC270" s="110"/>
      <c r="CD270" s="110"/>
      <c r="CE270" s="110"/>
      <c r="CF270" s="110"/>
    </row>
    <row r="271" spans="1:84" s="45" customFormat="1" x14ac:dyDescent="0.25">
      <c r="A271" t="str">
        <f>Funktional!A271</f>
        <v>Speiserslehn</v>
      </c>
      <c r="B271" t="str">
        <f>Funktional!B271</f>
        <v>KiGa*</v>
      </c>
      <c r="C271">
        <v>0</v>
      </c>
      <c r="D271">
        <v>0</v>
      </c>
      <c r="E271" s="26">
        <f t="shared" si="91"/>
        <v>958788.61</v>
      </c>
      <c r="F271">
        <v>266002</v>
      </c>
      <c r="G271">
        <v>692786.61</v>
      </c>
      <c r="H271">
        <v>0</v>
      </c>
      <c r="I271" s="42">
        <f t="shared" si="92"/>
        <v>0</v>
      </c>
      <c r="J271" s="80">
        <f t="shared" si="93"/>
        <v>11000</v>
      </c>
      <c r="K271" s="43">
        <f>J271*'KiGa - PS'!L272</f>
        <v>2369.6272847097489</v>
      </c>
      <c r="L271" s="42">
        <f>K271/Funktional!E271</f>
        <v>1.2181911599965071E-2</v>
      </c>
      <c r="M271">
        <v>65</v>
      </c>
      <c r="N271" s="43">
        <f>K271/Funktional!C271</f>
        <v>2369.6272847097489</v>
      </c>
      <c r="O271" s="44">
        <f>K271/Funktional!D271</f>
        <v>118.48136423548745</v>
      </c>
      <c r="P271">
        <v>4000</v>
      </c>
      <c r="Q271">
        <v>0</v>
      </c>
      <c r="R271">
        <v>0</v>
      </c>
      <c r="S271" s="43">
        <f t="shared" si="94"/>
        <v>4000</v>
      </c>
      <c r="T271">
        <v>7000</v>
      </c>
      <c r="U271">
        <v>0</v>
      </c>
      <c r="V271">
        <v>0</v>
      </c>
      <c r="W271" s="43">
        <f t="shared" si="95"/>
        <v>7000</v>
      </c>
      <c r="X271">
        <v>0</v>
      </c>
      <c r="Y271" s="110"/>
      <c r="Z271" s="110"/>
      <c r="AA271" s="110"/>
      <c r="AB271" s="110"/>
      <c r="AC271" s="110"/>
      <c r="AD271" s="110"/>
      <c r="AE271" s="110"/>
      <c r="AF271" s="110"/>
      <c r="AG271" s="110"/>
      <c r="AH271" s="110"/>
      <c r="AI271" s="110"/>
      <c r="AJ271" s="110"/>
      <c r="AK271" s="110"/>
      <c r="AL271" s="110"/>
      <c r="AM271" s="110"/>
      <c r="AN271" s="110"/>
      <c r="AO271" s="110"/>
      <c r="AP271" s="110"/>
      <c r="AQ271" s="110"/>
      <c r="AR271" s="110"/>
      <c r="AS271" s="110"/>
      <c r="AT271" s="110"/>
      <c r="AU271" s="110"/>
      <c r="AV271" s="110"/>
      <c r="AW271" s="110"/>
      <c r="AX271" s="110"/>
      <c r="AY271" s="110"/>
      <c r="AZ271" s="110"/>
      <c r="BA271" s="110"/>
      <c r="BB271" s="110"/>
      <c r="BC271" s="110"/>
      <c r="BD271" s="110"/>
      <c r="BE271" s="110"/>
      <c r="BF271" s="110"/>
      <c r="BG271" s="110"/>
      <c r="BH271" s="110"/>
      <c r="BI271" s="110"/>
      <c r="BJ271" s="110"/>
      <c r="BK271" s="110"/>
      <c r="BL271" s="110"/>
      <c r="BM271" s="110"/>
      <c r="BN271" s="110"/>
      <c r="BO271" s="110"/>
      <c r="BP271" s="110"/>
      <c r="BQ271" s="110"/>
      <c r="BR271" s="110"/>
      <c r="BS271" s="110"/>
      <c r="BT271" s="110"/>
      <c r="BU271" s="110"/>
      <c r="BV271" s="110"/>
      <c r="BW271" s="110"/>
      <c r="BX271" s="110"/>
      <c r="BY271" s="110"/>
      <c r="BZ271" s="110"/>
      <c r="CA271" s="110"/>
      <c r="CB271" s="110"/>
      <c r="CC271" s="110"/>
      <c r="CD271" s="110"/>
      <c r="CE271" s="110"/>
      <c r="CF271" s="110"/>
    </row>
    <row r="272" spans="1:84" s="45" customFormat="1" x14ac:dyDescent="0.25">
      <c r="A272" t="str">
        <f>Funktional!A272</f>
        <v>Aadorf</v>
      </c>
      <c r="B272" t="str">
        <f>Funktional!B272</f>
        <v>OSG</v>
      </c>
      <c r="C272">
        <v>0.1348</v>
      </c>
      <c r="D272">
        <v>4.4499999999999998E-2</v>
      </c>
      <c r="E272" s="26">
        <f t="shared" ref="E272:E278" si="96">F272+G272</f>
        <v>11631346.15</v>
      </c>
      <c r="F272">
        <v>9382293.3000000007</v>
      </c>
      <c r="G272">
        <v>2249052.85</v>
      </c>
      <c r="H272">
        <v>14654.7</v>
      </c>
      <c r="I272" s="42">
        <f t="shared" si="92"/>
        <v>1.2599315514309579E-3</v>
      </c>
      <c r="J272" s="80">
        <f t="shared" si="93"/>
        <v>91433</v>
      </c>
      <c r="K272" s="43">
        <f>J272*'KiGa - PS'!L273</f>
        <v>91433</v>
      </c>
      <c r="L272" s="42">
        <f>K272/Funktional!E272</f>
        <v>1.336928988443525E-2</v>
      </c>
      <c r="M272">
        <v>60</v>
      </c>
      <c r="N272" s="43">
        <f>K272/Funktional!C272</f>
        <v>4571.6499999999996</v>
      </c>
      <c r="O272" s="44">
        <f>K272/Funktional!D272</f>
        <v>284.83800623052957</v>
      </c>
      <c r="P272">
        <v>12341</v>
      </c>
      <c r="Q272">
        <v>7370</v>
      </c>
      <c r="R272">
        <v>2000</v>
      </c>
      <c r="S272" s="43">
        <f t="shared" si="94"/>
        <v>21711</v>
      </c>
      <c r="T272">
        <v>23540</v>
      </c>
      <c r="U272">
        <v>12982</v>
      </c>
      <c r="V272">
        <v>2000</v>
      </c>
      <c r="W272" s="43">
        <f t="shared" si="95"/>
        <v>38522</v>
      </c>
      <c r="X272">
        <v>31200</v>
      </c>
      <c r="Y272" s="110"/>
      <c r="Z272" s="110"/>
      <c r="AA272" s="110"/>
      <c r="AB272" s="110"/>
      <c r="AC272" s="110"/>
      <c r="AD272" s="110"/>
      <c r="AE272" s="110"/>
      <c r="AF272" s="110"/>
      <c r="AG272" s="110"/>
      <c r="AH272" s="110"/>
      <c r="AI272" s="110"/>
      <c r="AJ272" s="110"/>
      <c r="AK272" s="110"/>
      <c r="AL272" s="110"/>
      <c r="AM272" s="110"/>
      <c r="AN272" s="110"/>
      <c r="AO272" s="110"/>
      <c r="AP272" s="110"/>
      <c r="AQ272" s="110"/>
      <c r="AR272" s="110"/>
      <c r="AS272" s="110"/>
      <c r="AT272" s="110"/>
      <c r="AU272" s="110"/>
      <c r="AV272" s="110"/>
      <c r="AW272" s="110"/>
      <c r="AX272" s="110"/>
      <c r="AY272" s="110"/>
      <c r="AZ272" s="110"/>
      <c r="BA272" s="110"/>
      <c r="BB272" s="110"/>
      <c r="BC272" s="110"/>
      <c r="BD272" s="110"/>
      <c r="BE272" s="110"/>
      <c r="BF272" s="110"/>
      <c r="BG272" s="110"/>
      <c r="BH272" s="110"/>
      <c r="BI272" s="110"/>
      <c r="BJ272" s="110"/>
      <c r="BK272" s="110"/>
      <c r="BL272" s="110"/>
      <c r="BM272" s="110"/>
      <c r="BN272" s="110"/>
      <c r="BO272" s="110"/>
      <c r="BP272" s="110"/>
      <c r="BQ272" s="110"/>
      <c r="BR272" s="110"/>
      <c r="BS272" s="110"/>
      <c r="BT272" s="110"/>
      <c r="BU272" s="110"/>
      <c r="BV272" s="110"/>
      <c r="BW272" s="110"/>
      <c r="BX272" s="110"/>
      <c r="BY272" s="110"/>
      <c r="BZ272" s="110"/>
      <c r="CA272" s="110"/>
      <c r="CB272" s="110"/>
      <c r="CC272" s="110"/>
      <c r="CD272" s="110"/>
      <c r="CE272" s="110"/>
      <c r="CF272" s="110"/>
    </row>
    <row r="273" spans="1:84" s="45" customFormat="1" x14ac:dyDescent="0.25">
      <c r="A273" t="str">
        <f>Funktional!A273</f>
        <v>Affeltrangen</v>
      </c>
      <c r="B273" t="str">
        <f>Funktional!B273</f>
        <v>OSG</v>
      </c>
      <c r="C273">
        <v>0.1106</v>
      </c>
      <c r="D273">
        <v>8.5199999999999998E-2</v>
      </c>
      <c r="E273" s="26">
        <f t="shared" si="96"/>
        <v>19699657.649999999</v>
      </c>
      <c r="F273">
        <v>4849529.5999999996</v>
      </c>
      <c r="G273">
        <v>14850128.050000001</v>
      </c>
      <c r="H273">
        <v>40912.85</v>
      </c>
      <c r="I273" s="42">
        <f t="shared" si="92"/>
        <v>2.0768305077626566E-3</v>
      </c>
      <c r="J273" s="80">
        <f t="shared" si="93"/>
        <v>72350</v>
      </c>
      <c r="K273" s="43">
        <f>J273*'KiGa - PS'!L274</f>
        <v>72350</v>
      </c>
      <c r="L273" s="42">
        <f>K273/Funktional!E273</f>
        <v>1.4349675104315295E-2</v>
      </c>
      <c r="M273">
        <v>55</v>
      </c>
      <c r="N273" s="43">
        <f>K273/Funktional!C273</f>
        <v>4255.8823529411766</v>
      </c>
      <c r="O273" s="44">
        <f>K273/Funktional!D273</f>
        <v>234.14239482200648</v>
      </c>
      <c r="P273">
        <v>15600</v>
      </c>
      <c r="Q273">
        <v>0</v>
      </c>
      <c r="R273">
        <v>4100</v>
      </c>
      <c r="S273" s="43">
        <f t="shared" si="94"/>
        <v>19700</v>
      </c>
      <c r="T273">
        <v>24500</v>
      </c>
      <c r="U273">
        <v>0</v>
      </c>
      <c r="V273">
        <v>6150</v>
      </c>
      <c r="W273" s="43">
        <f t="shared" si="95"/>
        <v>30650</v>
      </c>
      <c r="X273">
        <v>22000</v>
      </c>
      <c r="Y273" s="110"/>
      <c r="Z273" s="110"/>
      <c r="AA273" s="110"/>
      <c r="AB273" s="110"/>
      <c r="AC273" s="110"/>
      <c r="AD273" s="110"/>
      <c r="AE273" s="110"/>
      <c r="AF273" s="110"/>
      <c r="AG273" s="110"/>
      <c r="AH273" s="110"/>
      <c r="AI273" s="110"/>
      <c r="AJ273" s="110"/>
      <c r="AK273" s="110"/>
      <c r="AL273" s="110"/>
      <c r="AM273" s="110"/>
      <c r="AN273" s="110"/>
      <c r="AO273" s="110"/>
      <c r="AP273" s="110"/>
      <c r="AQ273" s="110"/>
      <c r="AR273" s="110"/>
      <c r="AS273" s="110"/>
      <c r="AT273" s="110"/>
      <c r="AU273" s="110"/>
      <c r="AV273" s="110"/>
      <c r="AW273" s="110"/>
      <c r="AX273" s="110"/>
      <c r="AY273" s="110"/>
      <c r="AZ273" s="110"/>
      <c r="BA273" s="110"/>
      <c r="BB273" s="110"/>
      <c r="BC273" s="110"/>
      <c r="BD273" s="110"/>
      <c r="BE273" s="110"/>
      <c r="BF273" s="110"/>
      <c r="BG273" s="110"/>
      <c r="BH273" s="110"/>
      <c r="BI273" s="110"/>
      <c r="BJ273" s="110"/>
      <c r="BK273" s="110"/>
      <c r="BL273" s="110"/>
      <c r="BM273" s="110"/>
      <c r="BN273" s="110"/>
      <c r="BO273" s="110"/>
      <c r="BP273" s="110"/>
      <c r="BQ273" s="110"/>
      <c r="BR273" s="110"/>
      <c r="BS273" s="110"/>
      <c r="BT273" s="110"/>
      <c r="BU273" s="110"/>
      <c r="BV273" s="110"/>
      <c r="BW273" s="110"/>
      <c r="BX273" s="110"/>
      <c r="BY273" s="110"/>
      <c r="BZ273" s="110"/>
      <c r="CA273" s="110"/>
      <c r="CB273" s="110"/>
      <c r="CC273" s="110"/>
      <c r="CD273" s="110"/>
      <c r="CE273" s="110"/>
      <c r="CF273" s="110"/>
    </row>
    <row r="274" spans="1:84" s="45" customFormat="1" x14ac:dyDescent="0.25">
      <c r="A274" t="str">
        <f>Funktional!A274</f>
        <v>Alterswilen</v>
      </c>
      <c r="B274" t="str">
        <f>Funktional!B274</f>
        <v>OSG</v>
      </c>
      <c r="C274">
        <v>-1.5900000000000001E-2</v>
      </c>
      <c r="D274">
        <v>-5.3E-3</v>
      </c>
      <c r="E274" s="26">
        <f t="shared" si="96"/>
        <v>1794411.5</v>
      </c>
      <c r="F274">
        <v>82120</v>
      </c>
      <c r="G274">
        <v>1712291.5</v>
      </c>
      <c r="H274">
        <v>62115</v>
      </c>
      <c r="I274" s="42">
        <f t="shared" si="92"/>
        <v>3.4615805794824657E-2</v>
      </c>
      <c r="J274" s="80">
        <f t="shared" si="93"/>
        <v>37390</v>
      </c>
      <c r="K274" s="43">
        <f>J274*'KiGa - PS'!L275</f>
        <v>37390</v>
      </c>
      <c r="L274" s="42">
        <f>K274/Funktional!E274</f>
        <v>2.2431048074073451E-2</v>
      </c>
      <c r="M274">
        <v>60</v>
      </c>
      <c r="N274" s="43">
        <f>K274/Funktional!C274</f>
        <v>6231.666666666667</v>
      </c>
      <c r="O274" s="44">
        <f>K274/Funktional!D274</f>
        <v>352.7358490566038</v>
      </c>
      <c r="P274">
        <v>17000</v>
      </c>
      <c r="Q274">
        <v>0</v>
      </c>
      <c r="R274">
        <v>600</v>
      </c>
      <c r="S274" s="43">
        <f t="shared" si="94"/>
        <v>17600</v>
      </c>
      <c r="T274">
        <v>17000</v>
      </c>
      <c r="U274">
        <v>0</v>
      </c>
      <c r="V274">
        <v>600</v>
      </c>
      <c r="W274" s="43">
        <f t="shared" si="95"/>
        <v>17600</v>
      </c>
      <c r="X274">
        <v>2190</v>
      </c>
      <c r="Y274" s="110"/>
      <c r="Z274" s="110"/>
      <c r="AA274" s="110"/>
      <c r="AB274" s="110"/>
      <c r="AC274" s="110"/>
      <c r="AD274" s="110"/>
      <c r="AE274" s="110"/>
      <c r="AF274" s="110"/>
      <c r="AG274" s="110"/>
      <c r="AH274" s="110"/>
      <c r="AI274" s="110"/>
      <c r="AJ274" s="110"/>
      <c r="AK274" s="110"/>
      <c r="AL274" s="110"/>
      <c r="AM274" s="110"/>
      <c r="AN274" s="110"/>
      <c r="AO274" s="110"/>
      <c r="AP274" s="110"/>
      <c r="AQ274" s="110"/>
      <c r="AR274" s="110"/>
      <c r="AS274" s="110"/>
      <c r="AT274" s="110"/>
      <c r="AU274" s="110"/>
      <c r="AV274" s="110"/>
      <c r="AW274" s="110"/>
      <c r="AX274" s="110"/>
      <c r="AY274" s="110"/>
      <c r="AZ274" s="110"/>
      <c r="BA274" s="110"/>
      <c r="BB274" s="110"/>
      <c r="BC274" s="110"/>
      <c r="BD274" s="110"/>
      <c r="BE274" s="110"/>
      <c r="BF274" s="110"/>
      <c r="BG274" s="110"/>
      <c r="BH274" s="110"/>
      <c r="BI274" s="110"/>
      <c r="BJ274" s="110"/>
      <c r="BK274" s="110"/>
      <c r="BL274" s="110"/>
      <c r="BM274" s="110"/>
      <c r="BN274" s="110"/>
      <c r="BO274" s="110"/>
      <c r="BP274" s="110"/>
      <c r="BQ274" s="110"/>
      <c r="BR274" s="110"/>
      <c r="BS274" s="110"/>
      <c r="BT274" s="110"/>
      <c r="BU274" s="110"/>
      <c r="BV274" s="110"/>
      <c r="BW274" s="110"/>
      <c r="BX274" s="110"/>
      <c r="BY274" s="110"/>
      <c r="BZ274" s="110"/>
      <c r="CA274" s="110"/>
      <c r="CB274" s="110"/>
      <c r="CC274" s="110"/>
      <c r="CD274" s="110"/>
      <c r="CE274" s="110"/>
      <c r="CF274" s="110"/>
    </row>
    <row r="275" spans="1:84" s="45" customFormat="1" x14ac:dyDescent="0.25">
      <c r="A275" t="str">
        <f>Funktional!A275</f>
        <v>Altnau</v>
      </c>
      <c r="B275" t="str">
        <f>Funktional!B275</f>
        <v>OSG</v>
      </c>
      <c r="C275">
        <v>0.15129999999999999</v>
      </c>
      <c r="D275">
        <v>5.2600000000000001E-2</v>
      </c>
      <c r="E275" s="26">
        <f t="shared" si="96"/>
        <v>9193634.7000000011</v>
      </c>
      <c r="F275">
        <v>8423520.3000000007</v>
      </c>
      <c r="G275">
        <v>770114.4</v>
      </c>
      <c r="H275">
        <v>6361.75</v>
      </c>
      <c r="I275" s="42">
        <f t="shared" si="92"/>
        <v>6.919733280244427E-4</v>
      </c>
      <c r="J275" s="80">
        <f t="shared" si="93"/>
        <v>43300</v>
      </c>
      <c r="K275" s="43">
        <f>J275*'KiGa - PS'!L276</f>
        <v>43300</v>
      </c>
      <c r="L275" s="42">
        <f>K275/Funktional!E275</f>
        <v>8.7110767013522435E-3</v>
      </c>
      <c r="M275">
        <v>86</v>
      </c>
      <c r="N275" s="43">
        <f>K275/Funktional!C275</f>
        <v>2405.5555555555557</v>
      </c>
      <c r="O275" s="44">
        <f>K275/Funktional!D275</f>
        <v>151.39860139860139</v>
      </c>
      <c r="P275">
        <v>16700</v>
      </c>
      <c r="Q275">
        <v>300</v>
      </c>
      <c r="R275">
        <v>1000</v>
      </c>
      <c r="S275" s="43">
        <f t="shared" si="94"/>
        <v>18000</v>
      </c>
      <c r="T275">
        <v>24000</v>
      </c>
      <c r="U275">
        <v>300</v>
      </c>
      <c r="V275">
        <v>1000</v>
      </c>
      <c r="W275" s="43">
        <f t="shared" si="95"/>
        <v>25300</v>
      </c>
      <c r="X275">
        <v>0</v>
      </c>
      <c r="Y275" s="110"/>
      <c r="Z275" s="110"/>
      <c r="AA275" s="110"/>
      <c r="AB275" s="110"/>
      <c r="AC275" s="110"/>
      <c r="AD275" s="110"/>
      <c r="AE275" s="110"/>
      <c r="AF275" s="110"/>
      <c r="AG275" s="110"/>
      <c r="AH275" s="110"/>
      <c r="AI275" s="110"/>
      <c r="AJ275" s="110"/>
      <c r="AK275" s="110"/>
      <c r="AL275" s="110"/>
      <c r="AM275" s="110"/>
      <c r="AN275" s="110"/>
      <c r="AO275" s="110"/>
      <c r="AP275" s="110"/>
      <c r="AQ275" s="110"/>
      <c r="AR275" s="110"/>
      <c r="AS275" s="110"/>
      <c r="AT275" s="110"/>
      <c r="AU275" s="110"/>
      <c r="AV275" s="110"/>
      <c r="AW275" s="110"/>
      <c r="AX275" s="110"/>
      <c r="AY275" s="110"/>
      <c r="AZ275" s="110"/>
      <c r="BA275" s="110"/>
      <c r="BB275" s="110"/>
      <c r="BC275" s="110"/>
      <c r="BD275" s="110"/>
      <c r="BE275" s="110"/>
      <c r="BF275" s="110"/>
      <c r="BG275" s="110"/>
      <c r="BH275" s="110"/>
      <c r="BI275" s="110"/>
      <c r="BJ275" s="110"/>
      <c r="BK275" s="110"/>
      <c r="BL275" s="110"/>
      <c r="BM275" s="110"/>
      <c r="BN275" s="110"/>
      <c r="BO275" s="110"/>
      <c r="BP275" s="110"/>
      <c r="BQ275" s="110"/>
      <c r="BR275" s="110"/>
      <c r="BS275" s="110"/>
      <c r="BT275" s="110"/>
      <c r="BU275" s="110"/>
      <c r="BV275" s="110"/>
      <c r="BW275" s="110"/>
      <c r="BX275" s="110"/>
      <c r="BY275" s="110"/>
      <c r="BZ275" s="110"/>
      <c r="CA275" s="110"/>
      <c r="CB275" s="110"/>
      <c r="CC275" s="110"/>
      <c r="CD275" s="110"/>
      <c r="CE275" s="110"/>
      <c r="CF275" s="110"/>
    </row>
    <row r="276" spans="1:84" s="45" customFormat="1" x14ac:dyDescent="0.25">
      <c r="A276" t="str">
        <f>Funktional!A276</f>
        <v>Amriswil</v>
      </c>
      <c r="B276" t="str">
        <f>Funktional!B276</f>
        <v>OSG</v>
      </c>
      <c r="C276">
        <v>0.1071</v>
      </c>
      <c r="D276">
        <v>4.1500000000000002E-2</v>
      </c>
      <c r="E276" s="26">
        <f t="shared" si="96"/>
        <v>10219923.199999999</v>
      </c>
      <c r="F276">
        <v>8068498.6500000004</v>
      </c>
      <c r="G276">
        <v>2151424.5499999998</v>
      </c>
      <c r="H276">
        <v>39534.449999999997</v>
      </c>
      <c r="I276" s="42">
        <f t="shared" si="92"/>
        <v>3.8683705568354956E-3</v>
      </c>
      <c r="J276" s="80">
        <f t="shared" si="93"/>
        <v>99245</v>
      </c>
      <c r="K276" s="43">
        <f>J276*'KiGa - PS'!L277</f>
        <v>99245</v>
      </c>
      <c r="L276" s="42">
        <f>K276/Funktional!E276</f>
        <v>1.370730381001032E-2</v>
      </c>
      <c r="M276">
        <v>80</v>
      </c>
      <c r="N276" s="43">
        <f>K276/Funktional!C276</f>
        <v>3969.8</v>
      </c>
      <c r="O276" s="44">
        <f>K276/Funktional!D276</f>
        <v>181.43510054844606</v>
      </c>
      <c r="P276">
        <v>22045</v>
      </c>
      <c r="Q276">
        <v>7200</v>
      </c>
      <c r="R276">
        <v>0</v>
      </c>
      <c r="S276" s="43">
        <f t="shared" si="94"/>
        <v>29245</v>
      </c>
      <c r="T276">
        <v>70000</v>
      </c>
      <c r="U276">
        <v>0</v>
      </c>
      <c r="V276">
        <v>0</v>
      </c>
      <c r="W276" s="43">
        <f t="shared" si="95"/>
        <v>70000</v>
      </c>
      <c r="X276">
        <v>0</v>
      </c>
      <c r="Y276" s="110"/>
      <c r="Z276" s="110"/>
      <c r="AA276" s="110"/>
      <c r="AB276" s="110"/>
      <c r="AC276" s="110"/>
      <c r="AD276" s="110"/>
      <c r="AE276" s="110"/>
      <c r="AF276" s="110"/>
      <c r="AG276" s="110"/>
      <c r="AH276" s="110"/>
      <c r="AI276" s="110"/>
      <c r="AJ276" s="110"/>
      <c r="AK276" s="110"/>
      <c r="AL276" s="110"/>
      <c r="AM276" s="110"/>
      <c r="AN276" s="110"/>
      <c r="AO276" s="110"/>
      <c r="AP276" s="110"/>
      <c r="AQ276" s="110"/>
      <c r="AR276" s="110"/>
      <c r="AS276" s="110"/>
      <c r="AT276" s="110"/>
      <c r="AU276" s="110"/>
      <c r="AV276" s="110"/>
      <c r="AW276" s="110"/>
      <c r="AX276" s="110"/>
      <c r="AY276" s="110"/>
      <c r="AZ276" s="110"/>
      <c r="BA276" s="110"/>
      <c r="BB276" s="110"/>
      <c r="BC276" s="110"/>
      <c r="BD276" s="110"/>
      <c r="BE276" s="110"/>
      <c r="BF276" s="110"/>
      <c r="BG276" s="110"/>
      <c r="BH276" s="110"/>
      <c r="BI276" s="110"/>
      <c r="BJ276" s="110"/>
      <c r="BK276" s="110"/>
      <c r="BL276" s="110"/>
      <c r="BM276" s="110"/>
      <c r="BN276" s="110"/>
      <c r="BO276" s="110"/>
      <c r="BP276" s="110"/>
      <c r="BQ276" s="110"/>
      <c r="BR276" s="110"/>
      <c r="BS276" s="110"/>
      <c r="BT276" s="110"/>
      <c r="BU276" s="110"/>
      <c r="BV276" s="110"/>
      <c r="BW276" s="110"/>
      <c r="BX276" s="110"/>
      <c r="BY276" s="110"/>
      <c r="BZ276" s="110"/>
      <c r="CA276" s="110"/>
      <c r="CB276" s="110"/>
      <c r="CC276" s="110"/>
      <c r="CD276" s="110"/>
      <c r="CE276" s="110"/>
      <c r="CF276" s="110"/>
    </row>
    <row r="277" spans="1:84" s="45" customFormat="1" x14ac:dyDescent="0.25">
      <c r="A277" t="str">
        <f>Funktional!A277</f>
        <v>Balterswil-Bichelsee</v>
      </c>
      <c r="B277" t="str">
        <f>Funktional!B277</f>
        <v>OSG</v>
      </c>
      <c r="C277">
        <v>1.5800000000000002E-2</v>
      </c>
      <c r="D277">
        <v>-4.0000000000000002E-4</v>
      </c>
      <c r="E277" s="26">
        <f t="shared" si="96"/>
        <v>707832.55</v>
      </c>
      <c r="F277">
        <v>299470.15000000002</v>
      </c>
      <c r="G277">
        <v>408362.4</v>
      </c>
      <c r="H277">
        <v>2227.6999999999998</v>
      </c>
      <c r="I277" s="42">
        <f t="shared" si="92"/>
        <v>3.1472132780556638E-3</v>
      </c>
      <c r="J277" s="80">
        <f t="shared" si="93"/>
        <v>33570</v>
      </c>
      <c r="K277" s="43">
        <f>J277*'KiGa - PS'!L278</f>
        <v>33570</v>
      </c>
      <c r="L277" s="42">
        <f>K277/Funktional!E277</f>
        <v>2.1594307671025614E-2</v>
      </c>
      <c r="M277">
        <v>60</v>
      </c>
      <c r="N277" s="43">
        <f>K277/Funktional!C277</f>
        <v>4795.7142857142853</v>
      </c>
      <c r="O277" s="44">
        <f>K277/Funktional!D277</f>
        <v>297.07964601769913</v>
      </c>
      <c r="P277">
        <v>5960</v>
      </c>
      <c r="Q277">
        <v>3118</v>
      </c>
      <c r="R277">
        <v>660</v>
      </c>
      <c r="S277" s="43">
        <f t="shared" si="94"/>
        <v>9738</v>
      </c>
      <c r="T277">
        <v>16760</v>
      </c>
      <c r="U277">
        <v>3715</v>
      </c>
      <c r="V277">
        <v>1857</v>
      </c>
      <c r="W277" s="43">
        <f t="shared" si="95"/>
        <v>22332</v>
      </c>
      <c r="X277">
        <v>1500</v>
      </c>
      <c r="Y277" s="110"/>
      <c r="Z277" s="110"/>
      <c r="AA277" s="110"/>
      <c r="AB277" s="110"/>
      <c r="AC277" s="110"/>
      <c r="AD277" s="110"/>
      <c r="AE277" s="110"/>
      <c r="AF277" s="110"/>
      <c r="AG277" s="110"/>
      <c r="AH277" s="110"/>
      <c r="AI277" s="110"/>
      <c r="AJ277" s="110"/>
      <c r="AK277" s="110"/>
      <c r="AL277" s="110"/>
      <c r="AM277" s="110"/>
      <c r="AN277" s="110"/>
      <c r="AO277" s="110"/>
      <c r="AP277" s="110"/>
      <c r="AQ277" s="110"/>
      <c r="AR277" s="110"/>
      <c r="AS277" s="110"/>
      <c r="AT277" s="110"/>
      <c r="AU277" s="110"/>
      <c r="AV277" s="110"/>
      <c r="AW277" s="110"/>
      <c r="AX277" s="110"/>
      <c r="AY277" s="110"/>
      <c r="AZ277" s="110"/>
      <c r="BA277" s="110"/>
      <c r="BB277" s="110"/>
      <c r="BC277" s="110"/>
      <c r="BD277" s="110"/>
      <c r="BE277" s="110"/>
      <c r="BF277" s="110"/>
      <c r="BG277" s="110"/>
      <c r="BH277" s="110"/>
      <c r="BI277" s="110"/>
      <c r="BJ277" s="110"/>
      <c r="BK277" s="110"/>
      <c r="BL277" s="110"/>
      <c r="BM277" s="110"/>
      <c r="BN277" s="110"/>
      <c r="BO277" s="110"/>
      <c r="BP277" s="110"/>
      <c r="BQ277" s="110"/>
      <c r="BR277" s="110"/>
      <c r="BS277" s="110"/>
      <c r="BT277" s="110"/>
      <c r="BU277" s="110"/>
      <c r="BV277" s="110"/>
      <c r="BW277" s="110"/>
      <c r="BX277" s="110"/>
      <c r="BY277" s="110"/>
      <c r="BZ277" s="110"/>
      <c r="CA277" s="110"/>
      <c r="CB277" s="110"/>
      <c r="CC277" s="110"/>
      <c r="CD277" s="110"/>
      <c r="CE277" s="110"/>
      <c r="CF277" s="110"/>
    </row>
    <row r="278" spans="1:84" s="45" customFormat="1" x14ac:dyDescent="0.25">
      <c r="A278" t="str">
        <f>Funktional!A278</f>
        <v>Berg</v>
      </c>
      <c r="B278" t="str">
        <f>Funktional!B278</f>
        <v>OSG</v>
      </c>
      <c r="C278">
        <v>0.13539999999999999</v>
      </c>
      <c r="D278">
        <v>6.3600000000000004E-2</v>
      </c>
      <c r="E278" s="26">
        <f t="shared" si="96"/>
        <v>7112595.9499999993</v>
      </c>
      <c r="F278">
        <v>6503755.0999999996</v>
      </c>
      <c r="G278">
        <v>608840.85</v>
      </c>
      <c r="H278">
        <v>5695.75</v>
      </c>
      <c r="I278" s="42">
        <f t="shared" si="92"/>
        <v>8.0079763282490414E-4</v>
      </c>
      <c r="J278" s="80">
        <f t="shared" si="93"/>
        <v>40465</v>
      </c>
      <c r="K278" s="43">
        <f>J278*'KiGa - PS'!L279</f>
        <v>40465</v>
      </c>
      <c r="L278" s="42">
        <f>K278/Funktional!E278</f>
        <v>1.4678135671823512E-2</v>
      </c>
      <c r="M278">
        <v>70</v>
      </c>
      <c r="N278" s="43">
        <f>K278/Funktional!C278</f>
        <v>5780.7142857142853</v>
      </c>
      <c r="O278" s="44">
        <f>K278/Funktional!D278</f>
        <v>248.25153374233128</v>
      </c>
      <c r="P278">
        <v>8000</v>
      </c>
      <c r="Q278">
        <v>0</v>
      </c>
      <c r="R278">
        <v>3000</v>
      </c>
      <c r="S278" s="43">
        <f t="shared" si="94"/>
        <v>11000</v>
      </c>
      <c r="T278">
        <v>24500</v>
      </c>
      <c r="U278">
        <v>0</v>
      </c>
      <c r="V278">
        <v>3265</v>
      </c>
      <c r="W278" s="43">
        <f t="shared" si="95"/>
        <v>27765</v>
      </c>
      <c r="X278">
        <v>1700</v>
      </c>
      <c r="Y278" s="110"/>
      <c r="Z278" s="110"/>
      <c r="AA278" s="110"/>
      <c r="AB278" s="110"/>
      <c r="AC278" s="110"/>
      <c r="AD278" s="110"/>
      <c r="AE278" s="110"/>
      <c r="AF278" s="110"/>
      <c r="AG278" s="110"/>
      <c r="AH278" s="110"/>
      <c r="AI278" s="110"/>
      <c r="AJ278" s="110"/>
      <c r="AK278" s="110"/>
      <c r="AL278" s="110"/>
      <c r="AM278" s="110"/>
      <c r="AN278" s="110"/>
      <c r="AO278" s="110"/>
      <c r="AP278" s="110"/>
      <c r="AQ278" s="110"/>
      <c r="AR278" s="110"/>
      <c r="AS278" s="110"/>
      <c r="AT278" s="110"/>
      <c r="AU278" s="110"/>
      <c r="AV278" s="110"/>
      <c r="AW278" s="110"/>
      <c r="AX278" s="110"/>
      <c r="AY278" s="110"/>
      <c r="AZ278" s="110"/>
      <c r="BA278" s="110"/>
      <c r="BB278" s="110"/>
      <c r="BC278" s="110"/>
      <c r="BD278" s="110"/>
      <c r="BE278" s="110"/>
      <c r="BF278" s="110"/>
      <c r="BG278" s="110"/>
      <c r="BH278" s="110"/>
      <c r="BI278" s="110"/>
      <c r="BJ278" s="110"/>
      <c r="BK278" s="110"/>
      <c r="BL278" s="110"/>
      <c r="BM278" s="110"/>
      <c r="BN278" s="110"/>
      <c r="BO278" s="110"/>
      <c r="BP278" s="110"/>
      <c r="BQ278" s="110"/>
      <c r="BR278" s="110"/>
      <c r="BS278" s="110"/>
      <c r="BT278" s="110"/>
      <c r="BU278" s="110"/>
      <c r="BV278" s="110"/>
      <c r="BW278" s="110"/>
      <c r="BX278" s="110"/>
      <c r="BY278" s="110"/>
      <c r="BZ278" s="110"/>
      <c r="CA278" s="110"/>
      <c r="CB278" s="110"/>
      <c r="CC278" s="110"/>
      <c r="CD278" s="110"/>
      <c r="CE278" s="110"/>
      <c r="CF278" s="110"/>
    </row>
    <row r="279" spans="1:84" s="45" customFormat="1" x14ac:dyDescent="0.25">
      <c r="A279" t="str">
        <f>Funktional!A279</f>
        <v>Bischofszell</v>
      </c>
      <c r="B279" t="str">
        <f>Funktional!B279</f>
        <v>OSG</v>
      </c>
      <c r="C279">
        <v>0.1124</v>
      </c>
      <c r="D279">
        <v>7.4800000000000005E-2</v>
      </c>
      <c r="E279" s="26">
        <f t="shared" ref="E279:E294" si="97">F279+G279</f>
        <v>12600825.350000001</v>
      </c>
      <c r="F279">
        <v>4787408.9000000004</v>
      </c>
      <c r="G279">
        <v>7813416.4500000002</v>
      </c>
      <c r="H279">
        <v>78109.75</v>
      </c>
      <c r="I279" s="42">
        <f t="shared" si="92"/>
        <v>6.1987804632178314E-3</v>
      </c>
      <c r="J279" s="80">
        <f t="shared" si="93"/>
        <v>94308</v>
      </c>
      <c r="K279" s="43">
        <f>J279*'KiGa - PS'!L280</f>
        <v>94308</v>
      </c>
      <c r="L279" s="42">
        <f>K279/Funktional!E279</f>
        <v>1.4980370548935879E-2</v>
      </c>
      <c r="M279">
        <v>80</v>
      </c>
      <c r="N279" s="43">
        <f>K279/Funktional!C279</f>
        <v>4715.3999999999996</v>
      </c>
      <c r="O279" s="44">
        <f>K279/Funktional!D279</f>
        <v>213.85034013605443</v>
      </c>
      <c r="P279">
        <v>20000</v>
      </c>
      <c r="Q279">
        <v>0</v>
      </c>
      <c r="R279">
        <v>2000</v>
      </c>
      <c r="S279" s="43">
        <f t="shared" si="94"/>
        <v>22000</v>
      </c>
      <c r="T279">
        <v>60008</v>
      </c>
      <c r="U279">
        <v>0</v>
      </c>
      <c r="V279">
        <v>0</v>
      </c>
      <c r="W279" s="43">
        <f t="shared" si="95"/>
        <v>60008</v>
      </c>
      <c r="X279">
        <v>12300</v>
      </c>
      <c r="Y279" s="110"/>
      <c r="Z279" s="110"/>
      <c r="AA279" s="110"/>
      <c r="AB279" s="110"/>
      <c r="AC279" s="110"/>
      <c r="AD279" s="110"/>
      <c r="AE279" s="110"/>
      <c r="AF279" s="110"/>
      <c r="AG279" s="110"/>
      <c r="AH279" s="110"/>
      <c r="AI279" s="110"/>
      <c r="AJ279" s="110"/>
      <c r="AK279" s="110"/>
      <c r="AL279" s="110"/>
      <c r="AM279" s="110"/>
      <c r="AN279" s="110"/>
      <c r="AO279" s="110"/>
      <c r="AP279" s="110"/>
      <c r="AQ279" s="110"/>
      <c r="AR279" s="110"/>
      <c r="AS279" s="110"/>
      <c r="AT279" s="110"/>
      <c r="AU279" s="110"/>
      <c r="AV279" s="110"/>
      <c r="AW279" s="110"/>
      <c r="AX279" s="110"/>
      <c r="AY279" s="110"/>
      <c r="AZ279" s="110"/>
      <c r="BA279" s="110"/>
      <c r="BB279" s="110"/>
      <c r="BC279" s="110"/>
      <c r="BD279" s="110"/>
      <c r="BE279" s="110"/>
      <c r="BF279" s="110"/>
      <c r="BG279" s="110"/>
      <c r="BH279" s="110"/>
      <c r="BI279" s="110"/>
      <c r="BJ279" s="110"/>
      <c r="BK279" s="110"/>
      <c r="BL279" s="110"/>
      <c r="BM279" s="110"/>
      <c r="BN279" s="110"/>
      <c r="BO279" s="110"/>
      <c r="BP279" s="110"/>
      <c r="BQ279" s="110"/>
      <c r="BR279" s="110"/>
      <c r="BS279" s="110"/>
      <c r="BT279" s="110"/>
      <c r="BU279" s="110"/>
      <c r="BV279" s="110"/>
      <c r="BW279" s="110"/>
      <c r="BX279" s="110"/>
      <c r="BY279" s="110"/>
      <c r="BZ279" s="110"/>
      <c r="CA279" s="110"/>
      <c r="CB279" s="110"/>
      <c r="CC279" s="110"/>
      <c r="CD279" s="110"/>
      <c r="CE279" s="110"/>
      <c r="CF279" s="110"/>
    </row>
    <row r="280" spans="1:84" s="45" customFormat="1" x14ac:dyDescent="0.25">
      <c r="A280" t="str">
        <f>Funktional!A280</f>
        <v>Bürglen</v>
      </c>
      <c r="B280" t="str">
        <f>Funktional!B280</f>
        <v>OSG</v>
      </c>
      <c r="C280">
        <v>0.1353</v>
      </c>
      <c r="D280">
        <v>6.9000000000000006E-2</v>
      </c>
      <c r="E280" s="26">
        <f t="shared" si="97"/>
        <v>4632304.4000000004</v>
      </c>
      <c r="F280">
        <v>3547017.6</v>
      </c>
      <c r="G280">
        <v>1085286.8</v>
      </c>
      <c r="H280">
        <v>23521.45</v>
      </c>
      <c r="I280" s="42">
        <f t="shared" si="92"/>
        <v>5.077699557049834E-3</v>
      </c>
      <c r="J280" s="80">
        <f t="shared" si="93"/>
        <v>34000</v>
      </c>
      <c r="K280" s="43">
        <f>J280*'KiGa - PS'!L281</f>
        <v>34000</v>
      </c>
      <c r="L280" s="42">
        <f>K280/Funktional!E280</f>
        <v>1.1393678813802757E-2</v>
      </c>
      <c r="M280">
        <v>60</v>
      </c>
      <c r="N280" s="43">
        <f>K280/Funktional!C280</f>
        <v>2833.3333333333335</v>
      </c>
      <c r="O280" s="44">
        <f>K280/Funktional!D280</f>
        <v>195.40229885057471</v>
      </c>
      <c r="P280">
        <v>10400</v>
      </c>
      <c r="Q280">
        <v>0</v>
      </c>
      <c r="R280">
        <v>2000</v>
      </c>
      <c r="S280" s="43">
        <f t="shared" si="94"/>
        <v>12400</v>
      </c>
      <c r="T280">
        <v>16600</v>
      </c>
      <c r="U280">
        <v>0</v>
      </c>
      <c r="V280">
        <v>4000</v>
      </c>
      <c r="W280" s="43">
        <f t="shared" si="95"/>
        <v>20600</v>
      </c>
      <c r="X280">
        <v>1000</v>
      </c>
      <c r="Y280" s="110"/>
      <c r="Z280" s="110"/>
      <c r="AA280" s="110"/>
      <c r="AB280" s="110"/>
      <c r="AC280" s="110"/>
      <c r="AD280" s="110"/>
      <c r="AE280" s="110"/>
      <c r="AF280" s="110"/>
      <c r="AG280" s="110"/>
      <c r="AH280" s="110"/>
      <c r="AI280" s="110"/>
      <c r="AJ280" s="110"/>
      <c r="AK280" s="110"/>
      <c r="AL280" s="110"/>
      <c r="AM280" s="110"/>
      <c r="AN280" s="110"/>
      <c r="AO280" s="110"/>
      <c r="AP280" s="110"/>
      <c r="AQ280" s="110"/>
      <c r="AR280" s="110"/>
      <c r="AS280" s="110"/>
      <c r="AT280" s="110"/>
      <c r="AU280" s="110"/>
      <c r="AV280" s="110"/>
      <c r="AW280" s="110"/>
      <c r="AX280" s="110"/>
      <c r="AY280" s="110"/>
      <c r="AZ280" s="110"/>
      <c r="BA280" s="110"/>
      <c r="BB280" s="110"/>
      <c r="BC280" s="110"/>
      <c r="BD280" s="110"/>
      <c r="BE280" s="110"/>
      <c r="BF280" s="110"/>
      <c r="BG280" s="110"/>
      <c r="BH280" s="110"/>
      <c r="BI280" s="110"/>
      <c r="BJ280" s="110"/>
      <c r="BK280" s="110"/>
      <c r="BL280" s="110"/>
      <c r="BM280" s="110"/>
      <c r="BN280" s="110"/>
      <c r="BO280" s="110"/>
      <c r="BP280" s="110"/>
      <c r="BQ280" s="110"/>
      <c r="BR280" s="110"/>
      <c r="BS280" s="110"/>
      <c r="BT280" s="110"/>
      <c r="BU280" s="110"/>
      <c r="BV280" s="110"/>
      <c r="BW280" s="110"/>
      <c r="BX280" s="110"/>
      <c r="BY280" s="110"/>
      <c r="BZ280" s="110"/>
      <c r="CA280" s="110"/>
      <c r="CB280" s="110"/>
      <c r="CC280" s="110"/>
      <c r="CD280" s="110"/>
      <c r="CE280" s="110"/>
      <c r="CF280" s="110"/>
    </row>
    <row r="281" spans="1:84" s="45" customFormat="1" x14ac:dyDescent="0.25">
      <c r="A281" t="str">
        <f>Funktional!A281</f>
        <v>Diessenhofen</v>
      </c>
      <c r="B281" t="str">
        <f>Funktional!B281</f>
        <v>OSG</v>
      </c>
      <c r="C281">
        <v>0.1583</v>
      </c>
      <c r="D281">
        <v>7.5200000000000003E-2</v>
      </c>
      <c r="E281" s="26">
        <f t="shared" si="97"/>
        <v>6959326.0700000003</v>
      </c>
      <c r="F281">
        <v>6096088.7000000002</v>
      </c>
      <c r="G281">
        <v>863237.37</v>
      </c>
      <c r="H281">
        <v>3850.6</v>
      </c>
      <c r="I281" s="42">
        <f t="shared" ref="I281:I296" si="98">H281/E281</f>
        <v>5.5330070200317538E-4</v>
      </c>
      <c r="J281" s="80">
        <f t="shared" ref="J281:J296" si="99">S281+W281+X281</f>
        <v>75455</v>
      </c>
      <c r="K281" s="43">
        <f>J281*'KiGa - PS'!L282</f>
        <v>75455</v>
      </c>
      <c r="L281" s="42">
        <f>K281/Funktional!E281</f>
        <v>1.6439406012876537E-2</v>
      </c>
      <c r="M281">
        <v>60</v>
      </c>
      <c r="N281" s="43">
        <f>K281/Funktional!C281</f>
        <v>4311.7142857142853</v>
      </c>
      <c r="O281" s="44">
        <f>K281/Funktional!D281</f>
        <v>286.90114068441062</v>
      </c>
      <c r="P281">
        <v>15165</v>
      </c>
      <c r="Q281">
        <v>2400</v>
      </c>
      <c r="R281">
        <v>0</v>
      </c>
      <c r="S281" s="43">
        <f t="shared" ref="S281:S296" si="100">P281+Q281+R281</f>
        <v>17565</v>
      </c>
      <c r="T281">
        <v>45500</v>
      </c>
      <c r="U281">
        <v>400</v>
      </c>
      <c r="V281">
        <v>2600</v>
      </c>
      <c r="W281" s="43">
        <f t="shared" ref="W281:W296" si="101">T281+U281+V281</f>
        <v>48500</v>
      </c>
      <c r="X281">
        <v>9390</v>
      </c>
      <c r="Y281" s="110"/>
      <c r="Z281" s="110"/>
      <c r="AA281" s="110"/>
      <c r="AB281" s="110"/>
      <c r="AC281" s="110"/>
      <c r="AD281" s="110"/>
      <c r="AE281" s="110"/>
      <c r="AF281" s="110"/>
      <c r="AG281" s="110"/>
      <c r="AH281" s="110"/>
      <c r="AI281" s="110"/>
      <c r="AJ281" s="110"/>
      <c r="AK281" s="110"/>
      <c r="AL281" s="110"/>
      <c r="AM281" s="110"/>
      <c r="AN281" s="110"/>
      <c r="AO281" s="110"/>
      <c r="AP281" s="110"/>
      <c r="AQ281" s="110"/>
      <c r="AR281" s="110"/>
      <c r="AS281" s="110"/>
      <c r="AT281" s="110"/>
      <c r="AU281" s="110"/>
      <c r="AV281" s="110"/>
      <c r="AW281" s="110"/>
      <c r="AX281" s="110"/>
      <c r="AY281" s="110"/>
      <c r="AZ281" s="110"/>
      <c r="BA281" s="110"/>
      <c r="BB281" s="110"/>
      <c r="BC281" s="110"/>
      <c r="BD281" s="110"/>
      <c r="BE281" s="110"/>
      <c r="BF281" s="110"/>
      <c r="BG281" s="110"/>
      <c r="BH281" s="110"/>
      <c r="BI281" s="110"/>
      <c r="BJ281" s="110"/>
      <c r="BK281" s="110"/>
      <c r="BL281" s="110"/>
      <c r="BM281" s="110"/>
      <c r="BN281" s="110"/>
      <c r="BO281" s="110"/>
      <c r="BP281" s="110"/>
      <c r="BQ281" s="110"/>
      <c r="BR281" s="110"/>
      <c r="BS281" s="110"/>
      <c r="BT281" s="110"/>
      <c r="BU281" s="110"/>
      <c r="BV281" s="110"/>
      <c r="BW281" s="110"/>
      <c r="BX281" s="110"/>
      <c r="BY281" s="110"/>
      <c r="BZ281" s="110"/>
      <c r="CA281" s="110"/>
      <c r="CB281" s="110"/>
      <c r="CC281" s="110"/>
      <c r="CD281" s="110"/>
      <c r="CE281" s="110"/>
      <c r="CF281" s="110"/>
    </row>
    <row r="282" spans="1:84" s="45" customFormat="1" x14ac:dyDescent="0.25">
      <c r="A282" t="str">
        <f>Funktional!A282</f>
        <v>Dozwil-Kesswil-Uttwil</v>
      </c>
      <c r="B282" t="str">
        <f>Funktional!B282</f>
        <v>OSG</v>
      </c>
      <c r="C282">
        <v>0.1774</v>
      </c>
      <c r="D282">
        <v>5.28E-2</v>
      </c>
      <c r="E282" s="26">
        <f t="shared" si="97"/>
        <v>4027836.8</v>
      </c>
      <c r="F282">
        <v>3420681.85</v>
      </c>
      <c r="G282">
        <v>607154.94999999995</v>
      </c>
      <c r="H282">
        <v>2557.3000000000002</v>
      </c>
      <c r="I282" s="42">
        <f t="shared" si="98"/>
        <v>6.3490655827962053E-4</v>
      </c>
      <c r="J282" s="80">
        <f t="shared" si="99"/>
        <v>16000</v>
      </c>
      <c r="K282" s="43">
        <f>J282*'KiGa - PS'!L283</f>
        <v>16000</v>
      </c>
      <c r="L282" s="42">
        <f>K282/Funktional!E282</f>
        <v>9.2131649101527841E-3</v>
      </c>
      <c r="M282">
        <v>50</v>
      </c>
      <c r="N282" s="43">
        <f>K282/Funktional!C282</f>
        <v>3200</v>
      </c>
      <c r="O282" s="44">
        <f>K282/Funktional!D282</f>
        <v>149.53271028037383</v>
      </c>
      <c r="P282">
        <v>4500</v>
      </c>
      <c r="Q282">
        <v>0</v>
      </c>
      <c r="R282">
        <v>200</v>
      </c>
      <c r="S282" s="43">
        <f t="shared" si="100"/>
        <v>4700</v>
      </c>
      <c r="T282">
        <v>6000</v>
      </c>
      <c r="U282">
        <v>0</v>
      </c>
      <c r="V282">
        <v>600</v>
      </c>
      <c r="W282" s="43">
        <f t="shared" si="101"/>
        <v>6600</v>
      </c>
      <c r="X282">
        <v>4700</v>
      </c>
      <c r="Y282" s="110"/>
      <c r="Z282" s="110"/>
      <c r="AA282" s="110"/>
      <c r="AB282" s="110"/>
      <c r="AC282" s="110"/>
      <c r="AD282" s="110"/>
      <c r="AE282" s="110"/>
      <c r="AF282" s="110"/>
      <c r="AG282" s="110"/>
      <c r="AH282" s="110"/>
      <c r="AI282" s="110"/>
      <c r="AJ282" s="110"/>
      <c r="AK282" s="110"/>
      <c r="AL282" s="110"/>
      <c r="AM282" s="110"/>
      <c r="AN282" s="110"/>
      <c r="AO282" s="110"/>
      <c r="AP282" s="110"/>
      <c r="AQ282" s="110"/>
      <c r="AR282" s="110"/>
      <c r="AS282" s="110"/>
      <c r="AT282" s="110"/>
      <c r="AU282" s="110"/>
      <c r="AV282" s="110"/>
      <c r="AW282" s="110"/>
      <c r="AX282" s="110"/>
      <c r="AY282" s="110"/>
      <c r="AZ282" s="110"/>
      <c r="BA282" s="110"/>
      <c r="BB282" s="110"/>
      <c r="BC282" s="110"/>
      <c r="BD282" s="110"/>
      <c r="BE282" s="110"/>
      <c r="BF282" s="110"/>
      <c r="BG282" s="110"/>
      <c r="BH282" s="110"/>
      <c r="BI282" s="110"/>
      <c r="BJ282" s="110"/>
      <c r="BK282" s="110"/>
      <c r="BL282" s="110"/>
      <c r="BM282" s="110"/>
      <c r="BN282" s="110"/>
      <c r="BO282" s="110"/>
      <c r="BP282" s="110"/>
      <c r="BQ282" s="110"/>
      <c r="BR282" s="110"/>
      <c r="BS282" s="110"/>
      <c r="BT282" s="110"/>
      <c r="BU282" s="110"/>
      <c r="BV282" s="110"/>
      <c r="BW282" s="110"/>
      <c r="BX282" s="110"/>
      <c r="BY282" s="110"/>
      <c r="BZ282" s="110"/>
      <c r="CA282" s="110"/>
      <c r="CB282" s="110"/>
      <c r="CC282" s="110"/>
      <c r="CD282" s="110"/>
      <c r="CE282" s="110"/>
      <c r="CF282" s="110"/>
    </row>
    <row r="283" spans="1:84" s="45" customFormat="1" x14ac:dyDescent="0.25">
      <c r="A283" t="str">
        <f>Funktional!A283</f>
        <v>Ermatingen</v>
      </c>
      <c r="B283" t="str">
        <f>Funktional!B283</f>
        <v>OSG</v>
      </c>
      <c r="C283">
        <v>0.25990000000000002</v>
      </c>
      <c r="D283">
        <v>6.7599999999999993E-2</v>
      </c>
      <c r="E283" s="26">
        <f t="shared" si="97"/>
        <v>6084942.9300000006</v>
      </c>
      <c r="F283">
        <v>5275677.9000000004</v>
      </c>
      <c r="G283">
        <v>809265.03</v>
      </c>
      <c r="H283">
        <v>32192.16</v>
      </c>
      <c r="I283" s="42">
        <f t="shared" si="98"/>
        <v>5.2904621079165976E-3</v>
      </c>
      <c r="J283" s="80">
        <f t="shared" si="99"/>
        <v>29784</v>
      </c>
      <c r="K283" s="43">
        <f>J283*'KiGa - PS'!L284</f>
        <v>29784</v>
      </c>
      <c r="L283" s="42">
        <f>K283/Funktional!E283</f>
        <v>1.2853000401841825E-2</v>
      </c>
      <c r="M283">
        <v>75</v>
      </c>
      <c r="N283" s="43">
        <f>K283/Funktional!C283</f>
        <v>4964</v>
      </c>
      <c r="O283" s="44">
        <f>K283/Funktional!D283</f>
        <v>244.13114754098362</v>
      </c>
      <c r="P283">
        <v>6000</v>
      </c>
      <c r="Q283">
        <v>0</v>
      </c>
      <c r="R283">
        <v>0</v>
      </c>
      <c r="S283" s="43">
        <f t="shared" si="100"/>
        <v>6000</v>
      </c>
      <c r="T283">
        <v>17184</v>
      </c>
      <c r="U283">
        <v>0</v>
      </c>
      <c r="V283">
        <v>2400</v>
      </c>
      <c r="W283" s="43">
        <f t="shared" si="101"/>
        <v>19584</v>
      </c>
      <c r="X283">
        <v>4200</v>
      </c>
      <c r="Y283" s="110"/>
      <c r="Z283" s="110"/>
      <c r="AA283" s="110"/>
      <c r="AB283" s="110"/>
      <c r="AC283" s="110"/>
      <c r="AD283" s="110"/>
      <c r="AE283" s="110"/>
      <c r="AF283" s="110"/>
      <c r="AG283" s="110"/>
      <c r="AH283" s="110"/>
      <c r="AI283" s="110"/>
      <c r="AJ283" s="110"/>
      <c r="AK283" s="110"/>
      <c r="AL283" s="110"/>
      <c r="AM283" s="110"/>
      <c r="AN283" s="110"/>
      <c r="AO283" s="110"/>
      <c r="AP283" s="110"/>
      <c r="AQ283" s="110"/>
      <c r="AR283" s="110"/>
      <c r="AS283" s="110"/>
      <c r="AT283" s="110"/>
      <c r="AU283" s="110"/>
      <c r="AV283" s="110"/>
      <c r="AW283" s="110"/>
      <c r="AX283" s="110"/>
      <c r="AY283" s="110"/>
      <c r="AZ283" s="110"/>
      <c r="BA283" s="110"/>
      <c r="BB283" s="110"/>
      <c r="BC283" s="110"/>
      <c r="BD283" s="110"/>
      <c r="BE283" s="110"/>
      <c r="BF283" s="110"/>
      <c r="BG283" s="110"/>
      <c r="BH283" s="110"/>
      <c r="BI283" s="110"/>
      <c r="BJ283" s="110"/>
      <c r="BK283" s="110"/>
      <c r="BL283" s="110"/>
      <c r="BM283" s="110"/>
      <c r="BN283" s="110"/>
      <c r="BO283" s="110"/>
      <c r="BP283" s="110"/>
      <c r="BQ283" s="110"/>
      <c r="BR283" s="110"/>
      <c r="BS283" s="110"/>
      <c r="BT283" s="110"/>
      <c r="BU283" s="110"/>
      <c r="BV283" s="110"/>
      <c r="BW283" s="110"/>
      <c r="BX283" s="110"/>
      <c r="BY283" s="110"/>
      <c r="BZ283" s="110"/>
      <c r="CA283" s="110"/>
      <c r="CB283" s="110"/>
      <c r="CC283" s="110"/>
      <c r="CD283" s="110"/>
      <c r="CE283" s="110"/>
      <c r="CF283" s="110"/>
    </row>
    <row r="284" spans="1:84" s="45" customFormat="1" x14ac:dyDescent="0.25">
      <c r="A284" t="str">
        <f>Funktional!A284</f>
        <v>Eschenz</v>
      </c>
      <c r="B284" t="str">
        <f>Funktional!B284</f>
        <v>OSG</v>
      </c>
      <c r="C284">
        <v>0.2447</v>
      </c>
      <c r="D284">
        <v>0.12089999999999999</v>
      </c>
      <c r="E284" s="26">
        <f t="shared" si="97"/>
        <v>9008709.1500000004</v>
      </c>
      <c r="F284">
        <v>3856885.9</v>
      </c>
      <c r="G284">
        <v>5151823.25</v>
      </c>
      <c r="H284">
        <v>1347.05</v>
      </c>
      <c r="I284" s="42">
        <f t="shared" si="98"/>
        <v>1.4952752692654086E-4</v>
      </c>
      <c r="J284" s="80">
        <f t="shared" si="99"/>
        <v>33300</v>
      </c>
      <c r="K284" s="43">
        <f>J284*'KiGa - PS'!L285</f>
        <v>33300</v>
      </c>
      <c r="L284" s="42">
        <f>K284/Funktional!E284</f>
        <v>1.6331450565569658E-2</v>
      </c>
      <c r="M284">
        <v>50</v>
      </c>
      <c r="N284" s="43">
        <f>K284/Funktional!C284</f>
        <v>4757.1428571428569</v>
      </c>
      <c r="O284" s="44">
        <f>K284/Funktional!D284</f>
        <v>239.568345323741</v>
      </c>
      <c r="P284">
        <v>7500</v>
      </c>
      <c r="Q284">
        <v>3000</v>
      </c>
      <c r="R284">
        <v>0</v>
      </c>
      <c r="S284" s="43">
        <f t="shared" si="100"/>
        <v>10500</v>
      </c>
      <c r="T284">
        <v>18000</v>
      </c>
      <c r="U284">
        <v>4000</v>
      </c>
      <c r="V284">
        <v>0</v>
      </c>
      <c r="W284" s="43">
        <f t="shared" si="101"/>
        <v>22000</v>
      </c>
      <c r="X284">
        <v>800</v>
      </c>
      <c r="Y284" s="110"/>
      <c r="Z284" s="110"/>
      <c r="AA284" s="110"/>
      <c r="AB284" s="110"/>
      <c r="AC284" s="110"/>
      <c r="AD284" s="110"/>
      <c r="AE284" s="110"/>
      <c r="AF284" s="110"/>
      <c r="AG284" s="110"/>
      <c r="AH284" s="110"/>
      <c r="AI284" s="110"/>
      <c r="AJ284" s="110"/>
      <c r="AK284" s="110"/>
      <c r="AL284" s="110"/>
      <c r="AM284" s="110"/>
      <c r="AN284" s="110"/>
      <c r="AO284" s="110"/>
      <c r="AP284" s="110"/>
      <c r="AQ284" s="110"/>
      <c r="AR284" s="110"/>
      <c r="AS284" s="110"/>
      <c r="AT284" s="110"/>
      <c r="AU284" s="110"/>
      <c r="AV284" s="110"/>
      <c r="AW284" s="110"/>
      <c r="AX284" s="110"/>
      <c r="AY284" s="110"/>
      <c r="AZ284" s="110"/>
      <c r="BA284" s="110"/>
      <c r="BB284" s="110"/>
      <c r="BC284" s="110"/>
      <c r="BD284" s="110"/>
      <c r="BE284" s="110"/>
      <c r="BF284" s="110"/>
      <c r="BG284" s="110"/>
      <c r="BH284" s="110"/>
      <c r="BI284" s="110"/>
      <c r="BJ284" s="110"/>
      <c r="BK284" s="110"/>
      <c r="BL284" s="110"/>
      <c r="BM284" s="110"/>
      <c r="BN284" s="110"/>
      <c r="BO284" s="110"/>
      <c r="BP284" s="110"/>
      <c r="BQ284" s="110"/>
      <c r="BR284" s="110"/>
      <c r="BS284" s="110"/>
      <c r="BT284" s="110"/>
      <c r="BU284" s="110"/>
      <c r="BV284" s="110"/>
      <c r="BW284" s="110"/>
      <c r="BX284" s="110"/>
      <c r="BY284" s="110"/>
      <c r="BZ284" s="110"/>
      <c r="CA284" s="110"/>
      <c r="CB284" s="110"/>
      <c r="CC284" s="110"/>
      <c r="CD284" s="110"/>
      <c r="CE284" s="110"/>
      <c r="CF284" s="110"/>
    </row>
    <row r="285" spans="1:84" s="45" customFormat="1" x14ac:dyDescent="0.25">
      <c r="A285" t="str">
        <f>Funktional!A285</f>
        <v>Fischingen</v>
      </c>
      <c r="B285" t="str">
        <f>Funktional!B285</f>
        <v>OSG</v>
      </c>
      <c r="C285">
        <v>9.9400000000000002E-2</v>
      </c>
      <c r="D285">
        <v>3.3099999999999997E-2</v>
      </c>
      <c r="E285" s="26">
        <f t="shared" si="97"/>
        <v>2955141.75</v>
      </c>
      <c r="F285">
        <v>2496923.7000000002</v>
      </c>
      <c r="G285">
        <v>458218.05</v>
      </c>
      <c r="H285">
        <v>24952.5</v>
      </c>
      <c r="I285" s="42">
        <f t="shared" si="98"/>
        <v>8.4437573933636174E-3</v>
      </c>
      <c r="J285" s="80">
        <f t="shared" si="99"/>
        <v>56000</v>
      </c>
      <c r="K285" s="43">
        <f>J285*'KiGa - PS'!L286</f>
        <v>56000</v>
      </c>
      <c r="L285" s="42">
        <f>K285/Funktional!E285</f>
        <v>2.3647815782163753E-2</v>
      </c>
      <c r="M285">
        <v>70</v>
      </c>
      <c r="N285" s="43">
        <f>K285/Funktional!C285</f>
        <v>7000</v>
      </c>
      <c r="O285" s="44">
        <f>K285/Funktional!D285</f>
        <v>405.79710144927537</v>
      </c>
      <c r="P285">
        <v>15000</v>
      </c>
      <c r="Q285">
        <v>1500</v>
      </c>
      <c r="R285">
        <v>4500</v>
      </c>
      <c r="S285" s="43">
        <f t="shared" si="100"/>
        <v>21000</v>
      </c>
      <c r="T285">
        <v>28000</v>
      </c>
      <c r="U285">
        <v>1500</v>
      </c>
      <c r="V285">
        <v>4500</v>
      </c>
      <c r="W285" s="43">
        <f t="shared" si="101"/>
        <v>34000</v>
      </c>
      <c r="X285">
        <v>1000</v>
      </c>
      <c r="Y285" s="110"/>
      <c r="Z285" s="110"/>
      <c r="AA285" s="110"/>
      <c r="AB285" s="110"/>
      <c r="AC285" s="110"/>
      <c r="AD285" s="110"/>
      <c r="AE285" s="110"/>
      <c r="AF285" s="110"/>
      <c r="AG285" s="110"/>
      <c r="AH285" s="110"/>
      <c r="AI285" s="110"/>
      <c r="AJ285" s="110"/>
      <c r="AK285" s="110"/>
      <c r="AL285" s="110"/>
      <c r="AM285" s="110"/>
      <c r="AN285" s="110"/>
      <c r="AO285" s="110"/>
      <c r="AP285" s="110"/>
      <c r="AQ285" s="110"/>
      <c r="AR285" s="110"/>
      <c r="AS285" s="110"/>
      <c r="AT285" s="110"/>
      <c r="AU285" s="110"/>
      <c r="AV285" s="110"/>
      <c r="AW285" s="110"/>
      <c r="AX285" s="110"/>
      <c r="AY285" s="110"/>
      <c r="AZ285" s="110"/>
      <c r="BA285" s="110"/>
      <c r="BB285" s="110"/>
      <c r="BC285" s="110"/>
      <c r="BD285" s="110"/>
      <c r="BE285" s="110"/>
      <c r="BF285" s="110"/>
      <c r="BG285" s="110"/>
      <c r="BH285" s="110"/>
      <c r="BI285" s="110"/>
      <c r="BJ285" s="110"/>
      <c r="BK285" s="110"/>
      <c r="BL285" s="110"/>
      <c r="BM285" s="110"/>
      <c r="BN285" s="110"/>
      <c r="BO285" s="110"/>
      <c r="BP285" s="110"/>
      <c r="BQ285" s="110"/>
      <c r="BR285" s="110"/>
      <c r="BS285" s="110"/>
      <c r="BT285" s="110"/>
      <c r="BU285" s="110"/>
      <c r="BV285" s="110"/>
      <c r="BW285" s="110"/>
      <c r="BX285" s="110"/>
      <c r="BY285" s="110"/>
      <c r="BZ285" s="110"/>
      <c r="CA285" s="110"/>
      <c r="CB285" s="110"/>
      <c r="CC285" s="110"/>
      <c r="CD285" s="110"/>
      <c r="CE285" s="110"/>
      <c r="CF285" s="110"/>
    </row>
    <row r="286" spans="1:84" s="45" customFormat="1" x14ac:dyDescent="0.25">
      <c r="A286" t="str">
        <f>Funktional!A286</f>
        <v>Frauenfeld</v>
      </c>
      <c r="B286" t="str">
        <f>Funktional!B286</f>
        <v>OSG</v>
      </c>
      <c r="C286">
        <v>0.16220000000000001</v>
      </c>
      <c r="D286">
        <v>6.1800000000000001E-2</v>
      </c>
      <c r="E286" s="26">
        <f t="shared" si="97"/>
        <v>25598419.800000001</v>
      </c>
      <c r="F286">
        <v>19391500</v>
      </c>
      <c r="G286">
        <v>6206919.7999999998</v>
      </c>
      <c r="H286">
        <v>59405.05</v>
      </c>
      <c r="I286" s="42">
        <f t="shared" si="98"/>
        <v>2.3206530115581587E-3</v>
      </c>
      <c r="J286" s="80">
        <f t="shared" si="99"/>
        <v>246600</v>
      </c>
      <c r="K286" s="43">
        <f>J286*'KiGa - PS'!L287</f>
        <v>246600</v>
      </c>
      <c r="L286" s="42">
        <f>K286/Funktional!E286</f>
        <v>1.4476344181610774E-2</v>
      </c>
      <c r="M286">
        <v>70</v>
      </c>
      <c r="N286" s="43">
        <f>K286/Funktional!C286</f>
        <v>4483.636363636364</v>
      </c>
      <c r="O286" s="44">
        <f>K286/Funktional!D286</f>
        <v>208.98305084745763</v>
      </c>
      <c r="P286">
        <v>0</v>
      </c>
      <c r="Q286">
        <v>0</v>
      </c>
      <c r="R286">
        <v>0</v>
      </c>
      <c r="S286" s="43">
        <f t="shared" si="100"/>
        <v>0</v>
      </c>
      <c r="T286">
        <v>0</v>
      </c>
      <c r="U286">
        <v>0</v>
      </c>
      <c r="V286">
        <v>0</v>
      </c>
      <c r="W286" s="43">
        <f t="shared" si="101"/>
        <v>0</v>
      </c>
      <c r="X286">
        <v>246600</v>
      </c>
      <c r="Y286" s="110"/>
      <c r="Z286" s="110"/>
      <c r="AA286" s="110"/>
      <c r="AB286" s="110"/>
      <c r="AC286" s="110"/>
      <c r="AD286" s="110"/>
      <c r="AE286" s="110"/>
      <c r="AF286" s="110"/>
      <c r="AG286" s="110"/>
      <c r="AH286" s="110"/>
      <c r="AI286" s="110"/>
      <c r="AJ286" s="110"/>
      <c r="AK286" s="110"/>
      <c r="AL286" s="110"/>
      <c r="AM286" s="110"/>
      <c r="AN286" s="110"/>
      <c r="AO286" s="110"/>
      <c r="AP286" s="110"/>
      <c r="AQ286" s="110"/>
      <c r="AR286" s="110"/>
      <c r="AS286" s="110"/>
      <c r="AT286" s="110"/>
      <c r="AU286" s="110"/>
      <c r="AV286" s="110"/>
      <c r="AW286" s="110"/>
      <c r="AX286" s="110"/>
      <c r="AY286" s="110"/>
      <c r="AZ286" s="110"/>
      <c r="BA286" s="110"/>
      <c r="BB286" s="110"/>
      <c r="BC286" s="110"/>
      <c r="BD286" s="110"/>
      <c r="BE286" s="110"/>
      <c r="BF286" s="110"/>
      <c r="BG286" s="110"/>
      <c r="BH286" s="110"/>
      <c r="BI286" s="110"/>
      <c r="BJ286" s="110"/>
      <c r="BK286" s="110"/>
      <c r="BL286" s="110"/>
      <c r="BM286" s="110"/>
      <c r="BN286" s="110"/>
      <c r="BO286" s="110"/>
      <c r="BP286" s="110"/>
      <c r="BQ286" s="110"/>
      <c r="BR286" s="110"/>
      <c r="BS286" s="110"/>
      <c r="BT286" s="110"/>
      <c r="BU286" s="110"/>
      <c r="BV286" s="110"/>
      <c r="BW286" s="110"/>
      <c r="BX286" s="110"/>
      <c r="BY286" s="110"/>
      <c r="BZ286" s="110"/>
      <c r="CA286" s="110"/>
      <c r="CB286" s="110"/>
      <c r="CC286" s="110"/>
      <c r="CD286" s="110"/>
      <c r="CE286" s="110"/>
      <c r="CF286" s="110"/>
    </row>
    <row r="287" spans="1:84" s="45" customFormat="1" x14ac:dyDescent="0.25">
      <c r="A287" t="str">
        <f>Funktional!A287</f>
        <v>Halingen</v>
      </c>
      <c r="B287" t="str">
        <f>Funktional!B287</f>
        <v>OSG</v>
      </c>
      <c r="C287">
        <v>0.18679999999999999</v>
      </c>
      <c r="D287">
        <v>6.0999999999999999E-2</v>
      </c>
      <c r="E287" s="26">
        <f t="shared" si="97"/>
        <v>7046516.5</v>
      </c>
      <c r="F287">
        <v>6358176</v>
      </c>
      <c r="G287">
        <v>688340.5</v>
      </c>
      <c r="H287">
        <v>18697</v>
      </c>
      <c r="I287" s="42">
        <f t="shared" si="98"/>
        <v>2.6533678023744072E-3</v>
      </c>
      <c r="J287" s="80">
        <f t="shared" si="99"/>
        <v>44000</v>
      </c>
      <c r="K287" s="43">
        <f>J287*'KiGa - PS'!L288</f>
        <v>44000</v>
      </c>
      <c r="L287" s="42">
        <f>K287/Funktional!E287</f>
        <v>1.456318648875219E-2</v>
      </c>
      <c r="M287">
        <v>70</v>
      </c>
      <c r="N287" s="43">
        <f>K287/Funktional!C287</f>
        <v>4888.8888888888887</v>
      </c>
      <c r="O287" s="44">
        <f>K287/Funktional!D287</f>
        <v>234.04255319148936</v>
      </c>
      <c r="P287">
        <v>11000</v>
      </c>
      <c r="Q287">
        <v>1000</v>
      </c>
      <c r="R287">
        <v>0</v>
      </c>
      <c r="S287" s="43">
        <f t="shared" si="100"/>
        <v>12000</v>
      </c>
      <c r="T287">
        <v>27000</v>
      </c>
      <c r="U287">
        <v>3000</v>
      </c>
      <c r="V287">
        <v>0</v>
      </c>
      <c r="W287" s="43">
        <f t="shared" si="101"/>
        <v>30000</v>
      </c>
      <c r="X287">
        <v>2000</v>
      </c>
      <c r="Y287" s="110"/>
      <c r="Z287" s="110"/>
      <c r="AA287" s="110"/>
      <c r="AB287" s="110"/>
      <c r="AC287" s="110"/>
      <c r="AD287" s="110"/>
      <c r="AE287" s="110"/>
      <c r="AF287" s="110"/>
      <c r="AG287" s="110"/>
      <c r="AH287" s="110"/>
      <c r="AI287" s="110"/>
      <c r="AJ287" s="110"/>
      <c r="AK287" s="110"/>
      <c r="AL287" s="110"/>
      <c r="AM287" s="110"/>
      <c r="AN287" s="110"/>
      <c r="AO287" s="110"/>
      <c r="AP287" s="110"/>
      <c r="AQ287" s="110"/>
      <c r="AR287" s="110"/>
      <c r="AS287" s="110"/>
      <c r="AT287" s="110"/>
      <c r="AU287" s="110"/>
      <c r="AV287" s="110"/>
      <c r="AW287" s="110"/>
      <c r="AX287" s="110"/>
      <c r="AY287" s="110"/>
      <c r="AZ287" s="110"/>
      <c r="BA287" s="110"/>
      <c r="BB287" s="110"/>
      <c r="BC287" s="110"/>
      <c r="BD287" s="110"/>
      <c r="BE287" s="110"/>
      <c r="BF287" s="110"/>
      <c r="BG287" s="110"/>
      <c r="BH287" s="110"/>
      <c r="BI287" s="110"/>
      <c r="BJ287" s="110"/>
      <c r="BK287" s="110"/>
      <c r="BL287" s="110"/>
      <c r="BM287" s="110"/>
      <c r="BN287" s="110"/>
      <c r="BO287" s="110"/>
      <c r="BP287" s="110"/>
      <c r="BQ287" s="110"/>
      <c r="BR287" s="110"/>
      <c r="BS287" s="110"/>
      <c r="BT287" s="110"/>
      <c r="BU287" s="110"/>
      <c r="BV287" s="110"/>
      <c r="BW287" s="110"/>
      <c r="BX287" s="110"/>
      <c r="BY287" s="110"/>
      <c r="BZ287" s="110"/>
      <c r="CA287" s="110"/>
      <c r="CB287" s="110"/>
      <c r="CC287" s="110"/>
      <c r="CD287" s="110"/>
      <c r="CE287" s="110"/>
      <c r="CF287" s="110"/>
    </row>
    <row r="288" spans="1:84" s="45" customFormat="1" x14ac:dyDescent="0.25">
      <c r="A288" t="str">
        <f>Funktional!A288</f>
        <v>Hüttwilen</v>
      </c>
      <c r="B288" t="str">
        <f>Funktional!B288</f>
        <v>OSG</v>
      </c>
      <c r="C288">
        <v>0.1807</v>
      </c>
      <c r="D288">
        <v>5.8599999999999999E-2</v>
      </c>
      <c r="E288" s="26">
        <f t="shared" si="97"/>
        <v>3900948.6</v>
      </c>
      <c r="F288">
        <v>3546601</v>
      </c>
      <c r="G288">
        <v>354347.6</v>
      </c>
      <c r="H288">
        <v>2830.9</v>
      </c>
      <c r="I288" s="42">
        <f t="shared" si="98"/>
        <v>7.2569528344977423E-4</v>
      </c>
      <c r="J288" s="80">
        <f t="shared" si="99"/>
        <v>36000</v>
      </c>
      <c r="K288" s="43">
        <f>J288*'KiGa - PS'!L289</f>
        <v>36000</v>
      </c>
      <c r="L288" s="42">
        <f>K288/Funktional!E288</f>
        <v>1.552377842902424E-2</v>
      </c>
      <c r="M288">
        <v>80</v>
      </c>
      <c r="N288" s="43">
        <f>K288/Funktional!C288</f>
        <v>4000</v>
      </c>
      <c r="O288" s="44">
        <f>K288/Funktional!D288</f>
        <v>196.72131147540983</v>
      </c>
      <c r="P288">
        <v>8000</v>
      </c>
      <c r="Q288">
        <v>1000</v>
      </c>
      <c r="R288">
        <v>1000</v>
      </c>
      <c r="S288" s="43">
        <f t="shared" si="100"/>
        <v>10000</v>
      </c>
      <c r="T288">
        <v>21000</v>
      </c>
      <c r="U288">
        <v>2000</v>
      </c>
      <c r="V288">
        <v>2000</v>
      </c>
      <c r="W288" s="43">
        <f t="shared" si="101"/>
        <v>25000</v>
      </c>
      <c r="X288">
        <v>1000</v>
      </c>
      <c r="Y288" s="110"/>
      <c r="Z288" s="110"/>
      <c r="AA288" s="110"/>
      <c r="AB288" s="110"/>
      <c r="AC288" s="110"/>
      <c r="AD288" s="110"/>
      <c r="AE288" s="110"/>
      <c r="AF288" s="110"/>
      <c r="AG288" s="110"/>
      <c r="AH288" s="110"/>
      <c r="AI288" s="110"/>
      <c r="AJ288" s="110"/>
      <c r="AK288" s="110"/>
      <c r="AL288" s="110"/>
      <c r="AM288" s="110"/>
      <c r="AN288" s="110"/>
      <c r="AO288" s="110"/>
      <c r="AP288" s="110"/>
      <c r="AQ288" s="110"/>
      <c r="AR288" s="110"/>
      <c r="AS288" s="110"/>
      <c r="AT288" s="110"/>
      <c r="AU288" s="110"/>
      <c r="AV288" s="110"/>
      <c r="AW288" s="110"/>
      <c r="AX288" s="110"/>
      <c r="AY288" s="110"/>
      <c r="AZ288" s="110"/>
      <c r="BA288" s="110"/>
      <c r="BB288" s="110"/>
      <c r="BC288" s="110"/>
      <c r="BD288" s="110"/>
      <c r="BE288" s="110"/>
      <c r="BF288" s="110"/>
      <c r="BG288" s="110"/>
      <c r="BH288" s="110"/>
      <c r="BI288" s="110"/>
      <c r="BJ288" s="110"/>
      <c r="BK288" s="110"/>
      <c r="BL288" s="110"/>
      <c r="BM288" s="110"/>
      <c r="BN288" s="110"/>
      <c r="BO288" s="110"/>
      <c r="BP288" s="110"/>
      <c r="BQ288" s="110"/>
      <c r="BR288" s="110"/>
      <c r="BS288" s="110"/>
      <c r="BT288" s="110"/>
      <c r="BU288" s="110"/>
      <c r="BV288" s="110"/>
      <c r="BW288" s="110"/>
      <c r="BX288" s="110"/>
      <c r="BY288" s="110"/>
      <c r="BZ288" s="110"/>
      <c r="CA288" s="110"/>
      <c r="CB288" s="110"/>
      <c r="CC288" s="110"/>
      <c r="CD288" s="110"/>
      <c r="CE288" s="110"/>
      <c r="CF288" s="110"/>
    </row>
    <row r="289" spans="1:84" s="45" customFormat="1" x14ac:dyDescent="0.25">
      <c r="A289" t="str">
        <f>Funktional!A289</f>
        <v>Kreuzlingen</v>
      </c>
      <c r="B289" t="str">
        <f>Funktional!B289</f>
        <v>OSG</v>
      </c>
      <c r="C289">
        <v>4.24E-2</v>
      </c>
      <c r="D289">
        <v>1.6299999999999999E-2</v>
      </c>
      <c r="E289" s="26">
        <f t="shared" si="97"/>
        <v>18412091.16</v>
      </c>
      <c r="F289">
        <v>5865002</v>
      </c>
      <c r="G289">
        <v>12547089.16</v>
      </c>
      <c r="H289">
        <v>190365.6</v>
      </c>
      <c r="I289" s="42">
        <f t="shared" si="98"/>
        <v>1.0339162365954743E-2</v>
      </c>
      <c r="J289" s="80">
        <f t="shared" si="99"/>
        <v>216995</v>
      </c>
      <c r="K289" s="43">
        <f>J289*'KiGa - PS'!L290</f>
        <v>216995</v>
      </c>
      <c r="L289" s="42">
        <f>K289/Funktional!E289</f>
        <v>1.1273989321900983E-2</v>
      </c>
      <c r="M289">
        <v>74</v>
      </c>
      <c r="N289" s="43">
        <f>K289/Funktional!C289</f>
        <v>4931.704545454545</v>
      </c>
      <c r="O289" s="44">
        <f>K289/Funktional!D289</f>
        <v>311.32711621233858</v>
      </c>
      <c r="P289">
        <v>62400</v>
      </c>
      <c r="Q289">
        <v>3360</v>
      </c>
      <c r="R289">
        <v>0</v>
      </c>
      <c r="S289" s="43">
        <f t="shared" si="100"/>
        <v>65760</v>
      </c>
      <c r="T289">
        <v>145895</v>
      </c>
      <c r="U289">
        <v>1440</v>
      </c>
      <c r="V289">
        <v>0</v>
      </c>
      <c r="W289" s="43">
        <f t="shared" si="101"/>
        <v>147335</v>
      </c>
      <c r="X289">
        <v>3900</v>
      </c>
      <c r="Y289" s="110"/>
      <c r="Z289" s="110"/>
      <c r="AA289" s="110"/>
      <c r="AB289" s="110"/>
      <c r="AC289" s="110"/>
      <c r="AD289" s="110"/>
      <c r="AE289" s="110"/>
      <c r="AF289" s="110"/>
      <c r="AG289" s="110"/>
      <c r="AH289" s="110"/>
      <c r="AI289" s="110"/>
      <c r="AJ289" s="110"/>
      <c r="AK289" s="110"/>
      <c r="AL289" s="110"/>
      <c r="AM289" s="110"/>
      <c r="AN289" s="110"/>
      <c r="AO289" s="110"/>
      <c r="AP289" s="110"/>
      <c r="AQ289" s="110"/>
      <c r="AR289" s="110"/>
      <c r="AS289" s="110"/>
      <c r="AT289" s="110"/>
      <c r="AU289" s="110"/>
      <c r="AV289" s="110"/>
      <c r="AW289" s="110"/>
      <c r="AX289" s="110"/>
      <c r="AY289" s="110"/>
      <c r="AZ289" s="110"/>
      <c r="BA289" s="110"/>
      <c r="BB289" s="110"/>
      <c r="BC289" s="110"/>
      <c r="BD289" s="110"/>
      <c r="BE289" s="110"/>
      <c r="BF289" s="110"/>
      <c r="BG289" s="110"/>
      <c r="BH289" s="110"/>
      <c r="BI289" s="110"/>
      <c r="BJ289" s="110"/>
      <c r="BK289" s="110"/>
      <c r="BL289" s="110"/>
      <c r="BM289" s="110"/>
      <c r="BN289" s="110"/>
      <c r="BO289" s="110"/>
      <c r="BP289" s="110"/>
      <c r="BQ289" s="110"/>
      <c r="BR289" s="110"/>
      <c r="BS289" s="110"/>
      <c r="BT289" s="110"/>
      <c r="BU289" s="110"/>
      <c r="BV289" s="110"/>
      <c r="BW289" s="110"/>
      <c r="BX289" s="110"/>
      <c r="BY289" s="110"/>
      <c r="BZ289" s="110"/>
      <c r="CA289" s="110"/>
      <c r="CB289" s="110"/>
      <c r="CC289" s="110"/>
      <c r="CD289" s="110"/>
      <c r="CE289" s="110"/>
      <c r="CF289" s="110"/>
    </row>
    <row r="290" spans="1:84" s="45" customFormat="1" x14ac:dyDescent="0.25">
      <c r="A290" t="str">
        <f>Funktional!A290</f>
        <v>Müllheim</v>
      </c>
      <c r="B290" t="str">
        <f>Funktional!B290</f>
        <v>OSG</v>
      </c>
      <c r="C290">
        <v>0.2707</v>
      </c>
      <c r="D290">
        <v>0.11310000000000001</v>
      </c>
      <c r="E290" s="26">
        <f t="shared" si="97"/>
        <v>11462707.449999999</v>
      </c>
      <c r="F290">
        <v>10509440.85</v>
      </c>
      <c r="G290">
        <v>953266.6</v>
      </c>
      <c r="H290">
        <v>24812.3</v>
      </c>
      <c r="I290" s="42">
        <f t="shared" si="98"/>
        <v>2.1646107700323452E-3</v>
      </c>
      <c r="J290" s="80">
        <f t="shared" si="99"/>
        <v>66880</v>
      </c>
      <c r="K290" s="43">
        <f>J290*'KiGa - PS'!L291</f>
        <v>66880</v>
      </c>
      <c r="L290" s="42">
        <f>K290/Funktional!E290</f>
        <v>1.7896654713041069E-2</v>
      </c>
      <c r="M290">
        <v>70</v>
      </c>
      <c r="N290" s="43">
        <f>K290/Funktional!C290</f>
        <v>5573.333333333333</v>
      </c>
      <c r="O290" s="44">
        <f>K290/Funktional!D290</f>
        <v>275.22633744855966</v>
      </c>
      <c r="P290">
        <v>10240</v>
      </c>
      <c r="Q290">
        <v>1200</v>
      </c>
      <c r="R290">
        <v>4160</v>
      </c>
      <c r="S290" s="43">
        <f t="shared" si="100"/>
        <v>15600</v>
      </c>
      <c r="T290">
        <v>47780</v>
      </c>
      <c r="U290">
        <v>1000</v>
      </c>
      <c r="V290">
        <v>2000</v>
      </c>
      <c r="W290" s="43">
        <f t="shared" si="101"/>
        <v>50780</v>
      </c>
      <c r="X290">
        <v>500</v>
      </c>
      <c r="Y290" s="110"/>
      <c r="Z290" s="110"/>
      <c r="AA290" s="110"/>
      <c r="AB290" s="110"/>
      <c r="AC290" s="110"/>
      <c r="AD290" s="110"/>
      <c r="AE290" s="110"/>
      <c r="AF290" s="110"/>
      <c r="AG290" s="110"/>
      <c r="AH290" s="110"/>
      <c r="AI290" s="110"/>
      <c r="AJ290" s="110"/>
      <c r="AK290" s="110"/>
      <c r="AL290" s="110"/>
      <c r="AM290" s="110"/>
      <c r="AN290" s="110"/>
      <c r="AO290" s="110"/>
      <c r="AP290" s="110"/>
      <c r="AQ290" s="110"/>
      <c r="AR290" s="110"/>
      <c r="AS290" s="110"/>
      <c r="AT290" s="110"/>
      <c r="AU290" s="110"/>
      <c r="AV290" s="110"/>
      <c r="AW290" s="110"/>
      <c r="AX290" s="110"/>
      <c r="AY290" s="110"/>
      <c r="AZ290" s="110"/>
      <c r="BA290" s="110"/>
      <c r="BB290" s="110"/>
      <c r="BC290" s="110"/>
      <c r="BD290" s="110"/>
      <c r="BE290" s="110"/>
      <c r="BF290" s="110"/>
      <c r="BG290" s="110"/>
      <c r="BH290" s="110"/>
      <c r="BI290" s="110"/>
      <c r="BJ290" s="110"/>
      <c r="BK290" s="110"/>
      <c r="BL290" s="110"/>
      <c r="BM290" s="110"/>
      <c r="BN290" s="110"/>
      <c r="BO290" s="110"/>
      <c r="BP290" s="110"/>
      <c r="BQ290" s="110"/>
      <c r="BR290" s="110"/>
      <c r="BS290" s="110"/>
      <c r="BT290" s="110"/>
      <c r="BU290" s="110"/>
      <c r="BV290" s="110"/>
      <c r="BW290" s="110"/>
      <c r="BX290" s="110"/>
      <c r="BY290" s="110"/>
      <c r="BZ290" s="110"/>
      <c r="CA290" s="110"/>
      <c r="CB290" s="110"/>
      <c r="CC290" s="110"/>
      <c r="CD290" s="110"/>
      <c r="CE290" s="110"/>
      <c r="CF290" s="110"/>
    </row>
    <row r="291" spans="1:84" s="45" customFormat="1" x14ac:dyDescent="0.25">
      <c r="A291" t="str">
        <f>Funktional!A291</f>
        <v>Neukirch-Egnach</v>
      </c>
      <c r="B291" t="str">
        <f>Funktional!B291</f>
        <v>OSG</v>
      </c>
      <c r="C291">
        <v>9.1899999999999996E-2</v>
      </c>
      <c r="D291">
        <v>3.1399999999999997E-2</v>
      </c>
      <c r="E291" s="26">
        <f t="shared" si="97"/>
        <v>5597030.8499999996</v>
      </c>
      <c r="F291">
        <v>3953122.55</v>
      </c>
      <c r="G291">
        <v>1643908.3</v>
      </c>
      <c r="H291">
        <v>19540.25</v>
      </c>
      <c r="I291" s="42">
        <f t="shared" si="98"/>
        <v>3.4911814002240135E-3</v>
      </c>
      <c r="J291" s="80">
        <f t="shared" si="99"/>
        <v>67345</v>
      </c>
      <c r="K291" s="43">
        <f>J291*'KiGa - PS'!L292</f>
        <v>67345</v>
      </c>
      <c r="L291" s="42">
        <f>K291/Funktional!E291</f>
        <v>1.6619313735244005E-2</v>
      </c>
      <c r="M291">
        <v>60</v>
      </c>
      <c r="N291" s="43">
        <f>K291/Funktional!C291</f>
        <v>6734.5</v>
      </c>
      <c r="O291" s="44">
        <f>K291/Funktional!D291</f>
        <v>340.12626262626264</v>
      </c>
      <c r="P291">
        <v>19046</v>
      </c>
      <c r="Q291">
        <v>3149</v>
      </c>
      <c r="R291">
        <v>2400</v>
      </c>
      <c r="S291" s="43">
        <f t="shared" si="100"/>
        <v>24595</v>
      </c>
      <c r="T291">
        <v>33000</v>
      </c>
      <c r="U291">
        <v>0</v>
      </c>
      <c r="V291">
        <v>3000</v>
      </c>
      <c r="W291" s="43">
        <f t="shared" si="101"/>
        <v>36000</v>
      </c>
      <c r="X291">
        <v>6750</v>
      </c>
      <c r="Y291" s="110"/>
      <c r="Z291" s="110"/>
      <c r="AA291" s="110"/>
      <c r="AB291" s="110"/>
      <c r="AC291" s="110"/>
      <c r="AD291" s="110"/>
      <c r="AE291" s="110"/>
      <c r="AF291" s="110"/>
      <c r="AG291" s="110"/>
      <c r="AH291" s="110"/>
      <c r="AI291" s="110"/>
      <c r="AJ291" s="110"/>
      <c r="AK291" s="110"/>
      <c r="AL291" s="110"/>
      <c r="AM291" s="110"/>
      <c r="AN291" s="110"/>
      <c r="AO291" s="110"/>
      <c r="AP291" s="110"/>
      <c r="AQ291" s="110"/>
      <c r="AR291" s="110"/>
      <c r="AS291" s="110"/>
      <c r="AT291" s="110"/>
      <c r="AU291" s="110"/>
      <c r="AV291" s="110"/>
      <c r="AW291" s="110"/>
      <c r="AX291" s="110"/>
      <c r="AY291" s="110"/>
      <c r="AZ291" s="110"/>
      <c r="BA291" s="110"/>
      <c r="BB291" s="110"/>
      <c r="BC291" s="110"/>
      <c r="BD291" s="110"/>
      <c r="BE291" s="110"/>
      <c r="BF291" s="110"/>
      <c r="BG291" s="110"/>
      <c r="BH291" s="110"/>
      <c r="BI291" s="110"/>
      <c r="BJ291" s="110"/>
      <c r="BK291" s="110"/>
      <c r="BL291" s="110"/>
      <c r="BM291" s="110"/>
      <c r="BN291" s="110"/>
      <c r="BO291" s="110"/>
      <c r="BP291" s="110"/>
      <c r="BQ291" s="110"/>
      <c r="BR291" s="110"/>
      <c r="BS291" s="110"/>
      <c r="BT291" s="110"/>
      <c r="BU291" s="110"/>
      <c r="BV291" s="110"/>
      <c r="BW291" s="110"/>
      <c r="BX291" s="110"/>
      <c r="BY291" s="110"/>
      <c r="BZ291" s="110"/>
      <c r="CA291" s="110"/>
      <c r="CB291" s="110"/>
      <c r="CC291" s="110"/>
      <c r="CD291" s="110"/>
      <c r="CE291" s="110"/>
      <c r="CF291" s="110"/>
    </row>
    <row r="292" spans="1:84" s="45" customFormat="1" x14ac:dyDescent="0.25">
      <c r="A292" t="str">
        <f>Funktional!A292</f>
        <v>Rickenbach</v>
      </c>
      <c r="B292" t="str">
        <f>Funktional!B292</f>
        <v>OSG</v>
      </c>
      <c r="C292">
        <v>0.15479999999999999</v>
      </c>
      <c r="D292">
        <v>5.2200000000000003E-2</v>
      </c>
      <c r="E292" s="26">
        <f t="shared" si="97"/>
        <v>8340443.2999999998</v>
      </c>
      <c r="F292">
        <v>7396598.4500000002</v>
      </c>
      <c r="G292">
        <v>943844.85</v>
      </c>
      <c r="H292">
        <v>26916.45</v>
      </c>
      <c r="I292" s="42">
        <f t="shared" si="98"/>
        <v>3.2272205483370414E-3</v>
      </c>
      <c r="J292" s="80">
        <f t="shared" si="99"/>
        <v>33440</v>
      </c>
      <c r="K292" s="43">
        <f>J292*'KiGa - PS'!L293</f>
        <v>33440</v>
      </c>
      <c r="L292" s="42">
        <f>K292/Funktional!E292</f>
        <v>1.1010733654337048E-2</v>
      </c>
      <c r="M292">
        <v>75</v>
      </c>
      <c r="N292" s="43">
        <f>K292/Funktional!C292</f>
        <v>2786.6666666666665</v>
      </c>
      <c r="O292" s="44">
        <f>K292/Funktional!D292</f>
        <v>182.73224043715848</v>
      </c>
      <c r="P292">
        <v>6408</v>
      </c>
      <c r="Q292">
        <v>2786</v>
      </c>
      <c r="R292">
        <v>2136</v>
      </c>
      <c r="S292" s="43">
        <f t="shared" si="100"/>
        <v>11330</v>
      </c>
      <c r="T292">
        <v>10986</v>
      </c>
      <c r="U292">
        <v>3662</v>
      </c>
      <c r="V292">
        <v>3662</v>
      </c>
      <c r="W292" s="43">
        <f t="shared" si="101"/>
        <v>18310</v>
      </c>
      <c r="X292">
        <v>3800</v>
      </c>
      <c r="Y292" s="110"/>
      <c r="Z292" s="110"/>
      <c r="AA292" s="110"/>
      <c r="AB292" s="110"/>
      <c r="AC292" s="110"/>
      <c r="AD292" s="110"/>
      <c r="AE292" s="110"/>
      <c r="AF292" s="110"/>
      <c r="AG292" s="110"/>
      <c r="AH292" s="110"/>
      <c r="AI292" s="110"/>
      <c r="AJ292" s="110"/>
      <c r="AK292" s="110"/>
      <c r="AL292" s="110"/>
      <c r="AM292" s="110"/>
      <c r="AN292" s="110"/>
      <c r="AO292" s="110"/>
      <c r="AP292" s="110"/>
      <c r="AQ292" s="110"/>
      <c r="AR292" s="110"/>
      <c r="AS292" s="110"/>
      <c r="AT292" s="110"/>
      <c r="AU292" s="110"/>
      <c r="AV292" s="110"/>
      <c r="AW292" s="110"/>
      <c r="AX292" s="110"/>
      <c r="AY292" s="110"/>
      <c r="AZ292" s="110"/>
      <c r="BA292" s="110"/>
      <c r="BB292" s="110"/>
      <c r="BC292" s="110"/>
      <c r="BD292" s="110"/>
      <c r="BE292" s="110"/>
      <c r="BF292" s="110"/>
      <c r="BG292" s="110"/>
      <c r="BH292" s="110"/>
      <c r="BI292" s="110"/>
      <c r="BJ292" s="110"/>
      <c r="BK292" s="110"/>
      <c r="BL292" s="110"/>
      <c r="BM292" s="110"/>
      <c r="BN292" s="110"/>
      <c r="BO292" s="110"/>
      <c r="BP292" s="110"/>
      <c r="BQ292" s="110"/>
      <c r="BR292" s="110"/>
      <c r="BS292" s="110"/>
      <c r="BT292" s="110"/>
      <c r="BU292" s="110"/>
      <c r="BV292" s="110"/>
      <c r="BW292" s="110"/>
      <c r="BX292" s="110"/>
      <c r="BY292" s="110"/>
      <c r="BZ292" s="110"/>
      <c r="CA292" s="110"/>
      <c r="CB292" s="110"/>
      <c r="CC292" s="110"/>
      <c r="CD292" s="110"/>
      <c r="CE292" s="110"/>
      <c r="CF292" s="110"/>
    </row>
    <row r="293" spans="1:84" s="45" customFormat="1" x14ac:dyDescent="0.25">
      <c r="A293" t="str">
        <f>Funktional!A293</f>
        <v>Romanshorn-Salmsach</v>
      </c>
      <c r="B293" t="str">
        <f>Funktional!B293</f>
        <v>OSG</v>
      </c>
      <c r="C293">
        <v>4.48E-2</v>
      </c>
      <c r="D293">
        <v>1.9099999999999999E-2</v>
      </c>
      <c r="E293" s="26">
        <f t="shared" si="97"/>
        <v>3812331.8600000003</v>
      </c>
      <c r="F293">
        <v>2450001</v>
      </c>
      <c r="G293">
        <v>1362330.86</v>
      </c>
      <c r="H293">
        <v>19322.849999999999</v>
      </c>
      <c r="I293" s="42">
        <f t="shared" si="98"/>
        <v>5.0685120576045538E-3</v>
      </c>
      <c r="J293" s="80">
        <f t="shared" si="99"/>
        <v>96985</v>
      </c>
      <c r="K293" s="43">
        <f>J293*'KiGa - PS'!L294</f>
        <v>96985</v>
      </c>
      <c r="L293" s="42">
        <f>K293/Funktional!E293</f>
        <v>1.7030915395292341E-2</v>
      </c>
      <c r="M293">
        <v>75</v>
      </c>
      <c r="N293" s="43">
        <f>K293/Funktional!C293</f>
        <v>4408.409090909091</v>
      </c>
      <c r="O293" s="44">
        <f>K293/Funktional!D293</f>
        <v>264.9863387978142</v>
      </c>
      <c r="P293">
        <v>25179</v>
      </c>
      <c r="Q293">
        <v>2000</v>
      </c>
      <c r="R293">
        <v>2600</v>
      </c>
      <c r="S293" s="43">
        <f t="shared" si="100"/>
        <v>29779</v>
      </c>
      <c r="T293">
        <v>64606</v>
      </c>
      <c r="U293">
        <v>600</v>
      </c>
      <c r="V293">
        <v>2000</v>
      </c>
      <c r="W293" s="43">
        <f t="shared" si="101"/>
        <v>67206</v>
      </c>
      <c r="X293">
        <v>0</v>
      </c>
      <c r="Y293" s="110"/>
      <c r="Z293" s="110"/>
      <c r="AA293" s="110"/>
      <c r="AB293" s="110"/>
      <c r="AC293" s="110"/>
      <c r="AD293" s="110"/>
      <c r="AE293" s="110"/>
      <c r="AF293" s="110"/>
      <c r="AG293" s="110"/>
      <c r="AH293" s="110"/>
      <c r="AI293" s="110"/>
      <c r="AJ293" s="110"/>
      <c r="AK293" s="110"/>
      <c r="AL293" s="110"/>
      <c r="AM293" s="110"/>
      <c r="AN293" s="110"/>
      <c r="AO293" s="110"/>
      <c r="AP293" s="110"/>
      <c r="AQ293" s="110"/>
      <c r="AR293" s="110"/>
      <c r="AS293" s="110"/>
      <c r="AT293" s="110"/>
      <c r="AU293" s="110"/>
      <c r="AV293" s="110"/>
      <c r="AW293" s="110"/>
      <c r="AX293" s="110"/>
      <c r="AY293" s="110"/>
      <c r="AZ293" s="110"/>
      <c r="BA293" s="110"/>
      <c r="BB293" s="110"/>
      <c r="BC293" s="110"/>
      <c r="BD293" s="110"/>
      <c r="BE293" s="110"/>
      <c r="BF293" s="110"/>
      <c r="BG293" s="110"/>
      <c r="BH293" s="110"/>
      <c r="BI293" s="110"/>
      <c r="BJ293" s="110"/>
      <c r="BK293" s="110"/>
      <c r="BL293" s="110"/>
      <c r="BM293" s="110"/>
      <c r="BN293" s="110"/>
      <c r="BO293" s="110"/>
      <c r="BP293" s="110"/>
      <c r="BQ293" s="110"/>
      <c r="BR293" s="110"/>
      <c r="BS293" s="110"/>
      <c r="BT293" s="110"/>
      <c r="BU293" s="110"/>
      <c r="BV293" s="110"/>
      <c r="BW293" s="110"/>
      <c r="BX293" s="110"/>
      <c r="BY293" s="110"/>
      <c r="BZ293" s="110"/>
      <c r="CA293" s="110"/>
      <c r="CB293" s="110"/>
      <c r="CC293" s="110"/>
      <c r="CD293" s="110"/>
      <c r="CE293" s="110"/>
      <c r="CF293" s="110"/>
    </row>
    <row r="294" spans="1:84" s="45" customFormat="1" x14ac:dyDescent="0.25">
      <c r="A294" t="str">
        <f>Funktional!A294</f>
        <v>Schönholzerswilen</v>
      </c>
      <c r="B294" t="str">
        <f>Funktional!B294</f>
        <v>OSG</v>
      </c>
      <c r="C294">
        <v>3.4599999999999999E-2</v>
      </c>
      <c r="D294">
        <v>9.2999999999999992E-3</v>
      </c>
      <c r="E294" s="26">
        <f t="shared" si="97"/>
        <v>1602364.75</v>
      </c>
      <c r="F294">
        <v>940560</v>
      </c>
      <c r="G294">
        <v>661804.75</v>
      </c>
      <c r="H294">
        <v>2174.9</v>
      </c>
      <c r="I294" s="42">
        <f t="shared" si="98"/>
        <v>1.3573064434923448E-3</v>
      </c>
      <c r="J294" s="80">
        <f t="shared" si="99"/>
        <v>27300</v>
      </c>
      <c r="K294" s="43">
        <f>J294*'KiGa - PS'!L295</f>
        <v>27300</v>
      </c>
      <c r="L294" s="42">
        <f>K294/Funktional!E294</f>
        <v>1.3407399145786607E-2</v>
      </c>
      <c r="M294">
        <v>50</v>
      </c>
      <c r="N294" s="43">
        <f>K294/Funktional!C294</f>
        <v>3412.5</v>
      </c>
      <c r="O294" s="44">
        <f>K294/Funktional!D294</f>
        <v>197.82608695652175</v>
      </c>
      <c r="P294">
        <v>2000</v>
      </c>
      <c r="Q294">
        <v>500</v>
      </c>
      <c r="R294">
        <v>3000</v>
      </c>
      <c r="S294" s="43">
        <f t="shared" si="100"/>
        <v>5500</v>
      </c>
      <c r="T294">
        <v>15500</v>
      </c>
      <c r="U294">
        <v>700</v>
      </c>
      <c r="V294">
        <v>4800</v>
      </c>
      <c r="W294" s="43">
        <f t="shared" si="101"/>
        <v>21000</v>
      </c>
      <c r="X294">
        <v>800</v>
      </c>
      <c r="Y294" s="110"/>
      <c r="Z294" s="110"/>
      <c r="AA294" s="110"/>
      <c r="AB294" s="110"/>
      <c r="AC294" s="110"/>
      <c r="AD294" s="110"/>
      <c r="AE294" s="110"/>
      <c r="AF294" s="110"/>
      <c r="AG294" s="110"/>
      <c r="AH294" s="110"/>
      <c r="AI294" s="110"/>
      <c r="AJ294" s="110"/>
      <c r="AK294" s="110"/>
      <c r="AL294" s="110"/>
      <c r="AM294" s="110"/>
      <c r="AN294" s="110"/>
      <c r="AO294" s="110"/>
      <c r="AP294" s="110"/>
      <c r="AQ294" s="110"/>
      <c r="AR294" s="110"/>
      <c r="AS294" s="110"/>
      <c r="AT294" s="110"/>
      <c r="AU294" s="110"/>
      <c r="AV294" s="110"/>
      <c r="AW294" s="110"/>
      <c r="AX294" s="110"/>
      <c r="AY294" s="110"/>
      <c r="AZ294" s="110"/>
      <c r="BA294" s="110"/>
      <c r="BB294" s="110"/>
      <c r="BC294" s="110"/>
      <c r="BD294" s="110"/>
      <c r="BE294" s="110"/>
      <c r="BF294" s="110"/>
      <c r="BG294" s="110"/>
      <c r="BH294" s="110"/>
      <c r="BI294" s="110"/>
      <c r="BJ294" s="110"/>
      <c r="BK294" s="110"/>
      <c r="BL294" s="110"/>
      <c r="BM294" s="110"/>
      <c r="BN294" s="110"/>
      <c r="BO294" s="110"/>
      <c r="BP294" s="110"/>
      <c r="BQ294" s="110"/>
      <c r="BR294" s="110"/>
      <c r="BS294" s="110"/>
      <c r="BT294" s="110"/>
      <c r="BU294" s="110"/>
      <c r="BV294" s="110"/>
      <c r="BW294" s="110"/>
      <c r="BX294" s="110"/>
      <c r="BY294" s="110"/>
      <c r="BZ294" s="110"/>
      <c r="CA294" s="110"/>
      <c r="CB294" s="110"/>
      <c r="CC294" s="110"/>
      <c r="CD294" s="110"/>
      <c r="CE294" s="110"/>
      <c r="CF294" s="110"/>
    </row>
    <row r="295" spans="1:84" s="45" customFormat="1" x14ac:dyDescent="0.25">
      <c r="A295" t="str">
        <f>Funktional!A295</f>
        <v>Sirnach</v>
      </c>
      <c r="B295" t="str">
        <f>Funktional!B295</f>
        <v>OSG</v>
      </c>
      <c r="C295">
        <v>0.1711</v>
      </c>
      <c r="D295">
        <v>5.9200000000000003E-2</v>
      </c>
      <c r="E295" s="26">
        <f t="shared" ref="E295:E300" si="102">F295+G295</f>
        <v>8267682.5</v>
      </c>
      <c r="F295">
        <v>7409291.1500000004</v>
      </c>
      <c r="G295">
        <v>858391.35</v>
      </c>
      <c r="H295">
        <v>7245.9</v>
      </c>
      <c r="I295" s="42">
        <f t="shared" si="98"/>
        <v>8.7641246504083822E-4</v>
      </c>
      <c r="J295" s="80">
        <f t="shared" si="99"/>
        <v>74303</v>
      </c>
      <c r="K295" s="43">
        <f>J295*'KiGa - PS'!L296</f>
        <v>74303</v>
      </c>
      <c r="L295" s="42">
        <f>K295/Funktional!E295</f>
        <v>2.0113679387712347E-2</v>
      </c>
      <c r="M295">
        <v>65</v>
      </c>
      <c r="N295" s="43">
        <f>K295/Funktional!C295</f>
        <v>5307.3571428571431</v>
      </c>
      <c r="O295" s="44">
        <f>K295/Funktional!D295</f>
        <v>294.85317460317458</v>
      </c>
      <c r="P295">
        <v>24000</v>
      </c>
      <c r="Q295">
        <v>0</v>
      </c>
      <c r="R295">
        <v>0</v>
      </c>
      <c r="S295" s="43">
        <f t="shared" si="100"/>
        <v>24000</v>
      </c>
      <c r="T295">
        <v>43803</v>
      </c>
      <c r="U295">
        <v>0</v>
      </c>
      <c r="V295">
        <v>0</v>
      </c>
      <c r="W295" s="43">
        <f t="shared" si="101"/>
        <v>43803</v>
      </c>
      <c r="X295">
        <v>6500</v>
      </c>
      <c r="Y295" s="110"/>
      <c r="Z295" s="110"/>
      <c r="AA295" s="110"/>
      <c r="AB295" s="110"/>
      <c r="AC295" s="110"/>
      <c r="AD295" s="110"/>
      <c r="AE295" s="110"/>
      <c r="AF295" s="110"/>
      <c r="AG295" s="110"/>
      <c r="AH295" s="110"/>
      <c r="AI295" s="110"/>
      <c r="AJ295" s="110"/>
      <c r="AK295" s="110"/>
      <c r="AL295" s="110"/>
      <c r="AM295" s="110"/>
      <c r="AN295" s="110"/>
      <c r="AO295" s="110"/>
      <c r="AP295" s="110"/>
      <c r="AQ295" s="110"/>
      <c r="AR295" s="110"/>
      <c r="AS295" s="110"/>
      <c r="AT295" s="110"/>
      <c r="AU295" s="110"/>
      <c r="AV295" s="110"/>
      <c r="AW295" s="110"/>
      <c r="AX295" s="110"/>
      <c r="AY295" s="110"/>
      <c r="AZ295" s="110"/>
      <c r="BA295" s="110"/>
      <c r="BB295" s="110"/>
      <c r="BC295" s="110"/>
      <c r="BD295" s="110"/>
      <c r="BE295" s="110"/>
      <c r="BF295" s="110"/>
      <c r="BG295" s="110"/>
      <c r="BH295" s="110"/>
      <c r="BI295" s="110"/>
      <c r="BJ295" s="110"/>
      <c r="BK295" s="110"/>
      <c r="BL295" s="110"/>
      <c r="BM295" s="110"/>
      <c r="BN295" s="110"/>
      <c r="BO295" s="110"/>
      <c r="BP295" s="110"/>
      <c r="BQ295" s="110"/>
      <c r="BR295" s="110"/>
      <c r="BS295" s="110"/>
      <c r="BT295" s="110"/>
      <c r="BU295" s="110"/>
      <c r="BV295" s="110"/>
      <c r="BW295" s="110"/>
      <c r="BX295" s="110"/>
      <c r="BY295" s="110"/>
      <c r="BZ295" s="110"/>
      <c r="CA295" s="110"/>
      <c r="CB295" s="110"/>
      <c r="CC295" s="110"/>
      <c r="CD295" s="110"/>
      <c r="CE295" s="110"/>
      <c r="CF295" s="110"/>
    </row>
    <row r="296" spans="1:84" s="45" customFormat="1" x14ac:dyDescent="0.25">
      <c r="A296" t="str">
        <f>Funktional!A296</f>
        <v>Steckborn</v>
      </c>
      <c r="B296" t="str">
        <f>Funktional!B296</f>
        <v>OSG</v>
      </c>
      <c r="C296">
        <v>1.2999999999999999E-3</v>
      </c>
      <c r="D296">
        <v>1.2999999999999999E-3</v>
      </c>
      <c r="E296" s="26">
        <f t="shared" si="102"/>
        <v>916374.35</v>
      </c>
      <c r="F296">
        <v>73325.350000000006</v>
      </c>
      <c r="G296">
        <v>843049</v>
      </c>
      <c r="H296">
        <v>3899.95</v>
      </c>
      <c r="I296" s="42">
        <f t="shared" si="98"/>
        <v>4.2558480603478261E-3</v>
      </c>
      <c r="J296" s="80">
        <f t="shared" si="99"/>
        <v>62030</v>
      </c>
      <c r="K296" s="43">
        <f>J296*'KiGa - PS'!L297</f>
        <v>62030</v>
      </c>
      <c r="L296" s="42">
        <f>K296/Funktional!E296</f>
        <v>1.8021648348918635E-2</v>
      </c>
      <c r="M296">
        <v>70</v>
      </c>
      <c r="N296" s="43">
        <f>K296/Funktional!C296</f>
        <v>5169.166666666667</v>
      </c>
      <c r="O296" s="44">
        <f>K296/Funktional!D296</f>
        <v>304.06862745098039</v>
      </c>
      <c r="P296">
        <v>27600</v>
      </c>
      <c r="Q296">
        <v>0</v>
      </c>
      <c r="R296">
        <v>1800</v>
      </c>
      <c r="S296" s="43">
        <f t="shared" si="100"/>
        <v>29400</v>
      </c>
      <c r="T296">
        <v>18410</v>
      </c>
      <c r="U296">
        <v>0</v>
      </c>
      <c r="V296">
        <v>1770</v>
      </c>
      <c r="W296" s="43">
        <f t="shared" si="101"/>
        <v>20180</v>
      </c>
      <c r="X296">
        <v>12450</v>
      </c>
      <c r="Y296" s="110"/>
      <c r="Z296" s="110"/>
      <c r="AA296" s="110"/>
      <c r="AB296" s="110"/>
      <c r="AC296" s="110"/>
      <c r="AD296" s="110"/>
      <c r="AE296" s="110"/>
      <c r="AF296" s="110"/>
      <c r="AG296" s="110"/>
      <c r="AH296" s="110"/>
      <c r="AI296" s="110"/>
      <c r="AJ296" s="110"/>
      <c r="AK296" s="110"/>
      <c r="AL296" s="110"/>
      <c r="AM296" s="110"/>
      <c r="AN296" s="110"/>
      <c r="AO296" s="110"/>
      <c r="AP296" s="110"/>
      <c r="AQ296" s="110"/>
      <c r="AR296" s="110"/>
      <c r="AS296" s="110"/>
      <c r="AT296" s="110"/>
      <c r="AU296" s="110"/>
      <c r="AV296" s="110"/>
      <c r="AW296" s="110"/>
      <c r="AX296" s="110"/>
      <c r="AY296" s="110"/>
      <c r="AZ296" s="110"/>
      <c r="BA296" s="110"/>
      <c r="BB296" s="110"/>
      <c r="BC296" s="110"/>
      <c r="BD296" s="110"/>
      <c r="BE296" s="110"/>
      <c r="BF296" s="110"/>
      <c r="BG296" s="110"/>
      <c r="BH296" s="110"/>
      <c r="BI296" s="110"/>
      <c r="BJ296" s="110"/>
      <c r="BK296" s="110"/>
      <c r="BL296" s="110"/>
      <c r="BM296" s="110"/>
      <c r="BN296" s="110"/>
      <c r="BO296" s="110"/>
      <c r="BP296" s="110"/>
      <c r="BQ296" s="110"/>
      <c r="BR296" s="110"/>
      <c r="BS296" s="110"/>
      <c r="BT296" s="110"/>
      <c r="BU296" s="110"/>
      <c r="BV296" s="110"/>
      <c r="BW296" s="110"/>
      <c r="BX296" s="110"/>
      <c r="BY296" s="110"/>
      <c r="BZ296" s="110"/>
      <c r="CA296" s="110"/>
      <c r="CB296" s="110"/>
      <c r="CC296" s="110"/>
      <c r="CD296" s="110"/>
      <c r="CE296" s="110"/>
      <c r="CF296" s="110"/>
    </row>
    <row r="297" spans="1:84" s="45" customFormat="1" x14ac:dyDescent="0.25">
      <c r="A297" t="str">
        <f>Funktional!A297</f>
        <v>Sulgen-Schönenberg-Kradolf</v>
      </c>
      <c r="B297" t="str">
        <f>Funktional!B297</f>
        <v>OSG</v>
      </c>
      <c r="C297">
        <v>0.1022</v>
      </c>
      <c r="D297">
        <v>2.5499999999999998E-2</v>
      </c>
      <c r="E297" s="26">
        <f t="shared" si="102"/>
        <v>6529647.0499999998</v>
      </c>
      <c r="F297">
        <v>5147952.5999999996</v>
      </c>
      <c r="G297">
        <v>1381694.45</v>
      </c>
      <c r="H297">
        <v>20425.150000000001</v>
      </c>
      <c r="I297" s="42">
        <f t="shared" ref="I297:I300" si="103">H297/E297</f>
        <v>3.1280634073475688E-3</v>
      </c>
      <c r="J297" s="80">
        <f t="shared" ref="J297:J300" si="104">S297+W297+X297</f>
        <v>62700</v>
      </c>
      <c r="K297" s="43">
        <f>J297*'KiGa - PS'!L298</f>
        <v>62700</v>
      </c>
      <c r="L297" s="42">
        <f>K297/Funktional!E297</f>
        <v>1.4847995774549309E-2</v>
      </c>
      <c r="M297">
        <v>70</v>
      </c>
      <c r="N297" s="43">
        <f>K297/Funktional!C297</f>
        <v>4180</v>
      </c>
      <c r="O297" s="44">
        <f>K297/Funktional!D297</f>
        <v>237.5</v>
      </c>
      <c r="P297">
        <v>11900</v>
      </c>
      <c r="Q297">
        <v>2000</v>
      </c>
      <c r="R297">
        <v>4100</v>
      </c>
      <c r="S297" s="43">
        <f t="shared" ref="S297:S300" si="105">P297+Q297+R297</f>
        <v>18000</v>
      </c>
      <c r="T297">
        <v>39800</v>
      </c>
      <c r="U297">
        <v>600</v>
      </c>
      <c r="V297">
        <v>2200</v>
      </c>
      <c r="W297" s="43">
        <f t="shared" ref="W297:W300" si="106">T297+U297+V297</f>
        <v>42600</v>
      </c>
      <c r="X297">
        <v>2100</v>
      </c>
      <c r="Y297" s="110"/>
      <c r="Z297" s="110"/>
      <c r="AA297" s="110"/>
      <c r="AB297" s="110"/>
      <c r="AC297" s="110"/>
      <c r="AD297" s="110"/>
      <c r="AE297" s="110"/>
      <c r="AF297" s="110"/>
      <c r="AG297" s="110"/>
      <c r="AH297" s="110"/>
      <c r="AI297" s="110"/>
      <c r="AJ297" s="110"/>
      <c r="AK297" s="110"/>
      <c r="AL297" s="110"/>
      <c r="AM297" s="110"/>
      <c r="AN297" s="110"/>
      <c r="AO297" s="110"/>
      <c r="AP297" s="110"/>
      <c r="AQ297" s="110"/>
      <c r="AR297" s="110"/>
      <c r="AS297" s="110"/>
      <c r="AT297" s="110"/>
      <c r="AU297" s="110"/>
      <c r="AV297" s="110"/>
      <c r="AW297" s="110"/>
      <c r="AX297" s="110"/>
      <c r="AY297" s="110"/>
      <c r="AZ297" s="110"/>
      <c r="BA297" s="110"/>
      <c r="BB297" s="110"/>
      <c r="BC297" s="110"/>
      <c r="BD297" s="110"/>
      <c r="BE297" s="110"/>
      <c r="BF297" s="110"/>
      <c r="BG297" s="110"/>
      <c r="BH297" s="110"/>
      <c r="BI297" s="110"/>
      <c r="BJ297" s="110"/>
      <c r="BK297" s="110"/>
      <c r="BL297" s="110"/>
      <c r="BM297" s="110"/>
      <c r="BN297" s="110"/>
      <c r="BO297" s="110"/>
      <c r="BP297" s="110"/>
      <c r="BQ297" s="110"/>
      <c r="BR297" s="110"/>
      <c r="BS297" s="110"/>
      <c r="BT297" s="110"/>
      <c r="BU297" s="110"/>
      <c r="BV297" s="110"/>
      <c r="BW297" s="110"/>
      <c r="BX297" s="110"/>
      <c r="BY297" s="110"/>
      <c r="BZ297" s="110"/>
      <c r="CA297" s="110"/>
      <c r="CB297" s="110"/>
      <c r="CC297" s="110"/>
      <c r="CD297" s="110"/>
      <c r="CE297" s="110"/>
      <c r="CF297" s="110"/>
    </row>
    <row r="298" spans="1:84" s="45" customFormat="1" x14ac:dyDescent="0.25">
      <c r="A298" t="str">
        <f>Funktional!A298</f>
        <v>Tägerwilen</v>
      </c>
      <c r="B298" t="str">
        <f>Funktional!B298</f>
        <v>OSG</v>
      </c>
      <c r="C298">
        <v>8.4400000000000003E-2</v>
      </c>
      <c r="D298">
        <v>3.1099999999999999E-2</v>
      </c>
      <c r="E298" s="26">
        <f t="shared" si="102"/>
        <v>2867878</v>
      </c>
      <c r="F298">
        <v>1347000</v>
      </c>
      <c r="G298">
        <v>1520878</v>
      </c>
      <c r="H298">
        <v>1919.9</v>
      </c>
      <c r="I298" s="42">
        <f t="shared" si="103"/>
        <v>6.6944967672962386E-4</v>
      </c>
      <c r="J298" s="80">
        <f t="shared" si="104"/>
        <v>33304</v>
      </c>
      <c r="K298" s="43">
        <f>J298*'KiGa - PS'!L299</f>
        <v>33304</v>
      </c>
      <c r="L298" s="42">
        <f>K298/Funktional!E298</f>
        <v>1.7124889260780585E-2</v>
      </c>
      <c r="M298">
        <v>60</v>
      </c>
      <c r="N298" s="43">
        <f>K298/Funktional!C298</f>
        <v>4757.7142857142853</v>
      </c>
      <c r="O298" s="44">
        <f>K298/Funktional!D298</f>
        <v>270.76422764227641</v>
      </c>
      <c r="P298">
        <v>10200</v>
      </c>
      <c r="Q298">
        <v>0</v>
      </c>
      <c r="R298">
        <v>1000</v>
      </c>
      <c r="S298" s="43">
        <f t="shared" si="105"/>
        <v>11200</v>
      </c>
      <c r="T298">
        <v>20304</v>
      </c>
      <c r="U298">
        <v>0</v>
      </c>
      <c r="V298">
        <v>1800</v>
      </c>
      <c r="W298" s="43">
        <f t="shared" si="106"/>
        <v>22104</v>
      </c>
      <c r="X298">
        <v>0</v>
      </c>
      <c r="Y298" s="110"/>
      <c r="Z298" s="110"/>
      <c r="AA298" s="110"/>
      <c r="AB298" s="110"/>
      <c r="AC298" s="110"/>
      <c r="AD298" s="110"/>
      <c r="AE298" s="110"/>
      <c r="AF298" s="110"/>
      <c r="AG298" s="110"/>
      <c r="AH298" s="110"/>
      <c r="AI298" s="110"/>
      <c r="AJ298" s="110"/>
      <c r="AK298" s="110"/>
      <c r="AL298" s="110"/>
      <c r="AM298" s="110"/>
      <c r="AN298" s="110"/>
      <c r="AO298" s="110"/>
      <c r="AP298" s="110"/>
      <c r="AQ298" s="110"/>
      <c r="AR298" s="110"/>
      <c r="AS298" s="110"/>
      <c r="AT298" s="110"/>
      <c r="AU298" s="110"/>
      <c r="AV298" s="110"/>
      <c r="AW298" s="110"/>
      <c r="AX298" s="110"/>
      <c r="AY298" s="110"/>
      <c r="AZ298" s="110"/>
      <c r="BA298" s="110"/>
      <c r="BB298" s="110"/>
      <c r="BC298" s="110"/>
      <c r="BD298" s="110"/>
      <c r="BE298" s="110"/>
      <c r="BF298" s="110"/>
      <c r="BG298" s="110"/>
      <c r="BH298" s="110"/>
      <c r="BI298" s="110"/>
      <c r="BJ298" s="110"/>
      <c r="BK298" s="110"/>
      <c r="BL298" s="110"/>
      <c r="BM298" s="110"/>
      <c r="BN298" s="110"/>
      <c r="BO298" s="110"/>
      <c r="BP298" s="110"/>
      <c r="BQ298" s="110"/>
      <c r="BR298" s="110"/>
      <c r="BS298" s="110"/>
      <c r="BT298" s="110"/>
      <c r="BU298" s="110"/>
      <c r="BV298" s="110"/>
      <c r="BW298" s="110"/>
      <c r="BX298" s="110"/>
      <c r="BY298" s="110"/>
      <c r="BZ298" s="110"/>
      <c r="CA298" s="110"/>
      <c r="CB298" s="110"/>
      <c r="CC298" s="110"/>
      <c r="CD298" s="110"/>
      <c r="CE298" s="110"/>
      <c r="CF298" s="110"/>
    </row>
    <row r="299" spans="1:84" s="45" customFormat="1" x14ac:dyDescent="0.25">
      <c r="A299" t="str">
        <f>Funktional!A299</f>
        <v>Weinfelden</v>
      </c>
      <c r="B299" t="str">
        <f>Funktional!B299</f>
        <v>OSG</v>
      </c>
      <c r="C299">
        <v>0.1018</v>
      </c>
      <c r="D299">
        <v>2.4500000000000001E-2</v>
      </c>
      <c r="E299" s="26">
        <f t="shared" si="102"/>
        <v>11625141.9</v>
      </c>
      <c r="F299">
        <v>10369254.5</v>
      </c>
      <c r="G299">
        <v>1255887.3999999999</v>
      </c>
      <c r="H299">
        <v>40703.050000000003</v>
      </c>
      <c r="I299" s="42">
        <f t="shared" si="103"/>
        <v>3.5012948960218716E-3</v>
      </c>
      <c r="J299" s="80">
        <f t="shared" si="104"/>
        <v>143700</v>
      </c>
      <c r="K299" s="43">
        <f>J299*'KiGa - PS'!L300</f>
        <v>143700</v>
      </c>
      <c r="L299" s="42">
        <f>K299/Funktional!E299</f>
        <v>1.8692766330001317E-2</v>
      </c>
      <c r="M299">
        <v>60</v>
      </c>
      <c r="N299" s="43">
        <f>K299/Funktional!C299</f>
        <v>5748</v>
      </c>
      <c r="O299" s="44">
        <f>K299/Funktional!D299</f>
        <v>295.67901234567898</v>
      </c>
      <c r="P299">
        <v>42600</v>
      </c>
      <c r="Q299">
        <v>6000</v>
      </c>
      <c r="R299">
        <v>0</v>
      </c>
      <c r="S299" s="43">
        <f t="shared" si="105"/>
        <v>48600</v>
      </c>
      <c r="T299">
        <v>53000</v>
      </c>
      <c r="U299">
        <v>2400</v>
      </c>
      <c r="V299">
        <v>0</v>
      </c>
      <c r="W299" s="43">
        <f t="shared" si="106"/>
        <v>55400</v>
      </c>
      <c r="X299">
        <v>39700</v>
      </c>
      <c r="Y299" s="110"/>
      <c r="Z299" s="110"/>
      <c r="AA299" s="110"/>
      <c r="AB299" s="110"/>
      <c r="AC299" s="110"/>
      <c r="AD299" s="110"/>
      <c r="AE299" s="110"/>
      <c r="AF299" s="110"/>
      <c r="AG299" s="110"/>
      <c r="AH299" s="110"/>
      <c r="AI299" s="110"/>
      <c r="AJ299" s="110"/>
      <c r="AK299" s="110"/>
      <c r="AL299" s="110"/>
      <c r="AM299" s="110"/>
      <c r="AN299" s="110"/>
      <c r="AO299" s="110"/>
      <c r="AP299" s="110"/>
      <c r="AQ299" s="110"/>
      <c r="AR299" s="110"/>
      <c r="AS299" s="110"/>
      <c r="AT299" s="110"/>
      <c r="AU299" s="110"/>
      <c r="AV299" s="110"/>
      <c r="AW299" s="110"/>
      <c r="AX299" s="110"/>
      <c r="AY299" s="110"/>
      <c r="AZ299" s="110"/>
      <c r="BA299" s="110"/>
      <c r="BB299" s="110"/>
      <c r="BC299" s="110"/>
      <c r="BD299" s="110"/>
      <c r="BE299" s="110"/>
      <c r="BF299" s="110"/>
      <c r="BG299" s="110"/>
      <c r="BH299" s="110"/>
      <c r="BI299" s="110"/>
      <c r="BJ299" s="110"/>
      <c r="BK299" s="110"/>
      <c r="BL299" s="110"/>
      <c r="BM299" s="110"/>
      <c r="BN299" s="110"/>
      <c r="BO299" s="110"/>
      <c r="BP299" s="110"/>
      <c r="BQ299" s="110"/>
      <c r="BR299" s="110"/>
      <c r="BS299" s="110"/>
      <c r="BT299" s="110"/>
      <c r="BU299" s="110"/>
      <c r="BV299" s="110"/>
      <c r="BW299" s="110"/>
      <c r="BX299" s="110"/>
      <c r="BY299" s="110"/>
      <c r="BZ299" s="110"/>
      <c r="CA299" s="110"/>
      <c r="CB299" s="110"/>
      <c r="CC299" s="110"/>
      <c r="CD299" s="110"/>
      <c r="CE299" s="110"/>
      <c r="CF299" s="110"/>
    </row>
    <row r="300" spans="1:84" s="45" customFormat="1" x14ac:dyDescent="0.25">
      <c r="A300" t="str">
        <f>Funktional!A300</f>
        <v>Wigoltingen</v>
      </c>
      <c r="B300" t="str">
        <f>Funktional!B300</f>
        <v>OSG</v>
      </c>
      <c r="C300">
        <v>0.2296</v>
      </c>
      <c r="D300">
        <v>0.16700000000000001</v>
      </c>
      <c r="E300" s="26">
        <f t="shared" si="102"/>
        <v>7827146.2000000002</v>
      </c>
      <c r="F300">
        <v>3867119.85</v>
      </c>
      <c r="G300">
        <v>3960026.35</v>
      </c>
      <c r="H300">
        <v>5485</v>
      </c>
      <c r="I300" s="42">
        <f t="shared" si="103"/>
        <v>7.0076626395454325E-4</v>
      </c>
      <c r="J300" s="80">
        <f t="shared" si="104"/>
        <v>40800</v>
      </c>
      <c r="K300" s="43">
        <f>J300*'KiGa - PS'!L301</f>
        <v>40800</v>
      </c>
      <c r="L300" s="42">
        <f>K300/Funktional!E300</f>
        <v>1.3205941955321288E-2</v>
      </c>
      <c r="M300">
        <v>70</v>
      </c>
      <c r="N300" s="43">
        <f>K300/Funktional!C300</f>
        <v>5828.5714285714284</v>
      </c>
      <c r="O300" s="44">
        <f>K300/Funktional!D300</f>
        <v>266.66666666666669</v>
      </c>
      <c r="P300">
        <v>6500</v>
      </c>
      <c r="Q300">
        <v>0</v>
      </c>
      <c r="R300">
        <v>2000</v>
      </c>
      <c r="S300" s="43">
        <f t="shared" si="105"/>
        <v>8500</v>
      </c>
      <c r="T300">
        <v>23000</v>
      </c>
      <c r="U300">
        <v>0</v>
      </c>
      <c r="V300">
        <v>3000</v>
      </c>
      <c r="W300" s="43">
        <f t="shared" si="106"/>
        <v>26000</v>
      </c>
      <c r="X300">
        <v>6300</v>
      </c>
      <c r="Y300" s="110"/>
      <c r="Z300" s="110"/>
      <c r="AA300" s="110"/>
      <c r="AB300" s="110"/>
      <c r="AC300" s="110"/>
      <c r="AD300" s="110"/>
      <c r="AE300" s="110"/>
      <c r="AF300" s="110"/>
      <c r="AG300" s="110"/>
      <c r="AH300" s="110"/>
      <c r="AI300" s="110"/>
      <c r="AJ300" s="110"/>
      <c r="AK300" s="110"/>
      <c r="AL300" s="110"/>
      <c r="AM300" s="110"/>
      <c r="AN300" s="110"/>
      <c r="AO300" s="110"/>
      <c r="AP300" s="110"/>
      <c r="AQ300" s="110"/>
      <c r="AR300" s="110"/>
      <c r="AS300" s="110"/>
      <c r="AT300" s="110"/>
      <c r="AU300" s="110"/>
      <c r="AV300" s="110"/>
      <c r="AW300" s="110"/>
      <c r="AX300" s="110"/>
      <c r="AY300" s="110"/>
      <c r="AZ300" s="110"/>
      <c r="BA300" s="110"/>
      <c r="BB300" s="110"/>
      <c r="BC300" s="110"/>
      <c r="BD300" s="110"/>
      <c r="BE300" s="110"/>
      <c r="BF300" s="110"/>
      <c r="BG300" s="110"/>
      <c r="BH300" s="110"/>
      <c r="BI300" s="110"/>
      <c r="BJ300" s="110"/>
      <c r="BK300" s="110"/>
      <c r="BL300" s="110"/>
      <c r="BM300" s="110"/>
      <c r="BN300" s="110"/>
      <c r="BO300" s="110"/>
      <c r="BP300" s="110"/>
      <c r="BQ300" s="110"/>
      <c r="BR300" s="110"/>
      <c r="BS300" s="110"/>
      <c r="BT300" s="110"/>
      <c r="BU300" s="110"/>
      <c r="BV300" s="110"/>
      <c r="BW300" s="110"/>
      <c r="BX300" s="110"/>
      <c r="BY300" s="110"/>
      <c r="BZ300" s="110"/>
      <c r="CA300" s="110"/>
      <c r="CB300" s="110"/>
      <c r="CC300" s="110"/>
      <c r="CD300" s="110"/>
      <c r="CE300" s="110"/>
      <c r="CF300" s="110"/>
    </row>
    <row r="301" spans="1:84" ht="51.6" customHeight="1" x14ac:dyDescent="0.25">
      <c r="A301" s="2"/>
      <c r="B301" s="2"/>
      <c r="J301" s="81"/>
      <c r="K301" s="103"/>
      <c r="O301" s="25"/>
      <c r="P301" s="81"/>
    </row>
    <row r="302" spans="1:84" x14ac:dyDescent="0.25">
      <c r="A302" s="5" t="s">
        <v>28</v>
      </c>
      <c r="J302" s="81"/>
      <c r="K302" s="103"/>
      <c r="O302" s="25"/>
      <c r="P302" s="81"/>
    </row>
    <row r="303" spans="1:84" s="45" customFormat="1" x14ac:dyDescent="0.25">
      <c r="A303" s="45" t="s">
        <v>29</v>
      </c>
      <c r="C303" s="42"/>
      <c r="D303" s="42"/>
      <c r="E303" s="43">
        <f>SUM(E8:E129)+2/3*SUM(E252:E264)</f>
        <v>460463935.13666689</v>
      </c>
      <c r="F303" s="43">
        <f t="shared" ref="F303:G303" si="107">SUM(F8:F129)+SUM(F258:F264)+2/3*SUM(F252:F257)</f>
        <v>305160664.46666664</v>
      </c>
      <c r="G303" s="43">
        <f t="shared" si="107"/>
        <v>160786581.37000006</v>
      </c>
      <c r="H303" s="43">
        <f>SUM(H8:H129)+2/3*SUM(H252:H264)</f>
        <v>6907160.9500000039</v>
      </c>
      <c r="I303" s="42">
        <f>H303/E303</f>
        <v>1.5000438520662733E-2</v>
      </c>
      <c r="J303" s="80">
        <f>SUM(J8:J129)+SUM(J258:J264)+2/3*SUM(J252:J257)</f>
        <v>4656725.333333333</v>
      </c>
      <c r="K303" s="43">
        <f>SUM(K8:K129)+SUM(K258:K264)+0.85*2/3*SUM(K252:K257)</f>
        <v>3951791.2344453665</v>
      </c>
      <c r="L303" s="42">
        <f>K303/Funktional!E303</f>
        <v>1.7582407549222846E-2</v>
      </c>
      <c r="M303" s="43"/>
      <c r="N303" s="43">
        <f>K303/Funktional!C303</f>
        <v>3978.1798272997885</v>
      </c>
      <c r="O303" s="44">
        <f>K303/Funktional!D303</f>
        <v>198.97242004155714</v>
      </c>
      <c r="P303" s="80">
        <f>SUM(P8:P129)+SUM(P258:P264)+2/3*SUM(P252:P257)</f>
        <v>1087098.6666666667</v>
      </c>
      <c r="Q303" s="80">
        <f t="shared" ref="Q303:X303" si="108">SUM(Q8:Q129)+SUM(Q258:Q264)+2/3*SUM(Q252:Q257)</f>
        <v>114564.66666666667</v>
      </c>
      <c r="R303" s="80">
        <f t="shared" si="108"/>
        <v>129713.2</v>
      </c>
      <c r="S303" s="80">
        <f t="shared" si="108"/>
        <v>1331376.5333333332</v>
      </c>
      <c r="T303" s="80">
        <f t="shared" si="108"/>
        <v>2471337.4</v>
      </c>
      <c r="U303" s="80">
        <f t="shared" si="108"/>
        <v>88210.666666666672</v>
      </c>
      <c r="V303" s="80">
        <f t="shared" si="108"/>
        <v>276227.73333333334</v>
      </c>
      <c r="W303" s="80">
        <f t="shared" si="108"/>
        <v>2835775.8</v>
      </c>
      <c r="X303" s="80">
        <f t="shared" si="108"/>
        <v>489573</v>
      </c>
      <c r="Y303" s="110"/>
      <c r="Z303" s="110"/>
      <c r="AA303" s="110"/>
      <c r="AB303" s="110"/>
      <c r="AC303" s="110"/>
      <c r="AD303" s="110"/>
      <c r="AE303" s="110"/>
      <c r="AF303" s="110"/>
      <c r="AG303" s="110"/>
      <c r="AH303" s="110"/>
      <c r="AI303" s="110"/>
      <c r="AJ303" s="110"/>
      <c r="AK303" s="110"/>
      <c r="AL303" s="110"/>
      <c r="AM303" s="110"/>
      <c r="AN303" s="110"/>
      <c r="AO303" s="110"/>
      <c r="AP303" s="110"/>
      <c r="AQ303" s="110"/>
      <c r="AR303" s="110"/>
      <c r="AS303" s="110"/>
      <c r="AT303" s="110"/>
      <c r="AU303" s="110"/>
      <c r="AV303" s="110"/>
      <c r="AW303" s="110"/>
      <c r="AX303" s="110"/>
      <c r="AY303" s="110"/>
      <c r="AZ303" s="110"/>
      <c r="BA303" s="110"/>
      <c r="BB303" s="110"/>
      <c r="BC303" s="110"/>
      <c r="BD303" s="110"/>
      <c r="BE303" s="110"/>
      <c r="BF303" s="110"/>
      <c r="BG303" s="110"/>
      <c r="BH303" s="110"/>
      <c r="BI303" s="110"/>
      <c r="BJ303" s="110"/>
      <c r="BK303" s="110"/>
      <c r="BL303" s="110"/>
      <c r="BM303" s="110"/>
      <c r="BN303" s="110"/>
      <c r="BO303" s="110"/>
      <c r="BP303" s="110"/>
      <c r="BQ303" s="110"/>
      <c r="BR303" s="110"/>
      <c r="BS303" s="110"/>
      <c r="BT303" s="110"/>
      <c r="BU303" s="110"/>
      <c r="BV303" s="110"/>
      <c r="BW303" s="110"/>
      <c r="BX303" s="110"/>
      <c r="BY303" s="110"/>
      <c r="BZ303" s="110"/>
      <c r="CA303" s="110"/>
      <c r="CB303" s="110"/>
      <c r="CC303" s="110"/>
      <c r="CD303" s="110"/>
      <c r="CE303" s="110"/>
      <c r="CF303" s="110"/>
    </row>
    <row r="304" spans="1:84" s="45" customFormat="1" x14ac:dyDescent="0.25">
      <c r="A304" s="45" t="s">
        <v>30</v>
      </c>
      <c r="C304" s="42"/>
      <c r="D304" s="42"/>
      <c r="E304" s="43"/>
      <c r="F304" s="43"/>
      <c r="G304" s="43"/>
      <c r="H304" s="43"/>
      <c r="I304" s="42"/>
      <c r="J304" s="43"/>
      <c r="K304" s="43">
        <f>SUM(K130:K251)+SUM(K265:K271)+0.15*2/3*SUM(K252:K257)</f>
        <v>704934.09888796718</v>
      </c>
      <c r="L304" s="42">
        <f>K304/Funktional!E304</f>
        <v>1.70740548156415E-2</v>
      </c>
      <c r="M304" s="43"/>
      <c r="N304" s="43">
        <f>K304/Funktional!C304</f>
        <v>2687.5108611817277</v>
      </c>
      <c r="O304" s="44">
        <f>K304/Funktional!D304</f>
        <v>129.22714920036063</v>
      </c>
      <c r="P304" s="80"/>
      <c r="Q304" s="43"/>
      <c r="R304" s="43"/>
      <c r="S304" s="43"/>
      <c r="T304" s="43"/>
      <c r="U304" s="43"/>
      <c r="V304" s="43"/>
      <c r="W304" s="43"/>
      <c r="X304" s="43"/>
      <c r="Y304" s="110"/>
      <c r="Z304" s="110"/>
      <c r="AA304" s="110"/>
      <c r="AB304" s="110"/>
      <c r="AC304" s="110"/>
      <c r="AD304" s="110"/>
      <c r="AE304" s="110"/>
      <c r="AF304" s="110"/>
      <c r="AG304" s="110"/>
      <c r="AH304" s="110"/>
      <c r="AI304" s="110"/>
      <c r="AJ304" s="110"/>
      <c r="AK304" s="110"/>
      <c r="AL304" s="110"/>
      <c r="AM304" s="110"/>
      <c r="AN304" s="110"/>
      <c r="AO304" s="110"/>
      <c r="AP304" s="110"/>
      <c r="AQ304" s="110"/>
      <c r="AR304" s="110"/>
      <c r="AS304" s="110"/>
      <c r="AT304" s="110"/>
      <c r="AU304" s="110"/>
      <c r="AV304" s="110"/>
      <c r="AW304" s="110"/>
      <c r="AX304" s="110"/>
      <c r="AY304" s="110"/>
      <c r="AZ304" s="110"/>
      <c r="BA304" s="110"/>
      <c r="BB304" s="110"/>
      <c r="BC304" s="110"/>
      <c r="BD304" s="110"/>
      <c r="BE304" s="110"/>
      <c r="BF304" s="110"/>
      <c r="BG304" s="110"/>
      <c r="BH304" s="110"/>
      <c r="BI304" s="110"/>
      <c r="BJ304" s="110"/>
      <c r="BK304" s="110"/>
      <c r="BL304" s="110"/>
      <c r="BM304" s="110"/>
      <c r="BN304" s="110"/>
      <c r="BO304" s="110"/>
      <c r="BP304" s="110"/>
      <c r="BQ304" s="110"/>
      <c r="BR304" s="110"/>
      <c r="BS304" s="110"/>
      <c r="BT304" s="110"/>
      <c r="BU304" s="110"/>
      <c r="BV304" s="110"/>
      <c r="BW304" s="110"/>
      <c r="BX304" s="110"/>
      <c r="BY304" s="110"/>
      <c r="BZ304" s="110"/>
      <c r="CA304" s="110"/>
      <c r="CB304" s="110"/>
      <c r="CC304" s="110"/>
      <c r="CD304" s="110"/>
      <c r="CE304" s="110"/>
      <c r="CF304" s="110"/>
    </row>
    <row r="305" spans="1:84" s="45" customFormat="1" x14ac:dyDescent="0.25">
      <c r="A305" s="45" t="s">
        <v>31</v>
      </c>
      <c r="C305" s="42"/>
      <c r="D305" s="42"/>
      <c r="E305" s="43">
        <f>SUM(E272:E300)+1/3*SUM(E252:E264)</f>
        <v>257300618.94333336</v>
      </c>
      <c r="F305" s="43">
        <f t="shared" ref="F305:G305" si="109">SUM(F272:F300)+1/3*SUM(F252:F257)</f>
        <v>172871867.23333332</v>
      </c>
      <c r="G305" s="43">
        <f t="shared" si="109"/>
        <v>78945441.010000005</v>
      </c>
      <c r="H305" s="43">
        <f>SUM(H272:H300)+1/3*SUM(H252:H264)</f>
        <v>980299.01</v>
      </c>
      <c r="I305" s="42">
        <f t="shared" ref="I305:I306" si="110">H305/E305</f>
        <v>3.8099364627486431E-3</v>
      </c>
      <c r="J305" s="80">
        <f t="shared" ref="J305:K305" si="111">SUM(J272:J300)+1/3*SUM(J252:J257)</f>
        <v>2316959.6666666665</v>
      </c>
      <c r="K305" s="43">
        <f t="shared" si="111"/>
        <v>2316959.6666666665</v>
      </c>
      <c r="L305" s="42">
        <f>K305/Funktional!E305</f>
        <v>1.5186613878765754E-2</v>
      </c>
      <c r="M305" s="43"/>
      <c r="N305" s="43">
        <f>K305/Funktional!C305</f>
        <v>4535.6469820554648</v>
      </c>
      <c r="O305" s="44">
        <f>K305/Funktional!D305</f>
        <v>246.11851143686707</v>
      </c>
      <c r="P305" s="80">
        <f t="shared" ref="P305:R305" si="112">SUM(P272:P300)+1/3*SUM(P252:P257)</f>
        <v>534457.33333333337</v>
      </c>
      <c r="Q305" s="43">
        <f t="shared" si="112"/>
        <v>55516.333333333336</v>
      </c>
      <c r="R305" s="43">
        <f t="shared" si="112"/>
        <v>49256</v>
      </c>
      <c r="S305" s="43">
        <f t="shared" ref="S305:X305" si="113">SUM(S272:S300)+1/3*SUM(S252:S257)</f>
        <v>639229.66666666663</v>
      </c>
      <c r="T305" s="43">
        <f t="shared" si="113"/>
        <v>1102596</v>
      </c>
      <c r="U305" s="43">
        <f t="shared" si="113"/>
        <v>41812.333333333336</v>
      </c>
      <c r="V305" s="43">
        <f t="shared" si="113"/>
        <v>58750.666666666664</v>
      </c>
      <c r="W305" s="43">
        <f t="shared" si="113"/>
        <v>1203159</v>
      </c>
      <c r="X305" s="43">
        <f t="shared" si="113"/>
        <v>474571</v>
      </c>
      <c r="Y305" s="110"/>
      <c r="Z305" s="110"/>
      <c r="AA305" s="110"/>
      <c r="AB305" s="110"/>
      <c r="AC305" s="110"/>
      <c r="AD305" s="110"/>
      <c r="AE305" s="110"/>
      <c r="AF305" s="110"/>
      <c r="AG305" s="110"/>
      <c r="AH305" s="110"/>
      <c r="AI305" s="110"/>
      <c r="AJ305" s="110"/>
      <c r="AK305" s="110"/>
      <c r="AL305" s="110"/>
      <c r="AM305" s="110"/>
      <c r="AN305" s="110"/>
      <c r="AO305" s="110"/>
      <c r="AP305" s="110"/>
      <c r="AQ305" s="110"/>
      <c r="AR305" s="110"/>
      <c r="AS305" s="110"/>
      <c r="AT305" s="110"/>
      <c r="AU305" s="110"/>
      <c r="AV305" s="110"/>
      <c r="AW305" s="110"/>
      <c r="AX305" s="110"/>
      <c r="AY305" s="110"/>
      <c r="AZ305" s="110"/>
      <c r="BA305" s="110"/>
      <c r="BB305" s="110"/>
      <c r="BC305" s="110"/>
      <c r="BD305" s="110"/>
      <c r="BE305" s="110"/>
      <c r="BF305" s="110"/>
      <c r="BG305" s="110"/>
      <c r="BH305" s="110"/>
      <c r="BI305" s="110"/>
      <c r="BJ305" s="110"/>
      <c r="BK305" s="110"/>
      <c r="BL305" s="110"/>
      <c r="BM305" s="110"/>
      <c r="BN305" s="110"/>
      <c r="BO305" s="110"/>
      <c r="BP305" s="110"/>
      <c r="BQ305" s="110"/>
      <c r="BR305" s="110"/>
      <c r="BS305" s="110"/>
      <c r="BT305" s="110"/>
      <c r="BU305" s="110"/>
      <c r="BV305" s="110"/>
      <c r="BW305" s="110"/>
      <c r="BX305" s="110"/>
      <c r="BY305" s="110"/>
      <c r="BZ305" s="110"/>
      <c r="CA305" s="110"/>
      <c r="CB305" s="110"/>
      <c r="CC305" s="110"/>
      <c r="CD305" s="110"/>
      <c r="CE305" s="110"/>
      <c r="CF305" s="110"/>
    </row>
    <row r="306" spans="1:84" s="45" customFormat="1" x14ac:dyDescent="0.25">
      <c r="A306" s="45" t="s">
        <v>32</v>
      </c>
      <c r="C306" s="42"/>
      <c r="D306" s="42"/>
      <c r="E306" s="43">
        <f t="shared" ref="E306:H306" si="114">E303+E305</f>
        <v>717764554.08000028</v>
      </c>
      <c r="F306" s="43">
        <f t="shared" si="114"/>
        <v>478032531.69999993</v>
      </c>
      <c r="G306" s="43">
        <f t="shared" si="114"/>
        <v>239732022.38000005</v>
      </c>
      <c r="H306" s="43">
        <f t="shared" si="114"/>
        <v>7887459.9600000037</v>
      </c>
      <c r="I306" s="42">
        <f t="shared" si="110"/>
        <v>1.0988923756634668E-2</v>
      </c>
      <c r="J306" s="80">
        <f>SUM(J8:J129)+SUM(J252:J257)+SUM(J272:J300)</f>
        <v>6859471</v>
      </c>
      <c r="K306" s="43">
        <f>SUM(K8:K300)</f>
        <v>6973685.0000000009</v>
      </c>
      <c r="L306" s="42">
        <f>K306/Funktional!E306</f>
        <v>1.665910472904826E-2</v>
      </c>
      <c r="M306" s="43"/>
      <c r="N306" s="43">
        <f>K306/Funktional!C306</f>
        <v>3947.7412963487127</v>
      </c>
      <c r="O306" s="44">
        <f>K306/Funktional!D306</f>
        <v>200.79714943852579</v>
      </c>
      <c r="P306" s="80">
        <f>SUM(P8:P300)</f>
        <v>2526308</v>
      </c>
      <c r="Q306" s="43">
        <f t="shared" ref="Q306:X306" si="115">SUM(Q8:Q300)</f>
        <v>269379</v>
      </c>
      <c r="R306" s="43">
        <f t="shared" si="115"/>
        <v>298682.40000000002</v>
      </c>
      <c r="S306" s="43">
        <f t="shared" si="115"/>
        <v>3094369.4</v>
      </c>
      <c r="T306" s="43">
        <f t="shared" si="115"/>
        <v>5751430.7999999998</v>
      </c>
      <c r="U306" s="43">
        <f t="shared" si="115"/>
        <v>211207</v>
      </c>
      <c r="V306" s="43">
        <f t="shared" si="115"/>
        <v>604112.80000000005</v>
      </c>
      <c r="W306" s="43">
        <f t="shared" si="115"/>
        <v>6566750.5999999996</v>
      </c>
      <c r="X306" s="43">
        <f t="shared" si="115"/>
        <v>1353335</v>
      </c>
      <c r="Y306" s="110"/>
      <c r="Z306" s="110"/>
      <c r="AA306" s="110"/>
      <c r="AB306" s="110"/>
      <c r="AC306" s="110"/>
      <c r="AD306" s="110"/>
      <c r="AE306" s="110"/>
      <c r="AF306" s="110"/>
      <c r="AG306" s="110"/>
      <c r="AH306" s="110"/>
      <c r="AI306" s="110"/>
      <c r="AJ306" s="110"/>
      <c r="AK306" s="110"/>
      <c r="AL306" s="110"/>
      <c r="AM306" s="110"/>
      <c r="AN306" s="110"/>
      <c r="AO306" s="110"/>
      <c r="AP306" s="110"/>
      <c r="AQ306" s="110"/>
      <c r="AR306" s="110"/>
      <c r="AS306" s="110"/>
      <c r="AT306" s="110"/>
      <c r="AU306" s="110"/>
      <c r="AV306" s="110"/>
      <c r="AW306" s="110"/>
      <c r="AX306" s="110"/>
      <c r="AY306" s="110"/>
      <c r="AZ306" s="110"/>
      <c r="BA306" s="110"/>
      <c r="BB306" s="110"/>
      <c r="BC306" s="110"/>
      <c r="BD306" s="110"/>
      <c r="BE306" s="110"/>
      <c r="BF306" s="110"/>
      <c r="BG306" s="110"/>
      <c r="BH306" s="110"/>
      <c r="BI306" s="110"/>
      <c r="BJ306" s="110"/>
      <c r="BK306" s="110"/>
      <c r="BL306" s="110"/>
      <c r="BM306" s="110"/>
      <c r="BN306" s="110"/>
      <c r="BO306" s="110"/>
      <c r="BP306" s="110"/>
      <c r="BQ306" s="110"/>
      <c r="BR306" s="110"/>
      <c r="BS306" s="110"/>
      <c r="BT306" s="110"/>
      <c r="BU306" s="110"/>
      <c r="BV306" s="110"/>
      <c r="BW306" s="110"/>
      <c r="BX306" s="110"/>
      <c r="BY306" s="110"/>
      <c r="BZ306" s="110"/>
      <c r="CA306" s="110"/>
      <c r="CB306" s="110"/>
      <c r="CC306" s="110"/>
      <c r="CD306" s="110"/>
      <c r="CE306" s="110"/>
      <c r="CF306" s="110"/>
    </row>
    <row r="307" spans="1:84" x14ac:dyDescent="0.25">
      <c r="J307" s="81"/>
      <c r="K307" s="132"/>
      <c r="O307" s="25"/>
      <c r="P307" s="81"/>
    </row>
    <row r="308" spans="1:84" x14ac:dyDescent="0.25">
      <c r="A308" s="5" t="s">
        <v>33</v>
      </c>
      <c r="J308" s="81"/>
      <c r="K308" s="131"/>
      <c r="O308" s="25"/>
      <c r="P308" s="81"/>
    </row>
    <row r="309" spans="1:84" s="45" customFormat="1" x14ac:dyDescent="0.25">
      <c r="A309" s="45" t="s">
        <v>34</v>
      </c>
      <c r="C309" s="42">
        <f t="shared" ref="C309:I309" si="116">MAX(C8:C129)</f>
        <v>0.52049999999999996</v>
      </c>
      <c r="D309" s="42">
        <f t="shared" si="116"/>
        <v>0.1888</v>
      </c>
      <c r="E309" s="43">
        <f t="shared" si="116"/>
        <v>35656382.899999999</v>
      </c>
      <c r="F309" s="43">
        <f t="shared" si="116"/>
        <v>14815931.15</v>
      </c>
      <c r="G309" s="43">
        <f t="shared" si="116"/>
        <v>20840451.75</v>
      </c>
      <c r="H309" s="43">
        <f t="shared" si="116"/>
        <v>487531.6</v>
      </c>
      <c r="I309" s="42">
        <f t="shared" si="116"/>
        <v>0.14204344048697287</v>
      </c>
      <c r="J309" s="80">
        <f t="shared" ref="J309:O309" si="117">MAX(J8:J129)</f>
        <v>379000</v>
      </c>
      <c r="K309" s="43">
        <f t="shared" si="117"/>
        <v>331524.48122780182</v>
      </c>
      <c r="L309" s="42">
        <f t="shared" si="117"/>
        <v>7.4629678922071882E-2</v>
      </c>
      <c r="M309" s="43">
        <f t="shared" si="117"/>
        <v>100</v>
      </c>
      <c r="N309" s="43">
        <f t="shared" si="117"/>
        <v>19500</v>
      </c>
      <c r="O309" s="43">
        <f t="shared" si="117"/>
        <v>3200</v>
      </c>
      <c r="P309" s="80">
        <f>MAX(P8:P129)</f>
        <v>93600</v>
      </c>
      <c r="Q309" s="43">
        <f t="shared" ref="Q309:X309" si="118">MAX(Q8:Q129)</f>
        <v>9000</v>
      </c>
      <c r="R309" s="43">
        <f t="shared" si="118"/>
        <v>7000</v>
      </c>
      <c r="S309" s="43">
        <f t="shared" si="118"/>
        <v>98640</v>
      </c>
      <c r="T309" s="43">
        <f t="shared" si="118"/>
        <v>275000</v>
      </c>
      <c r="U309" s="43">
        <f t="shared" si="118"/>
        <v>7200</v>
      </c>
      <c r="V309" s="43">
        <f t="shared" si="118"/>
        <v>57600</v>
      </c>
      <c r="W309" s="43">
        <f t="shared" si="118"/>
        <v>282200</v>
      </c>
      <c r="X309" s="43">
        <f t="shared" si="118"/>
        <v>37800</v>
      </c>
      <c r="Y309" s="110"/>
      <c r="Z309" s="110"/>
      <c r="AA309" s="110"/>
      <c r="AB309" s="110"/>
      <c r="AC309" s="110"/>
      <c r="AD309" s="110"/>
      <c r="AE309" s="110"/>
      <c r="AF309" s="110"/>
      <c r="AG309" s="110"/>
      <c r="AH309" s="110"/>
      <c r="AI309" s="110"/>
      <c r="AJ309" s="110"/>
      <c r="AK309" s="110"/>
      <c r="AL309" s="110"/>
      <c r="AM309" s="110"/>
      <c r="AN309" s="110"/>
      <c r="AO309" s="110"/>
      <c r="AP309" s="110"/>
      <c r="AQ309" s="110"/>
      <c r="AR309" s="110"/>
      <c r="AS309" s="110"/>
      <c r="AT309" s="110"/>
      <c r="AU309" s="110"/>
      <c r="AV309" s="110"/>
      <c r="AW309" s="110"/>
      <c r="AX309" s="110"/>
      <c r="AY309" s="110"/>
      <c r="AZ309" s="110"/>
      <c r="BA309" s="110"/>
      <c r="BB309" s="110"/>
      <c r="BC309" s="110"/>
      <c r="BD309" s="110"/>
      <c r="BE309" s="110"/>
      <c r="BF309" s="110"/>
      <c r="BG309" s="110"/>
      <c r="BH309" s="110"/>
      <c r="BI309" s="110"/>
      <c r="BJ309" s="110"/>
      <c r="BK309" s="110"/>
      <c r="BL309" s="110"/>
      <c r="BM309" s="110"/>
      <c r="BN309" s="110"/>
      <c r="BO309" s="110"/>
      <c r="BP309" s="110"/>
      <c r="BQ309" s="110"/>
      <c r="BR309" s="110"/>
      <c r="BS309" s="110"/>
      <c r="BT309" s="110"/>
      <c r="BU309" s="110"/>
      <c r="BV309" s="110"/>
      <c r="BW309" s="110"/>
      <c r="BX309" s="110"/>
      <c r="BY309" s="110"/>
      <c r="BZ309" s="110"/>
      <c r="CA309" s="110"/>
      <c r="CB309" s="110"/>
      <c r="CC309" s="110"/>
      <c r="CD309" s="110"/>
      <c r="CE309" s="110"/>
      <c r="CF309" s="110"/>
    </row>
    <row r="310" spans="1:84" s="133" customFormat="1" ht="14.25" x14ac:dyDescent="0.3">
      <c r="A310" s="133" t="s">
        <v>233</v>
      </c>
      <c r="C310" s="135"/>
      <c r="D310" s="135"/>
      <c r="E310" s="134"/>
      <c r="F310" s="134"/>
      <c r="G310" s="134"/>
      <c r="H310" s="134"/>
      <c r="I310" s="135"/>
      <c r="J310" s="136"/>
      <c r="K310" s="43">
        <f t="shared" ref="K310:O310" si="119">MAX(K130:K251)</f>
        <v>48556.641697842846</v>
      </c>
      <c r="L310" s="42">
        <f t="shared" si="119"/>
        <v>2.9625583897589965E-2</v>
      </c>
      <c r="M310" s="43">
        <f t="shared" si="119"/>
        <v>100</v>
      </c>
      <c r="N310" s="43">
        <f t="shared" si="119"/>
        <v>7113.2040050125779</v>
      </c>
      <c r="O310" s="43">
        <f t="shared" si="119"/>
        <v>359.97065234166251</v>
      </c>
      <c r="P310" s="136"/>
      <c r="Q310" s="134"/>
      <c r="R310" s="134"/>
      <c r="S310" s="134"/>
      <c r="T310" s="134"/>
      <c r="U310" s="134"/>
      <c r="V310" s="134"/>
      <c r="W310" s="134"/>
      <c r="X310" s="134"/>
      <c r="Y310" s="139"/>
      <c r="Z310" s="139"/>
      <c r="AA310" s="139"/>
      <c r="AB310" s="139"/>
      <c r="AC310" s="139"/>
      <c r="AD310" s="139"/>
      <c r="AE310" s="139"/>
      <c r="AF310" s="139"/>
      <c r="AG310" s="139"/>
      <c r="AH310" s="139"/>
      <c r="AI310" s="139"/>
      <c r="AJ310" s="139"/>
      <c r="AK310" s="139"/>
      <c r="AL310" s="139"/>
      <c r="AM310" s="139"/>
      <c r="AN310" s="139"/>
      <c r="AO310" s="139"/>
      <c r="AP310" s="139"/>
      <c r="AQ310" s="139"/>
      <c r="AR310" s="139"/>
      <c r="AS310" s="139"/>
      <c r="AT310" s="139"/>
      <c r="AU310" s="139"/>
      <c r="AV310" s="139"/>
      <c r="AW310" s="139"/>
      <c r="AX310" s="139"/>
      <c r="AY310" s="139"/>
      <c r="AZ310" s="139"/>
      <c r="BA310" s="139"/>
      <c r="BB310" s="139"/>
      <c r="BC310" s="139"/>
      <c r="BD310" s="139"/>
      <c r="BE310" s="139"/>
      <c r="BF310" s="139"/>
      <c r="BG310" s="139"/>
      <c r="BH310" s="139"/>
      <c r="BI310" s="139"/>
      <c r="BJ310" s="139"/>
      <c r="BK310" s="139"/>
      <c r="BL310" s="139"/>
      <c r="BM310" s="139"/>
      <c r="BN310" s="139"/>
      <c r="BO310" s="139"/>
      <c r="BP310" s="139"/>
      <c r="BQ310" s="139"/>
      <c r="BR310" s="139"/>
      <c r="BS310" s="139"/>
      <c r="BT310" s="139"/>
      <c r="BU310" s="139"/>
      <c r="BV310" s="139"/>
      <c r="BW310" s="139"/>
      <c r="BX310" s="139"/>
      <c r="BY310" s="139"/>
      <c r="BZ310" s="139"/>
      <c r="CA310" s="139"/>
      <c r="CB310" s="139"/>
      <c r="CC310" s="139"/>
      <c r="CD310" s="139"/>
      <c r="CE310" s="139"/>
      <c r="CF310" s="139"/>
    </row>
    <row r="311" spans="1:84" s="133" customFormat="1" ht="14.25" x14ac:dyDescent="0.3">
      <c r="A311" s="133" t="s">
        <v>233</v>
      </c>
      <c r="C311" s="135"/>
      <c r="D311" s="135"/>
      <c r="E311" s="134"/>
      <c r="F311" s="134"/>
      <c r="G311" s="134"/>
      <c r="H311" s="134"/>
      <c r="I311" s="135"/>
      <c r="J311" s="136"/>
      <c r="K311" s="43">
        <f t="shared" ref="K311:O311" si="120">MAX(K265:K271)</f>
        <v>4568.5043539113558</v>
      </c>
      <c r="L311" s="42">
        <f t="shared" si="120"/>
        <v>2.2210350261189751E-2</v>
      </c>
      <c r="M311" s="43">
        <f t="shared" si="120"/>
        <v>70</v>
      </c>
      <c r="N311" s="43">
        <f t="shared" si="120"/>
        <v>4528.5660864920274</v>
      </c>
      <c r="O311" s="43">
        <f t="shared" si="120"/>
        <v>150.95220288306757</v>
      </c>
      <c r="P311" s="136"/>
      <c r="Q311" s="134"/>
      <c r="R311" s="134"/>
      <c r="S311" s="134"/>
      <c r="T311" s="134"/>
      <c r="U311" s="134"/>
      <c r="V311" s="134"/>
      <c r="W311" s="134"/>
      <c r="X311" s="134"/>
      <c r="Y311" s="139"/>
      <c r="Z311" s="139"/>
      <c r="AA311" s="139"/>
      <c r="AB311" s="139"/>
      <c r="AC311" s="139"/>
      <c r="AD311" s="139"/>
      <c r="AE311" s="139"/>
      <c r="AF311" s="139"/>
      <c r="AG311" s="139"/>
      <c r="AH311" s="139"/>
      <c r="AI311" s="139"/>
      <c r="AJ311" s="139"/>
      <c r="AK311" s="139"/>
      <c r="AL311" s="139"/>
      <c r="AM311" s="139"/>
      <c r="AN311" s="139"/>
      <c r="AO311" s="139"/>
      <c r="AP311" s="139"/>
      <c r="AQ311" s="139"/>
      <c r="AR311" s="139"/>
      <c r="AS311" s="139"/>
      <c r="AT311" s="139"/>
      <c r="AU311" s="139"/>
      <c r="AV311" s="139"/>
      <c r="AW311" s="139"/>
      <c r="AX311" s="139"/>
      <c r="AY311" s="139"/>
      <c r="AZ311" s="139"/>
      <c r="BA311" s="139"/>
      <c r="BB311" s="139"/>
      <c r="BC311" s="139"/>
      <c r="BD311" s="139"/>
      <c r="BE311" s="139"/>
      <c r="BF311" s="139"/>
      <c r="BG311" s="139"/>
      <c r="BH311" s="139"/>
      <c r="BI311" s="139"/>
      <c r="BJ311" s="139"/>
      <c r="BK311" s="139"/>
      <c r="BL311" s="139"/>
      <c r="BM311" s="139"/>
      <c r="BN311" s="139"/>
      <c r="BO311" s="139"/>
      <c r="BP311" s="139"/>
      <c r="BQ311" s="139"/>
      <c r="BR311" s="139"/>
      <c r="BS311" s="139"/>
      <c r="BT311" s="139"/>
      <c r="BU311" s="139"/>
      <c r="BV311" s="139"/>
      <c r="BW311" s="139"/>
      <c r="BX311" s="139"/>
      <c r="BY311" s="139"/>
      <c r="BZ311" s="139"/>
      <c r="CA311" s="139"/>
      <c r="CB311" s="139"/>
      <c r="CC311" s="139"/>
      <c r="CD311" s="139"/>
      <c r="CE311" s="139"/>
      <c r="CF311" s="139"/>
    </row>
    <row r="312" spans="1:84" s="45" customFormat="1" x14ac:dyDescent="0.25">
      <c r="A312" s="45" t="s">
        <v>35</v>
      </c>
      <c r="C312" s="42"/>
      <c r="D312" s="42"/>
      <c r="E312" s="43"/>
      <c r="F312" s="43"/>
      <c r="G312" s="43"/>
      <c r="H312" s="43"/>
      <c r="I312" s="42"/>
      <c r="J312" s="80"/>
      <c r="K312" s="43">
        <f t="shared" ref="K312:O312" si="121">MAX(K310:K311)</f>
        <v>48556.641697842846</v>
      </c>
      <c r="L312" s="42">
        <f t="shared" si="121"/>
        <v>2.9625583897589965E-2</v>
      </c>
      <c r="M312" s="43">
        <f t="shared" si="121"/>
        <v>100</v>
      </c>
      <c r="N312" s="43">
        <f t="shared" si="121"/>
        <v>7113.2040050125779</v>
      </c>
      <c r="O312" s="43">
        <f t="shared" si="121"/>
        <v>359.97065234166251</v>
      </c>
      <c r="P312" s="80"/>
      <c r="Q312" s="43"/>
      <c r="R312" s="43"/>
      <c r="S312" s="43"/>
      <c r="T312" s="43"/>
      <c r="U312" s="43"/>
      <c r="V312" s="43"/>
      <c r="W312" s="43"/>
      <c r="X312" s="43"/>
      <c r="Y312" s="110"/>
      <c r="Z312" s="110"/>
      <c r="AA312" s="110"/>
      <c r="AB312" s="110"/>
      <c r="AC312" s="110"/>
      <c r="AD312" s="110"/>
      <c r="AE312" s="110"/>
      <c r="AF312" s="110"/>
      <c r="AG312" s="110"/>
      <c r="AH312" s="110"/>
      <c r="AI312" s="110"/>
      <c r="AJ312" s="110"/>
      <c r="AK312" s="110"/>
      <c r="AL312" s="110"/>
      <c r="AM312" s="110"/>
      <c r="AN312" s="110"/>
      <c r="AO312" s="110"/>
      <c r="AP312" s="110"/>
      <c r="AQ312" s="110"/>
      <c r="AR312" s="110"/>
      <c r="AS312" s="110"/>
      <c r="AT312" s="110"/>
      <c r="AU312" s="110"/>
      <c r="AV312" s="110"/>
      <c r="AW312" s="110"/>
      <c r="AX312" s="110"/>
      <c r="AY312" s="110"/>
      <c r="AZ312" s="110"/>
      <c r="BA312" s="110"/>
      <c r="BB312" s="110"/>
      <c r="BC312" s="110"/>
      <c r="BD312" s="110"/>
      <c r="BE312" s="110"/>
      <c r="BF312" s="110"/>
      <c r="BG312" s="110"/>
      <c r="BH312" s="110"/>
      <c r="BI312" s="110"/>
      <c r="BJ312" s="110"/>
      <c r="BK312" s="110"/>
      <c r="BL312" s="110"/>
      <c r="BM312" s="110"/>
      <c r="BN312" s="110"/>
      <c r="BO312" s="110"/>
      <c r="BP312" s="110"/>
      <c r="BQ312" s="110"/>
      <c r="BR312" s="110"/>
      <c r="BS312" s="110"/>
      <c r="BT312" s="110"/>
      <c r="BU312" s="110"/>
      <c r="BV312" s="110"/>
      <c r="BW312" s="110"/>
      <c r="BX312" s="110"/>
      <c r="BY312" s="110"/>
      <c r="BZ312" s="110"/>
      <c r="CA312" s="110"/>
      <c r="CB312" s="110"/>
      <c r="CC312" s="110"/>
      <c r="CD312" s="110"/>
      <c r="CE312" s="110"/>
      <c r="CF312" s="110"/>
    </row>
    <row r="313" spans="1:84" s="45" customFormat="1" x14ac:dyDescent="0.25">
      <c r="A313" s="45" t="s">
        <v>36</v>
      </c>
      <c r="C313" s="42">
        <f>MAX(C252:C264)</f>
        <v>0.27100000000000002</v>
      </c>
      <c r="D313" s="42">
        <f t="shared" ref="D313:I313" si="122">MAX(D252:D264)</f>
        <v>0.12909999999999999</v>
      </c>
      <c r="E313" s="43">
        <f t="shared" si="122"/>
        <v>23928879.649999999</v>
      </c>
      <c r="F313" s="43">
        <f t="shared" si="122"/>
        <v>20522116.949999999</v>
      </c>
      <c r="G313" s="43">
        <f t="shared" si="122"/>
        <v>3873075.7</v>
      </c>
      <c r="H313" s="43">
        <f t="shared" si="122"/>
        <v>136629.70000000001</v>
      </c>
      <c r="I313" s="42">
        <f t="shared" si="122"/>
        <v>4.456049687786387E-2</v>
      </c>
      <c r="J313" s="80">
        <f t="shared" ref="J313:O313" si="123">MAX(J252:J264)</f>
        <v>332430</v>
      </c>
      <c r="K313" s="43">
        <f t="shared" si="123"/>
        <v>332430</v>
      </c>
      <c r="L313" s="42">
        <f t="shared" si="123"/>
        <v>3.024855216166588E-2</v>
      </c>
      <c r="M313" s="43">
        <f t="shared" si="123"/>
        <v>90</v>
      </c>
      <c r="N313" s="43">
        <f t="shared" si="123"/>
        <v>8630.3727152902502</v>
      </c>
      <c r="O313" s="43">
        <f t="shared" si="123"/>
        <v>323.30330330330332</v>
      </c>
      <c r="P313" s="80">
        <f>MAX(P252:P264)</f>
        <v>146200</v>
      </c>
      <c r="Q313" s="43">
        <f t="shared" ref="Q313:X313" si="124">MAX(Q252:Q264)</f>
        <v>7800</v>
      </c>
      <c r="R313" s="43">
        <f t="shared" si="124"/>
        <v>7800</v>
      </c>
      <c r="S313" s="43">
        <f t="shared" si="124"/>
        <v>150700</v>
      </c>
      <c r="T313" s="43">
        <f t="shared" si="124"/>
        <v>143900</v>
      </c>
      <c r="U313" s="43">
        <f t="shared" si="124"/>
        <v>4800</v>
      </c>
      <c r="V313" s="43">
        <f t="shared" si="124"/>
        <v>4200</v>
      </c>
      <c r="W313" s="43">
        <f t="shared" si="124"/>
        <v>144900</v>
      </c>
      <c r="X313" s="43">
        <f t="shared" si="124"/>
        <v>64870</v>
      </c>
      <c r="Y313" s="110"/>
      <c r="Z313" s="110"/>
      <c r="AA313" s="110"/>
      <c r="AB313" s="110"/>
      <c r="AC313" s="110"/>
      <c r="AD313" s="110"/>
      <c r="AE313" s="110"/>
      <c r="AF313" s="110"/>
      <c r="AG313" s="110"/>
      <c r="AH313" s="110"/>
      <c r="AI313" s="110"/>
      <c r="AJ313" s="110"/>
      <c r="AK313" s="110"/>
      <c r="AL313" s="110"/>
      <c r="AM313" s="110"/>
      <c r="AN313" s="110"/>
      <c r="AO313" s="110"/>
      <c r="AP313" s="110"/>
      <c r="AQ313" s="110"/>
      <c r="AR313" s="110"/>
      <c r="AS313" s="110"/>
      <c r="AT313" s="110"/>
      <c r="AU313" s="110"/>
      <c r="AV313" s="110"/>
      <c r="AW313" s="110"/>
      <c r="AX313" s="110"/>
      <c r="AY313" s="110"/>
      <c r="AZ313" s="110"/>
      <c r="BA313" s="110"/>
      <c r="BB313" s="110"/>
      <c r="BC313" s="110"/>
      <c r="BD313" s="110"/>
      <c r="BE313" s="110"/>
      <c r="BF313" s="110"/>
      <c r="BG313" s="110"/>
      <c r="BH313" s="110"/>
      <c r="BI313" s="110"/>
      <c r="BJ313" s="110"/>
      <c r="BK313" s="110"/>
      <c r="BL313" s="110"/>
      <c r="BM313" s="110"/>
      <c r="BN313" s="110"/>
      <c r="BO313" s="110"/>
      <c r="BP313" s="110"/>
      <c r="BQ313" s="110"/>
      <c r="BR313" s="110"/>
      <c r="BS313" s="110"/>
      <c r="BT313" s="110"/>
      <c r="BU313" s="110"/>
      <c r="BV313" s="110"/>
      <c r="BW313" s="110"/>
      <c r="BX313" s="110"/>
      <c r="BY313" s="110"/>
      <c r="BZ313" s="110"/>
      <c r="CA313" s="110"/>
      <c r="CB313" s="110"/>
      <c r="CC313" s="110"/>
      <c r="CD313" s="110"/>
      <c r="CE313" s="110"/>
      <c r="CF313" s="110"/>
    </row>
    <row r="314" spans="1:84" s="45" customFormat="1" x14ac:dyDescent="0.25">
      <c r="A314" s="45" t="s">
        <v>37</v>
      </c>
      <c r="C314" s="42">
        <f t="shared" ref="C314:I314" si="125">MAX(C272:C300)</f>
        <v>0.2707</v>
      </c>
      <c r="D314" s="42">
        <f t="shared" si="125"/>
        <v>0.16700000000000001</v>
      </c>
      <c r="E314" s="43">
        <f t="shared" si="125"/>
        <v>25598419.800000001</v>
      </c>
      <c r="F314" s="43">
        <f t="shared" si="125"/>
        <v>19391500</v>
      </c>
      <c r="G314" s="43">
        <f t="shared" si="125"/>
        <v>14850128.050000001</v>
      </c>
      <c r="H314" s="43">
        <f t="shared" si="125"/>
        <v>190365.6</v>
      </c>
      <c r="I314" s="42">
        <f t="shared" si="125"/>
        <v>3.4615805794824657E-2</v>
      </c>
      <c r="J314" s="80">
        <f t="shared" ref="J314:O314" si="126">MAX(J272:J300)</f>
        <v>246600</v>
      </c>
      <c r="K314" s="43">
        <f t="shared" si="126"/>
        <v>246600</v>
      </c>
      <c r="L314" s="42">
        <f t="shared" si="126"/>
        <v>2.3647815782163753E-2</v>
      </c>
      <c r="M314" s="43">
        <f t="shared" si="126"/>
        <v>86</v>
      </c>
      <c r="N314" s="43">
        <f t="shared" si="126"/>
        <v>7000</v>
      </c>
      <c r="O314" s="43">
        <f t="shared" si="126"/>
        <v>405.79710144927537</v>
      </c>
      <c r="P314" s="80">
        <f>MAX(P272:P300)</f>
        <v>62400</v>
      </c>
      <c r="Q314" s="43">
        <f t="shared" ref="Q314:X314" si="127">MAX(Q272:Q300)</f>
        <v>7370</v>
      </c>
      <c r="R314" s="43">
        <f t="shared" si="127"/>
        <v>4500</v>
      </c>
      <c r="S314" s="43">
        <f t="shared" si="127"/>
        <v>65760</v>
      </c>
      <c r="T314" s="43">
        <f t="shared" si="127"/>
        <v>145895</v>
      </c>
      <c r="U314" s="43">
        <f t="shared" si="127"/>
        <v>12982</v>
      </c>
      <c r="V314" s="43">
        <f t="shared" si="127"/>
        <v>6150</v>
      </c>
      <c r="W314" s="43">
        <f t="shared" si="127"/>
        <v>147335</v>
      </c>
      <c r="X314" s="43">
        <f t="shared" si="127"/>
        <v>246600</v>
      </c>
      <c r="Y314" s="110"/>
      <c r="Z314" s="110"/>
      <c r="AA314" s="110"/>
      <c r="AB314" s="110"/>
      <c r="AC314" s="110"/>
      <c r="AD314" s="110"/>
      <c r="AE314" s="110"/>
      <c r="AF314" s="110"/>
      <c r="AG314" s="110"/>
      <c r="AH314" s="110"/>
      <c r="AI314" s="110"/>
      <c r="AJ314" s="110"/>
      <c r="AK314" s="110"/>
      <c r="AL314" s="110"/>
      <c r="AM314" s="110"/>
      <c r="AN314" s="110"/>
      <c r="AO314" s="110"/>
      <c r="AP314" s="110"/>
      <c r="AQ314" s="110"/>
      <c r="AR314" s="110"/>
      <c r="AS314" s="110"/>
      <c r="AT314" s="110"/>
      <c r="AU314" s="110"/>
      <c r="AV314" s="110"/>
      <c r="AW314" s="110"/>
      <c r="AX314" s="110"/>
      <c r="AY314" s="110"/>
      <c r="AZ314" s="110"/>
      <c r="BA314" s="110"/>
      <c r="BB314" s="110"/>
      <c r="BC314" s="110"/>
      <c r="BD314" s="110"/>
      <c r="BE314" s="110"/>
      <c r="BF314" s="110"/>
      <c r="BG314" s="110"/>
      <c r="BH314" s="110"/>
      <c r="BI314" s="110"/>
      <c r="BJ314" s="110"/>
      <c r="BK314" s="110"/>
      <c r="BL314" s="110"/>
      <c r="BM314" s="110"/>
      <c r="BN314" s="110"/>
      <c r="BO314" s="110"/>
      <c r="BP314" s="110"/>
      <c r="BQ314" s="110"/>
      <c r="BR314" s="110"/>
      <c r="BS314" s="110"/>
      <c r="BT314" s="110"/>
      <c r="BU314" s="110"/>
      <c r="BV314" s="110"/>
      <c r="BW314" s="110"/>
      <c r="BX314" s="110"/>
      <c r="BY314" s="110"/>
      <c r="BZ314" s="110"/>
      <c r="CA314" s="110"/>
      <c r="CB314" s="110"/>
      <c r="CC314" s="110"/>
      <c r="CD314" s="110"/>
      <c r="CE314" s="110"/>
      <c r="CF314" s="110"/>
    </row>
    <row r="315" spans="1:84" x14ac:dyDescent="0.25">
      <c r="J315" s="81"/>
      <c r="O315" s="25"/>
      <c r="P315" s="81"/>
    </row>
    <row r="316" spans="1:84" x14ac:dyDescent="0.25">
      <c r="A316" s="5" t="s">
        <v>38</v>
      </c>
      <c r="J316" s="81"/>
      <c r="O316" s="25"/>
      <c r="P316" s="81"/>
    </row>
    <row r="317" spans="1:84" s="45" customFormat="1" x14ac:dyDescent="0.25">
      <c r="A317" s="45" t="s">
        <v>34</v>
      </c>
      <c r="C317" s="42">
        <f t="shared" ref="C317:R317" si="128">MIN(C8:C129)</f>
        <v>-9.35E-2</v>
      </c>
      <c r="D317" s="42">
        <f t="shared" si="128"/>
        <v>-0.1709</v>
      </c>
      <c r="E317" s="43">
        <f t="shared" si="128"/>
        <v>136929.70000000001</v>
      </c>
      <c r="F317" s="43">
        <f t="shared" si="128"/>
        <v>16542</v>
      </c>
      <c r="G317" s="43">
        <f t="shared" si="128"/>
        <v>-85717.85</v>
      </c>
      <c r="H317" s="43">
        <f t="shared" si="128"/>
        <v>180</v>
      </c>
      <c r="I317" s="42">
        <f t="shared" si="128"/>
        <v>2.7924024173648932E-4</v>
      </c>
      <c r="J317" s="80">
        <f t="shared" si="128"/>
        <v>0</v>
      </c>
      <c r="K317" s="43">
        <f t="shared" si="128"/>
        <v>0</v>
      </c>
      <c r="L317" s="42">
        <f t="shared" si="128"/>
        <v>0</v>
      </c>
      <c r="M317" s="43">
        <f t="shared" si="128"/>
        <v>0</v>
      </c>
      <c r="N317" s="43">
        <f t="shared" si="128"/>
        <v>0</v>
      </c>
      <c r="O317" s="43">
        <f t="shared" si="128"/>
        <v>0</v>
      </c>
      <c r="P317" s="80">
        <f t="shared" si="128"/>
        <v>0</v>
      </c>
      <c r="Q317" s="43">
        <f t="shared" si="128"/>
        <v>0</v>
      </c>
      <c r="R317" s="43">
        <f t="shared" si="128"/>
        <v>0</v>
      </c>
      <c r="S317" s="43">
        <f t="shared" ref="S317:AH317" si="129">MIN(S8:S129)</f>
        <v>0</v>
      </c>
      <c r="T317" s="43">
        <f t="shared" si="129"/>
        <v>0</v>
      </c>
      <c r="U317" s="43">
        <f t="shared" si="129"/>
        <v>0</v>
      </c>
      <c r="V317" s="43">
        <f t="shared" si="129"/>
        <v>0</v>
      </c>
      <c r="W317" s="43">
        <f t="shared" si="129"/>
        <v>0</v>
      </c>
      <c r="X317" s="43">
        <f t="shared" si="129"/>
        <v>0</v>
      </c>
      <c r="Y317" s="110"/>
      <c r="Z317" s="110"/>
      <c r="AA317" s="110">
        <f t="shared" si="129"/>
        <v>0</v>
      </c>
      <c r="AB317" s="110">
        <f t="shared" si="129"/>
        <v>0</v>
      </c>
      <c r="AC317" s="110">
        <f t="shared" si="129"/>
        <v>0</v>
      </c>
      <c r="AD317" s="110">
        <f t="shared" si="129"/>
        <v>0</v>
      </c>
      <c r="AE317" s="110">
        <f t="shared" si="129"/>
        <v>0</v>
      </c>
      <c r="AF317" s="110">
        <f t="shared" si="129"/>
        <v>0</v>
      </c>
      <c r="AG317" s="110">
        <f t="shared" si="129"/>
        <v>0</v>
      </c>
      <c r="AH317" s="110">
        <f t="shared" si="129"/>
        <v>0</v>
      </c>
      <c r="AI317" s="110">
        <f t="shared" ref="AI317:AU317" si="130">MIN(AI8:AI129)</f>
        <v>0</v>
      </c>
      <c r="AJ317" s="110">
        <f t="shared" si="130"/>
        <v>0</v>
      </c>
      <c r="AK317" s="110">
        <f t="shared" si="130"/>
        <v>0</v>
      </c>
      <c r="AL317" s="110">
        <f t="shared" si="130"/>
        <v>0</v>
      </c>
      <c r="AM317" s="110">
        <f t="shared" si="130"/>
        <v>0</v>
      </c>
      <c r="AN317" s="110">
        <f t="shared" si="130"/>
        <v>0</v>
      </c>
      <c r="AO317" s="110">
        <f t="shared" si="130"/>
        <v>0</v>
      </c>
      <c r="AP317" s="110">
        <f t="shared" si="130"/>
        <v>0</v>
      </c>
      <c r="AQ317" s="110">
        <f t="shared" si="130"/>
        <v>0</v>
      </c>
      <c r="AR317" s="110">
        <f t="shared" si="130"/>
        <v>0</v>
      </c>
      <c r="AS317" s="110">
        <f t="shared" si="130"/>
        <v>0</v>
      </c>
      <c r="AT317" s="110">
        <f t="shared" si="130"/>
        <v>0</v>
      </c>
      <c r="AU317" s="110">
        <f t="shared" si="130"/>
        <v>0</v>
      </c>
      <c r="AV317" s="110"/>
      <c r="AW317" s="110"/>
      <c r="AX317" s="110"/>
      <c r="AY317" s="110"/>
      <c r="AZ317" s="110"/>
      <c r="BA317" s="110"/>
      <c r="BB317" s="110"/>
      <c r="BC317" s="110"/>
      <c r="BD317" s="110"/>
      <c r="BE317" s="110"/>
      <c r="BF317" s="110"/>
      <c r="BG317" s="110"/>
      <c r="BH317" s="110"/>
      <c r="BI317" s="110"/>
      <c r="BJ317" s="110"/>
      <c r="BK317" s="110"/>
      <c r="BL317" s="110"/>
      <c r="BM317" s="110"/>
      <c r="BN317" s="110"/>
      <c r="BO317" s="110"/>
      <c r="BP317" s="110"/>
      <c r="BQ317" s="110"/>
      <c r="BR317" s="110"/>
      <c r="BS317" s="110"/>
      <c r="BT317" s="110"/>
      <c r="BU317" s="110"/>
      <c r="BV317" s="110"/>
      <c r="BW317" s="110"/>
      <c r="BX317" s="110"/>
      <c r="BY317" s="110"/>
      <c r="BZ317" s="110"/>
      <c r="CA317" s="110"/>
      <c r="CB317" s="110"/>
      <c r="CC317" s="110"/>
      <c r="CD317" s="110"/>
      <c r="CE317" s="110"/>
      <c r="CF317" s="110"/>
    </row>
    <row r="318" spans="1:84" s="45" customFormat="1" ht="14.25" x14ac:dyDescent="0.3">
      <c r="A318" s="133" t="s">
        <v>233</v>
      </c>
      <c r="C318" s="135">
        <f t="shared" ref="C318:D318" si="131">MIN(C130:C251)</f>
        <v>-9.35E-2</v>
      </c>
      <c r="D318" s="135">
        <f t="shared" si="131"/>
        <v>-0.1709</v>
      </c>
      <c r="E318" s="43">
        <f t="shared" ref="E318:T318" si="132">MIN(E130:E251)</f>
        <v>136929.70000000001</v>
      </c>
      <c r="F318" s="43">
        <f t="shared" si="132"/>
        <v>16542</v>
      </c>
      <c r="G318" s="43">
        <f t="shared" si="132"/>
        <v>-85717.85</v>
      </c>
      <c r="H318" s="43">
        <f t="shared" si="132"/>
        <v>180</v>
      </c>
      <c r="I318" s="42">
        <f t="shared" si="132"/>
        <v>2.7924024173648932E-4</v>
      </c>
      <c r="J318" s="80">
        <f t="shared" si="132"/>
        <v>0</v>
      </c>
      <c r="K318" s="43">
        <f t="shared" si="132"/>
        <v>0</v>
      </c>
      <c r="L318" s="42">
        <f t="shared" si="132"/>
        <v>0</v>
      </c>
      <c r="M318" s="43">
        <f t="shared" si="132"/>
        <v>0</v>
      </c>
      <c r="N318" s="43">
        <f t="shared" si="132"/>
        <v>0</v>
      </c>
      <c r="O318" s="43">
        <f t="shared" si="132"/>
        <v>0</v>
      </c>
      <c r="P318" s="80">
        <f t="shared" si="132"/>
        <v>0</v>
      </c>
      <c r="Q318" s="43">
        <f t="shared" si="132"/>
        <v>0</v>
      </c>
      <c r="R318" s="43">
        <f t="shared" si="132"/>
        <v>0</v>
      </c>
      <c r="S318" s="43">
        <f t="shared" si="132"/>
        <v>0</v>
      </c>
      <c r="T318" s="43">
        <f t="shared" si="132"/>
        <v>0</v>
      </c>
      <c r="U318" s="43">
        <f t="shared" ref="U318:AJ318" si="133">MIN(U130:U251)</f>
        <v>0</v>
      </c>
      <c r="V318" s="43">
        <f t="shared" si="133"/>
        <v>0</v>
      </c>
      <c r="W318" s="43">
        <f t="shared" si="133"/>
        <v>0</v>
      </c>
      <c r="X318" s="43">
        <f t="shared" si="133"/>
        <v>0</v>
      </c>
      <c r="Y318" s="110"/>
      <c r="Z318" s="110"/>
      <c r="AA318" s="110">
        <f t="shared" si="133"/>
        <v>0</v>
      </c>
      <c r="AB318" s="110">
        <f t="shared" si="133"/>
        <v>0</v>
      </c>
      <c r="AC318" s="110">
        <f t="shared" si="133"/>
        <v>0</v>
      </c>
      <c r="AD318" s="110">
        <f t="shared" si="133"/>
        <v>0</v>
      </c>
      <c r="AE318" s="110">
        <f t="shared" si="133"/>
        <v>0</v>
      </c>
      <c r="AF318" s="110">
        <f t="shared" si="133"/>
        <v>0</v>
      </c>
      <c r="AG318" s="110">
        <f t="shared" si="133"/>
        <v>0</v>
      </c>
      <c r="AH318" s="110">
        <f t="shared" si="133"/>
        <v>0</v>
      </c>
      <c r="AI318" s="110">
        <f t="shared" si="133"/>
        <v>0</v>
      </c>
      <c r="AJ318" s="110">
        <f t="shared" si="133"/>
        <v>0</v>
      </c>
      <c r="AK318" s="110">
        <f t="shared" ref="AK318:AU318" si="134">MIN(AK130:AK251)</f>
        <v>0</v>
      </c>
      <c r="AL318" s="110">
        <f t="shared" si="134"/>
        <v>0</v>
      </c>
      <c r="AM318" s="110">
        <f t="shared" si="134"/>
        <v>0</v>
      </c>
      <c r="AN318" s="110">
        <f t="shared" si="134"/>
        <v>0</v>
      </c>
      <c r="AO318" s="110">
        <f t="shared" si="134"/>
        <v>0</v>
      </c>
      <c r="AP318" s="110">
        <f t="shared" si="134"/>
        <v>0</v>
      </c>
      <c r="AQ318" s="110">
        <f t="shared" si="134"/>
        <v>0</v>
      </c>
      <c r="AR318" s="110">
        <f t="shared" si="134"/>
        <v>0</v>
      </c>
      <c r="AS318" s="110">
        <f t="shared" si="134"/>
        <v>0</v>
      </c>
      <c r="AT318" s="110">
        <f t="shared" si="134"/>
        <v>0</v>
      </c>
      <c r="AU318" s="110">
        <f t="shared" si="134"/>
        <v>0</v>
      </c>
      <c r="AV318" s="110"/>
      <c r="AW318" s="110"/>
      <c r="AX318" s="110"/>
      <c r="AY318" s="110"/>
      <c r="AZ318" s="110"/>
      <c r="BA318" s="110"/>
      <c r="BB318" s="110"/>
      <c r="BC318" s="110"/>
      <c r="BD318" s="110"/>
      <c r="BE318" s="110"/>
      <c r="BF318" s="110"/>
      <c r="BG318" s="110"/>
      <c r="BH318" s="110"/>
      <c r="BI318" s="110"/>
      <c r="BJ318" s="110"/>
      <c r="BK318" s="110"/>
      <c r="BL318" s="110"/>
      <c r="BM318" s="110"/>
      <c r="BN318" s="110"/>
      <c r="BO318" s="110"/>
      <c r="BP318" s="110"/>
      <c r="BQ318" s="110"/>
      <c r="BR318" s="110"/>
      <c r="BS318" s="110"/>
      <c r="BT318" s="110"/>
      <c r="BU318" s="110"/>
      <c r="BV318" s="110"/>
      <c r="BW318" s="110"/>
      <c r="BX318" s="110"/>
      <c r="BY318" s="110"/>
      <c r="BZ318" s="110"/>
      <c r="CA318" s="110"/>
      <c r="CB318" s="110"/>
      <c r="CC318" s="110"/>
      <c r="CD318" s="110"/>
      <c r="CE318" s="110"/>
      <c r="CF318" s="110"/>
    </row>
    <row r="319" spans="1:84" s="45" customFormat="1" ht="14.25" x14ac:dyDescent="0.3">
      <c r="A319" s="133" t="s">
        <v>233</v>
      </c>
      <c r="C319" s="135">
        <f t="shared" ref="C319:D319" si="135">MIN(C265:C271)</f>
        <v>0</v>
      </c>
      <c r="D319" s="135">
        <f t="shared" si="135"/>
        <v>0</v>
      </c>
      <c r="E319" s="43">
        <f t="shared" ref="E319:T319" si="136">MIN(E265:E271)</f>
        <v>610815.5</v>
      </c>
      <c r="F319" s="43">
        <f t="shared" si="136"/>
        <v>266002</v>
      </c>
      <c r="G319" s="43">
        <f t="shared" si="136"/>
        <v>144927.5</v>
      </c>
      <c r="H319" s="43">
        <f t="shared" si="136"/>
        <v>0</v>
      </c>
      <c r="I319" s="42">
        <f t="shared" si="136"/>
        <v>0</v>
      </c>
      <c r="J319" s="80">
        <f t="shared" si="136"/>
        <v>9424</v>
      </c>
      <c r="K319" s="43">
        <f t="shared" si="136"/>
        <v>1114.8835985236346</v>
      </c>
      <c r="L319" s="42">
        <f t="shared" si="136"/>
        <v>8.6446814852698967E-3</v>
      </c>
      <c r="M319" s="43">
        <f t="shared" si="136"/>
        <v>50</v>
      </c>
      <c r="N319" s="43">
        <f t="shared" si="136"/>
        <v>866.52211552095093</v>
      </c>
      <c r="O319" s="43">
        <f t="shared" si="136"/>
        <v>66.655547347765463</v>
      </c>
      <c r="P319" s="80">
        <f t="shared" si="136"/>
        <v>3000</v>
      </c>
      <c r="Q319" s="43">
        <f t="shared" si="136"/>
        <v>0</v>
      </c>
      <c r="R319" s="43">
        <f t="shared" si="136"/>
        <v>0</v>
      </c>
      <c r="S319" s="43">
        <f t="shared" si="136"/>
        <v>3000</v>
      </c>
      <c r="T319" s="43">
        <f t="shared" si="136"/>
        <v>4000</v>
      </c>
      <c r="U319" s="43">
        <f t="shared" ref="U319:AJ319" si="137">MIN(U265:U271)</f>
        <v>0</v>
      </c>
      <c r="V319" s="43">
        <f t="shared" si="137"/>
        <v>0</v>
      </c>
      <c r="W319" s="43">
        <f t="shared" si="137"/>
        <v>4700</v>
      </c>
      <c r="X319" s="43">
        <f t="shared" si="137"/>
        <v>0</v>
      </c>
      <c r="Y319" s="110"/>
      <c r="Z319" s="110"/>
      <c r="AA319" s="110">
        <f t="shared" si="137"/>
        <v>0</v>
      </c>
      <c r="AB319" s="110">
        <f t="shared" si="137"/>
        <v>0</v>
      </c>
      <c r="AC319" s="110">
        <f t="shared" si="137"/>
        <v>0</v>
      </c>
      <c r="AD319" s="110">
        <f t="shared" si="137"/>
        <v>0</v>
      </c>
      <c r="AE319" s="110">
        <f t="shared" si="137"/>
        <v>0</v>
      </c>
      <c r="AF319" s="110">
        <f t="shared" si="137"/>
        <v>0</v>
      </c>
      <c r="AG319" s="110">
        <f t="shared" si="137"/>
        <v>0</v>
      </c>
      <c r="AH319" s="110">
        <f t="shared" si="137"/>
        <v>0</v>
      </c>
      <c r="AI319" s="110">
        <f t="shared" si="137"/>
        <v>0</v>
      </c>
      <c r="AJ319" s="110">
        <f t="shared" si="137"/>
        <v>0</v>
      </c>
      <c r="AK319" s="110">
        <f t="shared" ref="AK319:AU319" si="138">MIN(AK265:AK271)</f>
        <v>0</v>
      </c>
      <c r="AL319" s="110">
        <f t="shared" si="138"/>
        <v>0</v>
      </c>
      <c r="AM319" s="110">
        <f t="shared" si="138"/>
        <v>0</v>
      </c>
      <c r="AN319" s="110">
        <f t="shared" si="138"/>
        <v>0</v>
      </c>
      <c r="AO319" s="110">
        <f t="shared" si="138"/>
        <v>0</v>
      </c>
      <c r="AP319" s="110">
        <f t="shared" si="138"/>
        <v>0</v>
      </c>
      <c r="AQ319" s="110">
        <f t="shared" si="138"/>
        <v>0</v>
      </c>
      <c r="AR319" s="110">
        <f t="shared" si="138"/>
        <v>0</v>
      </c>
      <c r="AS319" s="110">
        <f t="shared" si="138"/>
        <v>0</v>
      </c>
      <c r="AT319" s="110">
        <f t="shared" si="138"/>
        <v>0</v>
      </c>
      <c r="AU319" s="110">
        <f t="shared" si="138"/>
        <v>0</v>
      </c>
      <c r="AV319" s="110"/>
      <c r="AW319" s="110"/>
      <c r="AX319" s="110"/>
      <c r="AY319" s="110"/>
      <c r="AZ319" s="110"/>
      <c r="BA319" s="110"/>
      <c r="BB319" s="110"/>
      <c r="BC319" s="110"/>
      <c r="BD319" s="110"/>
      <c r="BE319" s="110"/>
      <c r="BF319" s="110"/>
      <c r="BG319" s="110"/>
      <c r="BH319" s="110"/>
      <c r="BI319" s="110"/>
      <c r="BJ319" s="110"/>
      <c r="BK319" s="110"/>
      <c r="BL319" s="110"/>
      <c r="BM319" s="110"/>
      <c r="BN319" s="110"/>
      <c r="BO319" s="110"/>
      <c r="BP319" s="110"/>
      <c r="BQ319" s="110"/>
      <c r="BR319" s="110"/>
      <c r="BS319" s="110"/>
      <c r="BT319" s="110"/>
      <c r="BU319" s="110"/>
      <c r="BV319" s="110"/>
      <c r="BW319" s="110"/>
      <c r="BX319" s="110"/>
      <c r="BY319" s="110"/>
      <c r="BZ319" s="110"/>
      <c r="CA319" s="110"/>
      <c r="CB319" s="110"/>
      <c r="CC319" s="110"/>
      <c r="CD319" s="110"/>
      <c r="CE319" s="110"/>
      <c r="CF319" s="110"/>
    </row>
    <row r="320" spans="1:84" s="45" customFormat="1" x14ac:dyDescent="0.25">
      <c r="A320" s="45" t="s">
        <v>35</v>
      </c>
      <c r="C320" s="42">
        <f t="shared" ref="C320:D320" si="139">MIN(C318:C319)</f>
        <v>-9.35E-2</v>
      </c>
      <c r="D320" s="42">
        <f t="shared" si="139"/>
        <v>-0.1709</v>
      </c>
      <c r="E320" s="43">
        <f t="shared" ref="E320:T320" si="140">MIN(E318:E319)</f>
        <v>136929.70000000001</v>
      </c>
      <c r="F320" s="43">
        <f t="shared" si="140"/>
        <v>16542</v>
      </c>
      <c r="G320" s="43">
        <f t="shared" si="140"/>
        <v>-85717.85</v>
      </c>
      <c r="H320" s="43">
        <f t="shared" si="140"/>
        <v>0</v>
      </c>
      <c r="I320" s="42">
        <f t="shared" si="140"/>
        <v>0</v>
      </c>
      <c r="J320" s="80">
        <f t="shared" si="140"/>
        <v>0</v>
      </c>
      <c r="K320" s="43">
        <f t="shared" si="140"/>
        <v>0</v>
      </c>
      <c r="L320" s="42">
        <f t="shared" si="140"/>
        <v>0</v>
      </c>
      <c r="M320" s="43">
        <f t="shared" si="140"/>
        <v>0</v>
      </c>
      <c r="N320" s="43">
        <f t="shared" si="140"/>
        <v>0</v>
      </c>
      <c r="O320" s="43">
        <f t="shared" si="140"/>
        <v>0</v>
      </c>
      <c r="P320" s="80">
        <f t="shared" si="140"/>
        <v>0</v>
      </c>
      <c r="Q320" s="43">
        <f t="shared" si="140"/>
        <v>0</v>
      </c>
      <c r="R320" s="43">
        <f t="shared" si="140"/>
        <v>0</v>
      </c>
      <c r="S320" s="43">
        <f t="shared" si="140"/>
        <v>0</v>
      </c>
      <c r="T320" s="43">
        <f t="shared" si="140"/>
        <v>0</v>
      </c>
      <c r="U320" s="43">
        <f t="shared" ref="U320:AJ320" si="141">MIN(U318:U319)</f>
        <v>0</v>
      </c>
      <c r="V320" s="43">
        <f t="shared" si="141"/>
        <v>0</v>
      </c>
      <c r="W320" s="43">
        <f t="shared" si="141"/>
        <v>0</v>
      </c>
      <c r="X320" s="43">
        <f t="shared" si="141"/>
        <v>0</v>
      </c>
      <c r="Y320" s="110"/>
      <c r="Z320" s="110"/>
      <c r="AA320" s="110">
        <f t="shared" si="141"/>
        <v>0</v>
      </c>
      <c r="AB320" s="110">
        <f t="shared" si="141"/>
        <v>0</v>
      </c>
      <c r="AC320" s="110">
        <f t="shared" si="141"/>
        <v>0</v>
      </c>
      <c r="AD320" s="110">
        <f t="shared" si="141"/>
        <v>0</v>
      </c>
      <c r="AE320" s="110">
        <f t="shared" si="141"/>
        <v>0</v>
      </c>
      <c r="AF320" s="110">
        <f t="shared" si="141"/>
        <v>0</v>
      </c>
      <c r="AG320" s="110">
        <f t="shared" si="141"/>
        <v>0</v>
      </c>
      <c r="AH320" s="110">
        <f t="shared" si="141"/>
        <v>0</v>
      </c>
      <c r="AI320" s="110">
        <f t="shared" si="141"/>
        <v>0</v>
      </c>
      <c r="AJ320" s="110">
        <f t="shared" si="141"/>
        <v>0</v>
      </c>
      <c r="AK320" s="110">
        <f t="shared" ref="AK320:AU320" si="142">MIN(AK318:AK319)</f>
        <v>0</v>
      </c>
      <c r="AL320" s="110">
        <f t="shared" si="142"/>
        <v>0</v>
      </c>
      <c r="AM320" s="110">
        <f t="shared" si="142"/>
        <v>0</v>
      </c>
      <c r="AN320" s="110">
        <f t="shared" si="142"/>
        <v>0</v>
      </c>
      <c r="AO320" s="110">
        <f t="shared" si="142"/>
        <v>0</v>
      </c>
      <c r="AP320" s="110">
        <f t="shared" si="142"/>
        <v>0</v>
      </c>
      <c r="AQ320" s="110">
        <f t="shared" si="142"/>
        <v>0</v>
      </c>
      <c r="AR320" s="110">
        <f t="shared" si="142"/>
        <v>0</v>
      </c>
      <c r="AS320" s="110">
        <f t="shared" si="142"/>
        <v>0</v>
      </c>
      <c r="AT320" s="110">
        <f t="shared" si="142"/>
        <v>0</v>
      </c>
      <c r="AU320" s="110">
        <f t="shared" si="142"/>
        <v>0</v>
      </c>
      <c r="AV320" s="110"/>
      <c r="AW320" s="110"/>
      <c r="AX320" s="110"/>
      <c r="AY320" s="110"/>
      <c r="AZ320" s="110"/>
      <c r="BA320" s="110"/>
      <c r="BB320" s="110"/>
      <c r="BC320" s="110"/>
      <c r="BD320" s="110"/>
      <c r="BE320" s="110"/>
      <c r="BF320" s="110"/>
      <c r="BG320" s="110"/>
      <c r="BH320" s="110"/>
      <c r="BI320" s="110"/>
      <c r="BJ320" s="110"/>
      <c r="BK320" s="110"/>
      <c r="BL320" s="110"/>
      <c r="BM320" s="110"/>
      <c r="BN320" s="110"/>
      <c r="BO320" s="110"/>
      <c r="BP320" s="110"/>
      <c r="BQ320" s="110"/>
      <c r="BR320" s="110"/>
      <c r="BS320" s="110"/>
      <c r="BT320" s="110"/>
      <c r="BU320" s="110"/>
      <c r="BV320" s="110"/>
      <c r="BW320" s="110"/>
      <c r="BX320" s="110"/>
      <c r="BY320" s="110"/>
      <c r="BZ320" s="110"/>
      <c r="CA320" s="110"/>
      <c r="CB320" s="110"/>
      <c r="CC320" s="110"/>
      <c r="CD320" s="110"/>
      <c r="CE320" s="110"/>
      <c r="CF320" s="110"/>
    </row>
    <row r="321" spans="1:84" s="45" customFormat="1" x14ac:dyDescent="0.25">
      <c r="A321" s="45" t="s">
        <v>36</v>
      </c>
      <c r="C321" s="42">
        <f t="shared" ref="C321:R321" si="143">MIN(C252:C264)</f>
        <v>0</v>
      </c>
      <c r="D321" s="42">
        <f t="shared" si="143"/>
        <v>0</v>
      </c>
      <c r="E321" s="43">
        <f t="shared" si="143"/>
        <v>610815.5</v>
      </c>
      <c r="F321" s="43">
        <f t="shared" si="143"/>
        <v>266002</v>
      </c>
      <c r="G321" s="43">
        <f t="shared" si="143"/>
        <v>144927.5</v>
      </c>
      <c r="H321" s="43">
        <f t="shared" si="143"/>
        <v>0</v>
      </c>
      <c r="I321" s="42">
        <f t="shared" si="143"/>
        <v>0</v>
      </c>
      <c r="J321" s="80">
        <f t="shared" si="143"/>
        <v>9424</v>
      </c>
      <c r="K321" s="43">
        <f t="shared" si="143"/>
        <v>8309.1164014763654</v>
      </c>
      <c r="L321" s="42">
        <f t="shared" si="143"/>
        <v>8.644681485269895E-3</v>
      </c>
      <c r="M321" s="43">
        <f t="shared" si="143"/>
        <v>40</v>
      </c>
      <c r="N321" s="43">
        <f t="shared" si="143"/>
        <v>1593.9919579923815</v>
      </c>
      <c r="O321" s="43">
        <f t="shared" si="143"/>
        <v>82.707129895831116</v>
      </c>
      <c r="P321" s="80">
        <f t="shared" si="143"/>
        <v>3000</v>
      </c>
      <c r="Q321" s="43">
        <f t="shared" si="143"/>
        <v>0</v>
      </c>
      <c r="R321" s="43">
        <f t="shared" si="143"/>
        <v>0</v>
      </c>
      <c r="S321" s="43">
        <f t="shared" ref="S321:AH321" si="144">MIN(S252:S264)</f>
        <v>3000</v>
      </c>
      <c r="T321" s="43">
        <f t="shared" si="144"/>
        <v>4000</v>
      </c>
      <c r="U321" s="43">
        <f t="shared" si="144"/>
        <v>0</v>
      </c>
      <c r="V321" s="43">
        <f t="shared" si="144"/>
        <v>0</v>
      </c>
      <c r="W321" s="43">
        <f t="shared" si="144"/>
        <v>4700</v>
      </c>
      <c r="X321" s="43">
        <f t="shared" si="144"/>
        <v>0</v>
      </c>
      <c r="Y321" s="110"/>
      <c r="Z321" s="110"/>
      <c r="AA321" s="110">
        <f t="shared" si="144"/>
        <v>0</v>
      </c>
      <c r="AB321" s="110">
        <f t="shared" si="144"/>
        <v>0</v>
      </c>
      <c r="AC321" s="110">
        <f t="shared" si="144"/>
        <v>0</v>
      </c>
      <c r="AD321" s="110">
        <f t="shared" si="144"/>
        <v>0</v>
      </c>
      <c r="AE321" s="110">
        <f t="shared" si="144"/>
        <v>0</v>
      </c>
      <c r="AF321" s="110">
        <f t="shared" si="144"/>
        <v>0</v>
      </c>
      <c r="AG321" s="110">
        <f t="shared" si="144"/>
        <v>0</v>
      </c>
      <c r="AH321" s="110">
        <f t="shared" si="144"/>
        <v>0</v>
      </c>
      <c r="AI321" s="110">
        <f t="shared" ref="AI321:AU321" si="145">MIN(AI252:AI264)</f>
        <v>0</v>
      </c>
      <c r="AJ321" s="110">
        <f t="shared" si="145"/>
        <v>0</v>
      </c>
      <c r="AK321" s="110">
        <f t="shared" si="145"/>
        <v>0</v>
      </c>
      <c r="AL321" s="110">
        <f t="shared" si="145"/>
        <v>0</v>
      </c>
      <c r="AM321" s="110">
        <f t="shared" si="145"/>
        <v>0</v>
      </c>
      <c r="AN321" s="110">
        <f t="shared" si="145"/>
        <v>0</v>
      </c>
      <c r="AO321" s="110">
        <f t="shared" si="145"/>
        <v>0</v>
      </c>
      <c r="AP321" s="110">
        <f t="shared" si="145"/>
        <v>0</v>
      </c>
      <c r="AQ321" s="110">
        <f t="shared" si="145"/>
        <v>0</v>
      </c>
      <c r="AR321" s="110">
        <f t="shared" si="145"/>
        <v>0</v>
      </c>
      <c r="AS321" s="110">
        <f t="shared" si="145"/>
        <v>0</v>
      </c>
      <c r="AT321" s="110">
        <f t="shared" si="145"/>
        <v>0</v>
      </c>
      <c r="AU321" s="110">
        <f t="shared" si="145"/>
        <v>0</v>
      </c>
      <c r="AV321" s="110"/>
      <c r="AW321" s="110"/>
      <c r="AX321" s="110"/>
      <c r="AY321" s="110"/>
      <c r="AZ321" s="110"/>
      <c r="BA321" s="110"/>
      <c r="BB321" s="110"/>
      <c r="BC321" s="110"/>
      <c r="BD321" s="110"/>
      <c r="BE321" s="110"/>
      <c r="BF321" s="110"/>
      <c r="BG321" s="110"/>
      <c r="BH321" s="110"/>
      <c r="BI321" s="110"/>
      <c r="BJ321" s="110"/>
      <c r="BK321" s="110"/>
      <c r="BL321" s="110"/>
      <c r="BM321" s="110"/>
      <c r="BN321" s="110"/>
      <c r="BO321" s="110"/>
      <c r="BP321" s="110"/>
      <c r="BQ321" s="110"/>
      <c r="BR321" s="110"/>
      <c r="BS321" s="110"/>
      <c r="BT321" s="110"/>
      <c r="BU321" s="110"/>
      <c r="BV321" s="110"/>
      <c r="BW321" s="110"/>
      <c r="BX321" s="110"/>
      <c r="BY321" s="110"/>
      <c r="BZ321" s="110"/>
      <c r="CA321" s="110"/>
      <c r="CB321" s="110"/>
      <c r="CC321" s="110"/>
      <c r="CD321" s="110"/>
      <c r="CE321" s="110"/>
      <c r="CF321" s="110"/>
    </row>
    <row r="322" spans="1:84" s="45" customFormat="1" x14ac:dyDescent="0.25">
      <c r="A322" s="45" t="s">
        <v>37</v>
      </c>
      <c r="C322" s="42">
        <f t="shared" ref="C322:R322" si="146">MIN(C272:C300)</f>
        <v>-1.5900000000000001E-2</v>
      </c>
      <c r="D322" s="42">
        <f t="shared" si="146"/>
        <v>-5.3E-3</v>
      </c>
      <c r="E322" s="43">
        <f t="shared" si="146"/>
        <v>707832.55</v>
      </c>
      <c r="F322" s="43">
        <f t="shared" si="146"/>
        <v>73325.350000000006</v>
      </c>
      <c r="G322" s="43">
        <f t="shared" si="146"/>
        <v>354347.6</v>
      </c>
      <c r="H322" s="43">
        <f t="shared" si="146"/>
        <v>1347.05</v>
      </c>
      <c r="I322" s="42">
        <f t="shared" si="146"/>
        <v>1.4952752692654086E-4</v>
      </c>
      <c r="J322" s="80">
        <f t="shared" si="146"/>
        <v>16000</v>
      </c>
      <c r="K322" s="43">
        <f t="shared" si="146"/>
        <v>16000</v>
      </c>
      <c r="L322" s="42">
        <f t="shared" si="146"/>
        <v>8.7110767013522435E-3</v>
      </c>
      <c r="M322" s="43">
        <f t="shared" si="146"/>
        <v>50</v>
      </c>
      <c r="N322" s="43">
        <f t="shared" si="146"/>
        <v>2405.5555555555557</v>
      </c>
      <c r="O322" s="43">
        <f t="shared" si="146"/>
        <v>149.53271028037383</v>
      </c>
      <c r="P322" s="80">
        <f t="shared" si="146"/>
        <v>0</v>
      </c>
      <c r="Q322" s="43">
        <f t="shared" si="146"/>
        <v>0</v>
      </c>
      <c r="R322" s="43">
        <f t="shared" si="146"/>
        <v>0</v>
      </c>
      <c r="S322" s="43">
        <f t="shared" ref="S322:AH322" si="147">MIN(S272:S300)</f>
        <v>0</v>
      </c>
      <c r="T322" s="43">
        <f t="shared" si="147"/>
        <v>0</v>
      </c>
      <c r="U322" s="43">
        <f t="shared" si="147"/>
        <v>0</v>
      </c>
      <c r="V322" s="43">
        <f t="shared" si="147"/>
        <v>0</v>
      </c>
      <c r="W322" s="43">
        <f t="shared" si="147"/>
        <v>0</v>
      </c>
      <c r="X322" s="43">
        <f t="shared" si="147"/>
        <v>0</v>
      </c>
      <c r="Y322" s="110"/>
      <c r="Z322" s="110"/>
      <c r="AA322" s="110">
        <f t="shared" si="147"/>
        <v>0</v>
      </c>
      <c r="AB322" s="110">
        <f t="shared" si="147"/>
        <v>0</v>
      </c>
      <c r="AC322" s="110">
        <f t="shared" si="147"/>
        <v>0</v>
      </c>
      <c r="AD322" s="110">
        <f t="shared" si="147"/>
        <v>0</v>
      </c>
      <c r="AE322" s="110">
        <f t="shared" si="147"/>
        <v>0</v>
      </c>
      <c r="AF322" s="110">
        <f t="shared" si="147"/>
        <v>0</v>
      </c>
      <c r="AG322" s="110">
        <f t="shared" si="147"/>
        <v>0</v>
      </c>
      <c r="AH322" s="110">
        <f t="shared" si="147"/>
        <v>0</v>
      </c>
      <c r="AI322" s="110">
        <f t="shared" ref="AI322:AU322" si="148">MIN(AI272:AI300)</f>
        <v>0</v>
      </c>
      <c r="AJ322" s="110">
        <f t="shared" si="148"/>
        <v>0</v>
      </c>
      <c r="AK322" s="110">
        <f t="shared" si="148"/>
        <v>0</v>
      </c>
      <c r="AL322" s="110">
        <f t="shared" si="148"/>
        <v>0</v>
      </c>
      <c r="AM322" s="110">
        <f t="shared" si="148"/>
        <v>0</v>
      </c>
      <c r="AN322" s="110">
        <f t="shared" si="148"/>
        <v>0</v>
      </c>
      <c r="AO322" s="110">
        <f t="shared" si="148"/>
        <v>0</v>
      </c>
      <c r="AP322" s="110">
        <f t="shared" si="148"/>
        <v>0</v>
      </c>
      <c r="AQ322" s="110">
        <f t="shared" si="148"/>
        <v>0</v>
      </c>
      <c r="AR322" s="110">
        <f t="shared" si="148"/>
        <v>0</v>
      </c>
      <c r="AS322" s="110">
        <f t="shared" si="148"/>
        <v>0</v>
      </c>
      <c r="AT322" s="110">
        <f t="shared" si="148"/>
        <v>0</v>
      </c>
      <c r="AU322" s="110">
        <f t="shared" si="148"/>
        <v>0</v>
      </c>
      <c r="AV322" s="110"/>
      <c r="AW322" s="110"/>
      <c r="AX322" s="110"/>
      <c r="AY322" s="110"/>
      <c r="AZ322" s="110"/>
      <c r="BA322" s="110"/>
      <c r="BB322" s="110"/>
      <c r="BC322" s="110"/>
      <c r="BD322" s="110"/>
      <c r="BE322" s="110"/>
      <c r="BF322" s="110"/>
      <c r="BG322" s="110"/>
      <c r="BH322" s="110"/>
      <c r="BI322" s="110"/>
      <c r="BJ322" s="110"/>
      <c r="BK322" s="110"/>
      <c r="BL322" s="110"/>
      <c r="BM322" s="110"/>
      <c r="BN322" s="110"/>
      <c r="BO322" s="110"/>
      <c r="BP322" s="110"/>
      <c r="BQ322" s="110"/>
      <c r="BR322" s="110"/>
      <c r="BS322" s="110"/>
      <c r="BT322" s="110"/>
      <c r="BU322" s="110"/>
      <c r="BV322" s="110"/>
      <c r="BW322" s="110"/>
      <c r="BX322" s="110"/>
      <c r="BY322" s="110"/>
      <c r="BZ322" s="110"/>
      <c r="CA322" s="110"/>
      <c r="CB322" s="110"/>
      <c r="CC322" s="110"/>
      <c r="CD322" s="110"/>
      <c r="CE322" s="110"/>
      <c r="CF322" s="110"/>
    </row>
    <row r="323" spans="1:84" x14ac:dyDescent="0.25">
      <c r="O323" s="10"/>
    </row>
    <row r="324" spans="1:84" x14ac:dyDescent="0.25">
      <c r="O324" s="10"/>
    </row>
    <row r="325" spans="1:84" x14ac:dyDescent="0.25">
      <c r="O325" s="10"/>
    </row>
    <row r="326" spans="1:84" x14ac:dyDescent="0.25">
      <c r="O326" s="10"/>
    </row>
    <row r="327" spans="1:84" x14ac:dyDescent="0.25">
      <c r="O327" s="10"/>
    </row>
    <row r="328" spans="1:84" x14ac:dyDescent="0.25">
      <c r="O328" s="10"/>
    </row>
    <row r="329" spans="1:84" x14ac:dyDescent="0.25">
      <c r="O329" s="10"/>
    </row>
    <row r="330" spans="1:84" x14ac:dyDescent="0.25">
      <c r="O330" s="10"/>
    </row>
    <row r="331" spans="1:84" x14ac:dyDescent="0.25">
      <c r="O331" s="10"/>
    </row>
    <row r="332" spans="1:84" x14ac:dyDescent="0.25">
      <c r="O332" s="10"/>
    </row>
    <row r="333" spans="1:84" x14ac:dyDescent="0.25">
      <c r="O333" s="10"/>
    </row>
    <row r="334" spans="1:84" x14ac:dyDescent="0.25">
      <c r="O334" s="10"/>
    </row>
    <row r="335" spans="1:84" x14ac:dyDescent="0.25">
      <c r="O335" s="10"/>
    </row>
    <row r="336" spans="1:84" x14ac:dyDescent="0.25">
      <c r="O336" s="10"/>
    </row>
    <row r="337" spans="15:15" x14ac:dyDescent="0.25">
      <c r="O337" s="10"/>
    </row>
    <row r="338" spans="15:15" x14ac:dyDescent="0.25">
      <c r="O338" s="10"/>
    </row>
    <row r="339" spans="15:15" x14ac:dyDescent="0.25">
      <c r="O339" s="10"/>
    </row>
    <row r="340" spans="15:15" x14ac:dyDescent="0.25">
      <c r="O340" s="10"/>
    </row>
    <row r="341" spans="15:15" x14ac:dyDescent="0.25">
      <c r="O341" s="10"/>
    </row>
    <row r="342" spans="15:15" x14ac:dyDescent="0.25">
      <c r="O342" s="10"/>
    </row>
    <row r="343" spans="15:15" x14ac:dyDescent="0.25">
      <c r="O343" s="10"/>
    </row>
    <row r="344" spans="15:15" x14ac:dyDescent="0.25">
      <c r="O344" s="10"/>
    </row>
    <row r="345" spans="15:15" x14ac:dyDescent="0.25">
      <c r="O345" s="10"/>
    </row>
    <row r="346" spans="15:15" x14ac:dyDescent="0.25">
      <c r="O346" s="10"/>
    </row>
    <row r="347" spans="15:15" x14ac:dyDescent="0.25">
      <c r="O347" s="10"/>
    </row>
    <row r="348" spans="15:15" x14ac:dyDescent="0.25">
      <c r="O348" s="10"/>
    </row>
    <row r="349" spans="15:15" x14ac:dyDescent="0.25">
      <c r="O349" s="10"/>
    </row>
    <row r="350" spans="15:15" x14ac:dyDescent="0.25">
      <c r="O350" s="10"/>
    </row>
    <row r="351" spans="15:15" x14ac:dyDescent="0.25">
      <c r="O351" s="10"/>
    </row>
    <row r="352" spans="15:15" x14ac:dyDescent="0.25">
      <c r="O352" s="10"/>
    </row>
    <row r="353" spans="15:15" x14ac:dyDescent="0.25">
      <c r="O353" s="10"/>
    </row>
    <row r="354" spans="15:15" x14ac:dyDescent="0.25">
      <c r="O354" s="10"/>
    </row>
    <row r="355" spans="15:15" x14ac:dyDescent="0.25">
      <c r="O355" s="10"/>
    </row>
    <row r="356" spans="15:15" x14ac:dyDescent="0.25">
      <c r="O356" s="10"/>
    </row>
    <row r="357" spans="15:15" x14ac:dyDescent="0.25">
      <c r="O357" s="10"/>
    </row>
    <row r="358" spans="15:15" x14ac:dyDescent="0.25">
      <c r="O358" s="10"/>
    </row>
    <row r="359" spans="15:15" x14ac:dyDescent="0.25">
      <c r="O359" s="10"/>
    </row>
    <row r="360" spans="15:15" x14ac:dyDescent="0.25">
      <c r="O360" s="10"/>
    </row>
    <row r="361" spans="15:15" x14ac:dyDescent="0.25">
      <c r="O361" s="10"/>
    </row>
    <row r="362" spans="15:15" x14ac:dyDescent="0.25">
      <c r="O362" s="10"/>
    </row>
    <row r="363" spans="15:15" x14ac:dyDescent="0.25">
      <c r="O363" s="10"/>
    </row>
    <row r="364" spans="15:15" x14ac:dyDescent="0.25">
      <c r="O364" s="10"/>
    </row>
    <row r="365" spans="15:15" x14ac:dyDescent="0.25">
      <c r="O365" s="10"/>
    </row>
    <row r="366" spans="15:15" x14ac:dyDescent="0.25">
      <c r="O366" s="10"/>
    </row>
    <row r="367" spans="15:15" x14ac:dyDescent="0.25">
      <c r="O367" s="10"/>
    </row>
    <row r="368" spans="15:15" x14ac:dyDescent="0.25">
      <c r="O368" s="10"/>
    </row>
    <row r="369" spans="15:15" x14ac:dyDescent="0.25">
      <c r="O369" s="10"/>
    </row>
    <row r="370" spans="15:15" x14ac:dyDescent="0.25">
      <c r="O370" s="10"/>
    </row>
    <row r="371" spans="15:15" x14ac:dyDescent="0.25">
      <c r="O371" s="10"/>
    </row>
    <row r="372" spans="15:15" x14ac:dyDescent="0.25">
      <c r="O372" s="10"/>
    </row>
    <row r="373" spans="15:15" x14ac:dyDescent="0.25">
      <c r="O373" s="10"/>
    </row>
    <row r="374" spans="15:15" x14ac:dyDescent="0.25">
      <c r="O374" s="10"/>
    </row>
    <row r="375" spans="15:15" x14ac:dyDescent="0.25">
      <c r="O375" s="10"/>
    </row>
    <row r="376" spans="15:15" x14ac:dyDescent="0.25">
      <c r="O376" s="10"/>
    </row>
    <row r="377" spans="15:15" x14ac:dyDescent="0.25">
      <c r="O377" s="10"/>
    </row>
    <row r="378" spans="15:15" x14ac:dyDescent="0.25">
      <c r="O378" s="10"/>
    </row>
    <row r="379" spans="15:15" x14ac:dyDescent="0.25">
      <c r="O379" s="10"/>
    </row>
    <row r="380" spans="15:15" x14ac:dyDescent="0.25">
      <c r="O380" s="10"/>
    </row>
    <row r="381" spans="15:15" x14ac:dyDescent="0.25">
      <c r="O381" s="10"/>
    </row>
    <row r="382" spans="15:15" x14ac:dyDescent="0.25">
      <c r="O382" s="10"/>
    </row>
    <row r="383" spans="15:15" x14ac:dyDescent="0.25">
      <c r="O383" s="10"/>
    </row>
    <row r="384" spans="15:15" x14ac:dyDescent="0.25">
      <c r="O384" s="10"/>
    </row>
    <row r="385" spans="15:15" x14ac:dyDescent="0.25">
      <c r="O385" s="10"/>
    </row>
    <row r="386" spans="15:15" x14ac:dyDescent="0.25">
      <c r="O386" s="10"/>
    </row>
    <row r="387" spans="15:15" x14ac:dyDescent="0.25">
      <c r="O387" s="10"/>
    </row>
    <row r="388" spans="15:15" x14ac:dyDescent="0.25">
      <c r="O388" s="10"/>
    </row>
    <row r="389" spans="15:15" x14ac:dyDescent="0.25">
      <c r="O389" s="10"/>
    </row>
    <row r="390" spans="15:15" x14ac:dyDescent="0.25">
      <c r="O390" s="10"/>
    </row>
    <row r="391" spans="15:15" x14ac:dyDescent="0.25">
      <c r="O391" s="10"/>
    </row>
    <row r="392" spans="15:15" x14ac:dyDescent="0.25">
      <c r="O392" s="10"/>
    </row>
    <row r="393" spans="15:15" x14ac:dyDescent="0.25">
      <c r="O393" s="10"/>
    </row>
  </sheetData>
  <sheetProtection password="D1CE" sheet="1" objects="1" scenarios="1"/>
  <pageMargins left="0.39370078740157483" right="0.39370078740157483" top="0.39370078740157483" bottom="0.39370078740157483" header="0.51181102362204722" footer="0.51181102362204722"/>
  <pageSetup paperSize="9" scale="66" fitToHeight="4" orientation="landscape" horizontalDpi="4294967292" r:id="rId1"/>
  <headerFooter alignWithMargins="0">
    <oddHeader>&amp;R&amp;A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390"/>
  <sheetViews>
    <sheetView topLeftCell="A2" workbookViewId="0">
      <pane xSplit="2" ySplit="6" topLeftCell="C8" activePane="bottomRight" state="frozen"/>
      <selection pane="topRight"/>
      <selection pane="bottomLeft"/>
      <selection pane="bottomRight"/>
    </sheetView>
  </sheetViews>
  <sheetFormatPr baseColWidth="10" defaultColWidth="0" defaultRowHeight="13.5" x14ac:dyDescent="0.25"/>
  <cols>
    <col min="1" max="1" width="18.85546875" style="4" customWidth="1"/>
    <col min="2" max="2" width="5.7109375" style="4" customWidth="1"/>
    <col min="3" max="5" width="17.140625" style="337" customWidth="1"/>
    <col min="6" max="6" width="17.140625" style="115" customWidth="1"/>
    <col min="7" max="7" width="13.28515625" style="25" customWidth="1"/>
    <col min="8" max="8" width="17.140625" style="115" customWidth="1"/>
    <col min="9" max="9" width="17.140625" style="373" customWidth="1"/>
    <col min="10" max="10" width="8.28515625" style="120" customWidth="1"/>
    <col min="11" max="11" width="8.42578125" style="16" customWidth="1"/>
    <col min="12" max="12" width="14.7109375" style="369" customWidth="1"/>
    <col min="13" max="13" width="8.140625" style="16" hidden="1"/>
    <col min="14" max="14" width="7.28515625" style="25" hidden="1"/>
    <col min="15" max="15" width="8.140625" style="4" hidden="1"/>
    <col min="16" max="16" width="9.85546875" style="25" hidden="1"/>
    <col min="17" max="17" width="8.42578125" style="25" hidden="1"/>
    <col min="18" max="18" width="8.85546875" style="25" hidden="1"/>
    <col min="19" max="19" width="9.28515625" style="25" hidden="1"/>
    <col min="20" max="20" width="10.140625" style="25" hidden="1"/>
    <col min="21" max="21" width="8.28515625" style="25" hidden="1"/>
    <col min="22" max="22" width="8.42578125" style="25" hidden="1"/>
    <col min="23" max="23" width="8.85546875" style="25" hidden="1"/>
    <col min="24" max="24" width="8.7109375" style="25" hidden="1"/>
    <col min="25" max="84" width="11.42578125" style="110" hidden="1"/>
    <col min="85" max="16384" width="11.42578125" style="4" hidden="1"/>
  </cols>
  <sheetData>
    <row r="1" spans="1:84" ht="38.450000000000003" customHeight="1" x14ac:dyDescent="0.25">
      <c r="A1"/>
      <c r="B1" s="3"/>
      <c r="O1" s="10"/>
      <c r="S1" s="50"/>
      <c r="W1"/>
    </row>
    <row r="2" spans="1:84" ht="38.450000000000003" customHeight="1" x14ac:dyDescent="0.25">
      <c r="A2" s="3" t="s">
        <v>47</v>
      </c>
      <c r="B2" s="3"/>
      <c r="O2" s="10"/>
      <c r="S2" s="50"/>
      <c r="W2"/>
    </row>
    <row r="3" spans="1:84" x14ac:dyDescent="0.25">
      <c r="A3" s="418" t="s">
        <v>310</v>
      </c>
      <c r="B3" s="5"/>
      <c r="C3"/>
      <c r="D3"/>
      <c r="O3" s="10"/>
    </row>
    <row r="4" spans="1:84" x14ac:dyDescent="0.25">
      <c r="A4" s="71"/>
      <c r="C4" s="357"/>
      <c r="D4" s="359"/>
      <c r="G4" s="419"/>
      <c r="H4" s="419"/>
      <c r="I4" s="420"/>
      <c r="J4" s="421"/>
      <c r="O4" s="10"/>
    </row>
    <row r="5" spans="1:84" x14ac:dyDescent="0.25">
      <c r="C5" s="357"/>
      <c r="D5" s="358"/>
      <c r="G5" s="39"/>
      <c r="H5" s="422"/>
      <c r="I5" s="420"/>
      <c r="J5" s="421"/>
      <c r="O5" s="10"/>
    </row>
    <row r="6" spans="1:84" ht="62.45" customHeight="1" x14ac:dyDescent="0.25">
      <c r="A6" s="51" t="s">
        <v>2</v>
      </c>
      <c r="B6" s="51"/>
      <c r="C6" s="338" t="s">
        <v>311</v>
      </c>
      <c r="D6" s="338" t="s">
        <v>312</v>
      </c>
      <c r="E6" s="338" t="s">
        <v>313</v>
      </c>
      <c r="F6" s="116" t="s">
        <v>314</v>
      </c>
      <c r="G6" s="52"/>
      <c r="H6" s="116" t="s">
        <v>315</v>
      </c>
      <c r="I6" s="374" t="s">
        <v>316</v>
      </c>
      <c r="J6" s="121"/>
      <c r="K6"/>
      <c r="L6" s="423" t="s">
        <v>317</v>
      </c>
      <c r="M6" s="54"/>
      <c r="N6" s="55"/>
      <c r="O6" s="65"/>
      <c r="P6" s="78"/>
      <c r="Q6" s="33"/>
      <c r="R6" s="33"/>
      <c r="S6" s="33"/>
      <c r="T6" s="33"/>
      <c r="U6" s="33"/>
      <c r="V6" s="33"/>
      <c r="W6" s="33"/>
      <c r="X6" s="55"/>
    </row>
    <row r="7" spans="1:84" s="71" customFormat="1" ht="13.9" customHeight="1" x14ac:dyDescent="0.25">
      <c r="A7" s="67"/>
      <c r="B7" s="67"/>
      <c r="C7" s="424"/>
      <c r="D7" s="424"/>
      <c r="E7" s="424"/>
      <c r="F7" s="117"/>
      <c r="G7" s="38"/>
      <c r="H7" s="117"/>
      <c r="I7" s="375" t="s">
        <v>318</v>
      </c>
      <c r="J7" s="122"/>
      <c r="K7" s="69"/>
      <c r="L7" s="370"/>
      <c r="M7" s="59"/>
      <c r="N7" s="40"/>
      <c r="O7" s="105"/>
      <c r="P7" s="107"/>
      <c r="Q7" s="39"/>
      <c r="R7" s="39"/>
      <c r="S7" s="40"/>
      <c r="T7" s="39"/>
      <c r="U7" s="39"/>
      <c r="V7" s="39"/>
      <c r="W7" s="39"/>
      <c r="X7" s="40"/>
      <c r="Y7" s="111"/>
      <c r="Z7" s="111"/>
      <c r="AA7" s="111"/>
      <c r="AB7" s="111"/>
      <c r="AC7" s="111"/>
      <c r="AD7" s="111"/>
      <c r="AE7" s="111"/>
      <c r="AF7" s="111"/>
      <c r="AG7" s="111"/>
      <c r="AH7" s="111"/>
      <c r="AI7" s="111"/>
      <c r="AJ7" s="111"/>
      <c r="AK7" s="111"/>
      <c r="AL7" s="111"/>
      <c r="AM7" s="111"/>
      <c r="AN7" s="111"/>
      <c r="AO7" s="111"/>
      <c r="AP7" s="111"/>
      <c r="AQ7" s="111"/>
      <c r="AR7" s="111"/>
      <c r="AS7" s="111"/>
      <c r="AT7" s="111"/>
      <c r="AU7" s="111"/>
      <c r="AV7" s="111"/>
      <c r="AW7" s="111"/>
      <c r="AX7" s="111"/>
      <c r="AY7" s="111"/>
      <c r="AZ7" s="111"/>
      <c r="BA7" s="111"/>
      <c r="BB7" s="111"/>
      <c r="BC7" s="111"/>
      <c r="BD7" s="111"/>
      <c r="BE7" s="111"/>
      <c r="BF7" s="111"/>
      <c r="BG7" s="111"/>
      <c r="BH7" s="111"/>
      <c r="BI7" s="111"/>
      <c r="BJ7" s="111"/>
      <c r="BK7" s="111"/>
      <c r="BL7" s="111"/>
      <c r="BM7" s="111"/>
      <c r="BN7" s="111"/>
      <c r="BO7" s="111"/>
      <c r="BP7" s="111"/>
      <c r="BQ7" s="111"/>
      <c r="BR7" s="111"/>
      <c r="BS7" s="111"/>
      <c r="BT7" s="111"/>
      <c r="BU7" s="111"/>
      <c r="BV7" s="111"/>
      <c r="BW7" s="111"/>
      <c r="BX7" s="111"/>
      <c r="BY7" s="111"/>
      <c r="BZ7" s="111"/>
      <c r="CA7" s="111"/>
      <c r="CB7" s="111"/>
      <c r="CC7" s="111"/>
      <c r="CD7" s="111"/>
      <c r="CE7" s="111"/>
      <c r="CF7" s="111"/>
    </row>
    <row r="8" spans="1:84" x14ac:dyDescent="0.25">
      <c r="A8" s="7"/>
      <c r="B8" s="7"/>
      <c r="C8" s="339"/>
      <c r="D8" s="339"/>
      <c r="E8" s="339"/>
      <c r="F8" s="118"/>
      <c r="H8" s="118"/>
      <c r="I8" s="376" t="s">
        <v>319</v>
      </c>
      <c r="J8" s="123"/>
      <c r="K8" s="17"/>
      <c r="L8" s="371" t="s">
        <v>320</v>
      </c>
      <c r="M8" s="104"/>
      <c r="N8" s="26"/>
      <c r="O8" s="106"/>
      <c r="P8" s="79"/>
      <c r="Q8" s="26"/>
      <c r="R8" s="26"/>
      <c r="S8" s="26"/>
      <c r="T8" s="26"/>
      <c r="U8" s="26"/>
      <c r="V8" s="26"/>
      <c r="W8" s="26"/>
      <c r="X8" s="26"/>
    </row>
    <row r="9" spans="1:84" s="45" customFormat="1" ht="20.45" customHeight="1" x14ac:dyDescent="0.25">
      <c r="A9" t="str">
        <f>Funktional!A8</f>
        <v>Aadorf</v>
      </c>
      <c r="B9" t="str">
        <f>Funktional!B8</f>
        <v>PSG</v>
      </c>
      <c r="C9" s="365">
        <v>312312.90000000002</v>
      </c>
      <c r="D9" s="365">
        <v>1714179.2</v>
      </c>
      <c r="E9" s="365">
        <v>165867.25</v>
      </c>
      <c r="F9" s="119">
        <f>D9+E9</f>
        <v>1880046.45</v>
      </c>
      <c r="G9" s="43"/>
      <c r="H9" s="119">
        <f>C9+F9+I9</f>
        <v>2192359.35</v>
      </c>
      <c r="I9" s="377"/>
      <c r="J9" s="124">
        <f>C9/H9</f>
        <v>0.14245515909606699</v>
      </c>
      <c r="K9" s="42">
        <f>F9/H9</f>
        <v>0.8575448409039329</v>
      </c>
      <c r="L9" s="372">
        <f>K9</f>
        <v>0.8575448409039329</v>
      </c>
      <c r="M9" s="42"/>
      <c r="N9" s="43"/>
      <c r="O9" s="44"/>
      <c r="P9" s="80"/>
      <c r="Q9" s="43"/>
      <c r="R9" s="43"/>
      <c r="S9" s="43"/>
      <c r="T9" s="43"/>
      <c r="U9" s="43"/>
      <c r="V9" s="43"/>
      <c r="W9" s="43"/>
      <c r="X9" s="43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  <c r="AO9" s="110"/>
      <c r="AP9" s="110"/>
      <c r="AQ9" s="110"/>
      <c r="AR9" s="110"/>
      <c r="AS9" s="110"/>
      <c r="AT9" s="110"/>
      <c r="AU9" s="110"/>
      <c r="AV9" s="110"/>
      <c r="AW9" s="110"/>
      <c r="AX9" s="110"/>
      <c r="AY9" s="110"/>
      <c r="AZ9" s="110"/>
      <c r="BA9" s="110"/>
      <c r="BB9" s="110"/>
      <c r="BC9" s="110"/>
      <c r="BD9" s="110"/>
      <c r="BE9" s="110"/>
      <c r="BF9" s="110"/>
      <c r="BG9" s="110"/>
      <c r="BH9" s="110"/>
      <c r="BI9" s="110"/>
      <c r="BJ9" s="110"/>
      <c r="BK9" s="110"/>
      <c r="BL9" s="110"/>
      <c r="BM9" s="110"/>
      <c r="BN9" s="110"/>
      <c r="BO9" s="110"/>
      <c r="BP9" s="110"/>
      <c r="BQ9" s="110"/>
      <c r="BR9" s="110"/>
      <c r="BS9" s="110"/>
      <c r="BT9" s="110"/>
      <c r="BU9" s="110"/>
      <c r="BV9" s="110"/>
      <c r="BW9" s="110"/>
      <c r="BX9" s="110"/>
      <c r="BY9" s="110"/>
      <c r="BZ9" s="110"/>
      <c r="CA9" s="110"/>
      <c r="CB9" s="110"/>
      <c r="CC9" s="110"/>
      <c r="CD9" s="110"/>
      <c r="CE9" s="110"/>
      <c r="CF9" s="110"/>
    </row>
    <row r="10" spans="1:84" s="45" customFormat="1" x14ac:dyDescent="0.25">
      <c r="A10" t="str">
        <f>Funktional!A9</f>
        <v>Affeltrangen</v>
      </c>
      <c r="B10" t="str">
        <f>Funktional!B9</f>
        <v>PSG</v>
      </c>
      <c r="C10" s="365">
        <v>151709.25</v>
      </c>
      <c r="D10" s="365">
        <v>419493.9</v>
      </c>
      <c r="E10" s="365">
        <v>22862.400000000001</v>
      </c>
      <c r="F10" s="119">
        <f t="shared" ref="F10:F25" si="0">D10+E10</f>
        <v>442356.30000000005</v>
      </c>
      <c r="G10" s="43"/>
      <c r="H10" s="119">
        <f t="shared" ref="H10:H25" si="1">C10+F10+I10</f>
        <v>594065.55000000005</v>
      </c>
      <c r="I10" s="377"/>
      <c r="J10" s="124">
        <f t="shared" ref="J10:J25" si="2">C10/H10</f>
        <v>0.25537459628823789</v>
      </c>
      <c r="K10" s="42">
        <f t="shared" ref="K10:K25" si="3">F10/H10</f>
        <v>0.74462540371176211</v>
      </c>
      <c r="L10" s="372">
        <f>K10</f>
        <v>0.74462540371176211</v>
      </c>
      <c r="M10" s="42"/>
      <c r="N10" s="43"/>
      <c r="O10" s="44"/>
      <c r="P10" s="80"/>
      <c r="Q10" s="43"/>
      <c r="R10" s="43"/>
      <c r="S10" s="43"/>
      <c r="T10" s="43"/>
      <c r="U10" s="43"/>
      <c r="V10" s="43"/>
      <c r="W10" s="43"/>
      <c r="X10" s="43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  <c r="BF10" s="110"/>
      <c r="BG10" s="110"/>
      <c r="BH10" s="110"/>
      <c r="BI10" s="110"/>
      <c r="BJ10" s="110"/>
      <c r="BK10" s="110"/>
      <c r="BL10" s="110"/>
      <c r="BM10" s="110"/>
      <c r="BN10" s="110"/>
      <c r="BO10" s="110"/>
      <c r="BP10" s="110"/>
      <c r="BQ10" s="110"/>
      <c r="BR10" s="110"/>
      <c r="BS10" s="110"/>
      <c r="BT10" s="110"/>
      <c r="BU10" s="110"/>
      <c r="BV10" s="110"/>
      <c r="BW10" s="110"/>
      <c r="BX10" s="110"/>
      <c r="BY10" s="110"/>
      <c r="BZ10" s="110"/>
      <c r="CA10" s="110"/>
      <c r="CB10" s="110"/>
      <c r="CC10" s="110"/>
      <c r="CD10" s="110"/>
      <c r="CE10" s="110"/>
      <c r="CF10" s="110"/>
    </row>
    <row r="11" spans="1:84" s="45" customFormat="1" x14ac:dyDescent="0.25">
      <c r="A11" t="str">
        <f>Funktional!A10</f>
        <v>Alterswilen</v>
      </c>
      <c r="B11" t="str">
        <f>Funktional!B10</f>
        <v>PSG</v>
      </c>
      <c r="C11" s="365">
        <v>82577.45</v>
      </c>
      <c r="D11" s="365">
        <v>425999.55</v>
      </c>
      <c r="E11" s="365">
        <v>33782.75</v>
      </c>
      <c r="F11" s="119">
        <f t="shared" si="0"/>
        <v>459782.3</v>
      </c>
      <c r="G11" s="43"/>
      <c r="H11" s="119">
        <f t="shared" si="1"/>
        <v>542359.75</v>
      </c>
      <c r="I11" s="377"/>
      <c r="J11" s="124">
        <f t="shared" si="2"/>
        <v>0.15225585969460306</v>
      </c>
      <c r="K11" s="42">
        <f t="shared" si="3"/>
        <v>0.84774414030539691</v>
      </c>
      <c r="L11" s="372">
        <f>K11</f>
        <v>0.84774414030539691</v>
      </c>
      <c r="M11" s="42"/>
      <c r="N11" s="43"/>
      <c r="O11" s="44"/>
      <c r="P11" s="80"/>
      <c r="Q11" s="43"/>
      <c r="R11" s="43"/>
      <c r="S11" s="43"/>
      <c r="T11" s="43"/>
      <c r="U11" s="43"/>
      <c r="V11" s="43"/>
      <c r="W11" s="43"/>
      <c r="X11" s="43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110"/>
      <c r="BL11" s="110"/>
      <c r="BM11" s="110"/>
      <c r="BN11" s="110"/>
      <c r="BO11" s="110"/>
      <c r="BP11" s="110"/>
      <c r="BQ11" s="110"/>
      <c r="BR11" s="110"/>
      <c r="BS11" s="110"/>
      <c r="BT11" s="110"/>
      <c r="BU11" s="110"/>
      <c r="BV11" s="110"/>
      <c r="BW11" s="110"/>
      <c r="BX11" s="110"/>
      <c r="BY11" s="110"/>
      <c r="BZ11" s="110"/>
      <c r="CA11" s="110"/>
      <c r="CB11" s="110"/>
      <c r="CC11" s="110"/>
      <c r="CD11" s="110"/>
      <c r="CE11" s="110"/>
      <c r="CF11" s="110"/>
    </row>
    <row r="12" spans="1:84" s="45" customFormat="1" x14ac:dyDescent="0.25">
      <c r="A12" t="str">
        <f>Funktional!A11</f>
        <v>Altishausen-Graltshausen</v>
      </c>
      <c r="B12" t="str">
        <f>Funktional!B11</f>
        <v>PSG</v>
      </c>
      <c r="C12" s="365">
        <v>25173.200000000001</v>
      </c>
      <c r="D12" s="365">
        <v>219873.9</v>
      </c>
      <c r="E12" s="365">
        <v>37393.300000000003</v>
      </c>
      <c r="F12" s="119">
        <f t="shared" si="0"/>
        <v>257267.20000000001</v>
      </c>
      <c r="G12" s="43"/>
      <c r="H12" s="119">
        <f t="shared" si="1"/>
        <v>282440.40000000002</v>
      </c>
      <c r="I12" s="377">
        <f>IF((C12&lt;Funktional!M11),0,C12-Funktional!M11)</f>
        <v>0</v>
      </c>
      <c r="J12" s="124">
        <f t="shared" si="2"/>
        <v>8.9127476097612096E-2</v>
      </c>
      <c r="K12" s="42">
        <f t="shared" si="3"/>
        <v>0.91087252390238782</v>
      </c>
      <c r="L12" s="372">
        <v>1</v>
      </c>
      <c r="M12" s="42"/>
      <c r="N12" s="43"/>
      <c r="O12" s="44"/>
      <c r="P12" s="80"/>
      <c r="Q12" s="43"/>
      <c r="R12" s="43"/>
      <c r="S12" s="43"/>
      <c r="T12" s="43"/>
      <c r="U12" s="43"/>
      <c r="V12" s="43"/>
      <c r="W12" s="43"/>
      <c r="X12" s="43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  <c r="AO12" s="110"/>
      <c r="AP12" s="110"/>
      <c r="AQ12" s="110"/>
      <c r="AR12" s="110"/>
      <c r="AS12" s="110"/>
      <c r="AT12" s="110"/>
      <c r="AU12" s="110"/>
      <c r="AV12" s="110"/>
      <c r="AW12" s="110"/>
      <c r="AX12" s="110"/>
      <c r="AY12" s="110"/>
      <c r="AZ12" s="110"/>
      <c r="BA12" s="110"/>
      <c r="BB12" s="110"/>
      <c r="BC12" s="110"/>
      <c r="BD12" s="110"/>
      <c r="BE12" s="110"/>
      <c r="BF12" s="110"/>
      <c r="BG12" s="110"/>
      <c r="BH12" s="110"/>
      <c r="BI12" s="110"/>
      <c r="BJ12" s="110"/>
      <c r="BK12" s="110"/>
      <c r="BL12" s="110"/>
      <c r="BM12" s="110"/>
      <c r="BN12" s="110"/>
      <c r="BO12" s="110"/>
      <c r="BP12" s="110"/>
      <c r="BQ12" s="110"/>
      <c r="BR12" s="110"/>
      <c r="BS12" s="110"/>
      <c r="BT12" s="110"/>
      <c r="BU12" s="110"/>
      <c r="BV12" s="110"/>
      <c r="BW12" s="110"/>
      <c r="BX12" s="110"/>
      <c r="BY12" s="110"/>
      <c r="BZ12" s="110"/>
      <c r="CA12" s="110"/>
      <c r="CB12" s="110"/>
      <c r="CC12" s="110"/>
      <c r="CD12" s="110"/>
      <c r="CE12" s="110"/>
      <c r="CF12" s="110"/>
    </row>
    <row r="13" spans="1:84" s="45" customFormat="1" x14ac:dyDescent="0.25">
      <c r="A13" t="str">
        <f>Funktional!A12</f>
        <v>Altnau</v>
      </c>
      <c r="B13" t="str">
        <f>Funktional!B12</f>
        <v>PSG</v>
      </c>
      <c r="C13" s="365">
        <v>204193.75</v>
      </c>
      <c r="D13" s="365">
        <v>1094523.6000000001</v>
      </c>
      <c r="E13" s="365">
        <v>73593.399999999994</v>
      </c>
      <c r="F13" s="119">
        <f t="shared" si="0"/>
        <v>1168117</v>
      </c>
      <c r="G13" s="43"/>
      <c r="H13" s="119">
        <f t="shared" si="1"/>
        <v>1372310.75</v>
      </c>
      <c r="I13" s="377"/>
      <c r="J13" s="124">
        <f t="shared" si="2"/>
        <v>0.14879556252109807</v>
      </c>
      <c r="K13" s="42">
        <f t="shared" si="3"/>
        <v>0.85120443747890195</v>
      </c>
      <c r="L13" s="372">
        <f>K13</f>
        <v>0.85120443747890195</v>
      </c>
      <c r="M13" s="42"/>
      <c r="N13" s="43"/>
      <c r="O13" s="44"/>
      <c r="P13" s="80"/>
      <c r="Q13" s="43"/>
      <c r="R13" s="43"/>
      <c r="S13" s="43"/>
      <c r="T13" s="43"/>
      <c r="U13" s="43"/>
      <c r="V13" s="43"/>
      <c r="W13" s="43"/>
      <c r="X13" s="43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10"/>
      <c r="AP13" s="110"/>
      <c r="AQ13" s="110"/>
      <c r="AR13" s="110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110"/>
      <c r="BE13" s="110"/>
      <c r="BF13" s="110"/>
      <c r="BG13" s="110"/>
      <c r="BH13" s="110"/>
      <c r="BI13" s="110"/>
      <c r="BJ13" s="110"/>
      <c r="BK13" s="110"/>
      <c r="BL13" s="110"/>
      <c r="BM13" s="110"/>
      <c r="BN13" s="110"/>
      <c r="BO13" s="110"/>
      <c r="BP13" s="110"/>
      <c r="BQ13" s="110"/>
      <c r="BR13" s="110"/>
      <c r="BS13" s="110"/>
      <c r="BT13" s="110"/>
      <c r="BU13" s="110"/>
      <c r="BV13" s="110"/>
      <c r="BW13" s="110"/>
      <c r="BX13" s="110"/>
      <c r="BY13" s="110"/>
      <c r="BZ13" s="110"/>
      <c r="CA13" s="110"/>
      <c r="CB13" s="110"/>
      <c r="CC13" s="110"/>
      <c r="CD13" s="110"/>
      <c r="CE13" s="110"/>
      <c r="CF13" s="110"/>
    </row>
    <row r="14" spans="1:84" s="45" customFormat="1" x14ac:dyDescent="0.25">
      <c r="A14" t="str">
        <f>Funktional!A13</f>
        <v>Amlikon</v>
      </c>
      <c r="B14" t="str">
        <f>Funktional!B13</f>
        <v>PSG</v>
      </c>
      <c r="C14" s="365">
        <v>101549.1</v>
      </c>
      <c r="D14" s="365">
        <v>254053.9</v>
      </c>
      <c r="E14" s="365">
        <v>30669.95</v>
      </c>
      <c r="F14" s="119">
        <f t="shared" si="0"/>
        <v>284723.84999999998</v>
      </c>
      <c r="G14" s="43"/>
      <c r="H14" s="119">
        <f t="shared" si="1"/>
        <v>386272.94999999995</v>
      </c>
      <c r="I14" s="377"/>
      <c r="J14" s="124">
        <f t="shared" si="2"/>
        <v>0.26289467072441913</v>
      </c>
      <c r="K14" s="42">
        <f t="shared" si="3"/>
        <v>0.73710532927558092</v>
      </c>
      <c r="L14" s="372">
        <f>K14</f>
        <v>0.73710532927558092</v>
      </c>
      <c r="M14" s="42"/>
      <c r="N14" s="43"/>
      <c r="O14" s="44"/>
      <c r="P14" s="80"/>
      <c r="Q14" s="43"/>
      <c r="R14" s="43"/>
      <c r="S14" s="43"/>
      <c r="T14" s="43"/>
      <c r="U14" s="43"/>
      <c r="V14" s="43"/>
      <c r="W14" s="43"/>
      <c r="X14" s="43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110"/>
      <c r="BJ14" s="110"/>
      <c r="BK14" s="110"/>
      <c r="BL14" s="110"/>
      <c r="BM14" s="110"/>
      <c r="BN14" s="110"/>
      <c r="BO14" s="110"/>
      <c r="BP14" s="110"/>
      <c r="BQ14" s="110"/>
      <c r="BR14" s="110"/>
      <c r="BS14" s="110"/>
      <c r="BT14" s="110"/>
      <c r="BU14" s="110"/>
      <c r="BV14" s="110"/>
      <c r="BW14" s="110"/>
      <c r="BX14" s="110"/>
      <c r="BY14" s="110"/>
      <c r="BZ14" s="110"/>
      <c r="CA14" s="110"/>
      <c r="CB14" s="110"/>
      <c r="CC14" s="110"/>
      <c r="CD14" s="110"/>
      <c r="CE14" s="110"/>
      <c r="CF14" s="110"/>
    </row>
    <row r="15" spans="1:84" s="45" customFormat="1" x14ac:dyDescent="0.25">
      <c r="A15" t="str">
        <f>Funktional!A14</f>
        <v>Amriswil</v>
      </c>
      <c r="B15" t="str">
        <f>Funktional!B14</f>
        <v>PSG</v>
      </c>
      <c r="C15" s="365">
        <v>879724.15</v>
      </c>
      <c r="D15" s="365">
        <v>5642303.2999999998</v>
      </c>
      <c r="E15" s="365">
        <v>500864.8</v>
      </c>
      <c r="F15" s="119">
        <f t="shared" si="0"/>
        <v>6143168.0999999996</v>
      </c>
      <c r="G15" s="43"/>
      <c r="H15" s="119">
        <f t="shared" si="1"/>
        <v>7022892.25</v>
      </c>
      <c r="I15" s="377"/>
      <c r="J15" s="124">
        <f t="shared" si="2"/>
        <v>0.12526522103482365</v>
      </c>
      <c r="K15" s="42">
        <f t="shared" si="3"/>
        <v>0.87473477896517626</v>
      </c>
      <c r="L15" s="372">
        <f>K15</f>
        <v>0.87473477896517626</v>
      </c>
      <c r="M15" s="42"/>
      <c r="N15" s="43"/>
      <c r="O15" s="44"/>
      <c r="P15" s="80"/>
      <c r="Q15" s="43"/>
      <c r="R15" s="43"/>
      <c r="S15" s="43"/>
      <c r="T15" s="43"/>
      <c r="U15" s="43"/>
      <c r="V15" s="43"/>
      <c r="W15" s="43"/>
      <c r="X15" s="43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  <c r="AO15" s="110"/>
      <c r="AP15" s="110"/>
      <c r="AQ15" s="110"/>
      <c r="AR15" s="110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110"/>
      <c r="BJ15" s="110"/>
      <c r="BK15" s="110"/>
      <c r="BL15" s="110"/>
      <c r="BM15" s="110"/>
      <c r="BN15" s="110"/>
      <c r="BO15" s="110"/>
      <c r="BP15" s="110"/>
      <c r="BQ15" s="110"/>
      <c r="BR15" s="110"/>
      <c r="BS15" s="110"/>
      <c r="BT15" s="110"/>
      <c r="BU15" s="110"/>
      <c r="BV15" s="110"/>
      <c r="BW15" s="110"/>
      <c r="BX15" s="110"/>
      <c r="BY15" s="110"/>
      <c r="BZ15" s="110"/>
      <c r="CA15" s="110"/>
      <c r="CB15" s="110"/>
      <c r="CC15" s="110"/>
      <c r="CD15" s="110"/>
      <c r="CE15" s="110"/>
      <c r="CF15" s="110"/>
    </row>
    <row r="16" spans="1:84" s="45" customFormat="1" x14ac:dyDescent="0.25">
      <c r="A16" t="str">
        <f>Funktional!A15</f>
        <v>Au</v>
      </c>
      <c r="B16" t="str">
        <f>Funktional!B15</f>
        <v>PSG</v>
      </c>
      <c r="C16" s="365">
        <v>11000</v>
      </c>
      <c r="D16" s="365">
        <v>129632.2</v>
      </c>
      <c r="E16" s="365">
        <v>16931.8</v>
      </c>
      <c r="F16" s="119">
        <f t="shared" si="0"/>
        <v>146564</v>
      </c>
      <c r="G16" s="43"/>
      <c r="H16" s="119">
        <f t="shared" si="1"/>
        <v>157564</v>
      </c>
      <c r="I16" s="377">
        <f>IF((C16&lt;Funktional!M15),0,C16-Funktional!M15)</f>
        <v>0</v>
      </c>
      <c r="J16" s="124">
        <f t="shared" si="2"/>
        <v>6.9812901424183185E-2</v>
      </c>
      <c r="K16" s="42">
        <f t="shared" si="3"/>
        <v>0.93018709857581683</v>
      </c>
      <c r="L16" s="372">
        <v>1</v>
      </c>
      <c r="M16" s="42"/>
      <c r="N16" s="43"/>
      <c r="O16" s="44"/>
      <c r="P16" s="80"/>
      <c r="Q16" s="43"/>
      <c r="R16" s="43"/>
      <c r="S16" s="43"/>
      <c r="T16" s="43"/>
      <c r="U16" s="43"/>
      <c r="V16" s="43"/>
      <c r="W16" s="43"/>
      <c r="X16" s="43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  <c r="AU16" s="110"/>
      <c r="AV16" s="110"/>
      <c r="AW16" s="110"/>
      <c r="AX16" s="110"/>
      <c r="AY16" s="110"/>
      <c r="AZ16" s="110"/>
      <c r="BA16" s="110"/>
      <c r="BB16" s="110"/>
      <c r="BC16" s="110"/>
      <c r="BD16" s="110"/>
      <c r="BE16" s="110"/>
      <c r="BF16" s="110"/>
      <c r="BG16" s="110"/>
      <c r="BH16" s="110"/>
      <c r="BI16" s="110"/>
      <c r="BJ16" s="110"/>
      <c r="BK16" s="110"/>
      <c r="BL16" s="110"/>
      <c r="BM16" s="110"/>
      <c r="BN16" s="110"/>
      <c r="BO16" s="110"/>
      <c r="BP16" s="110"/>
      <c r="BQ16" s="110"/>
      <c r="BR16" s="110"/>
      <c r="BS16" s="110"/>
      <c r="BT16" s="110"/>
      <c r="BU16" s="110"/>
      <c r="BV16" s="110"/>
      <c r="BW16" s="110"/>
      <c r="BX16" s="110"/>
      <c r="BY16" s="110"/>
      <c r="BZ16" s="110"/>
      <c r="CA16" s="110"/>
      <c r="CB16" s="110"/>
      <c r="CC16" s="110"/>
      <c r="CD16" s="110"/>
      <c r="CE16" s="110"/>
      <c r="CF16" s="110"/>
    </row>
    <row r="17" spans="1:84" s="45" customFormat="1" x14ac:dyDescent="0.25">
      <c r="A17" t="str">
        <f>Funktional!A16</f>
        <v>Balterswil</v>
      </c>
      <c r="B17" t="str">
        <f>Funktional!B16</f>
        <v>PSG</v>
      </c>
      <c r="C17" s="365">
        <v>159830.25</v>
      </c>
      <c r="D17" s="365">
        <v>783791.2</v>
      </c>
      <c r="E17" s="365">
        <v>70827.05</v>
      </c>
      <c r="F17" s="119">
        <f t="shared" si="0"/>
        <v>854618.25</v>
      </c>
      <c r="G17" s="43"/>
      <c r="H17" s="119">
        <f t="shared" si="1"/>
        <v>1014448.5</v>
      </c>
      <c r="I17" s="377"/>
      <c r="J17" s="124">
        <f t="shared" si="2"/>
        <v>0.15755383343757717</v>
      </c>
      <c r="K17" s="42">
        <f t="shared" si="3"/>
        <v>0.84244616656242288</v>
      </c>
      <c r="L17" s="372">
        <f t="shared" ref="L17:L26" si="4">K17</f>
        <v>0.84244616656242288</v>
      </c>
      <c r="M17" s="42"/>
      <c r="N17" s="43"/>
      <c r="O17" s="44"/>
      <c r="P17" s="80"/>
      <c r="Q17" s="43"/>
      <c r="R17" s="43"/>
      <c r="S17" s="43"/>
      <c r="T17" s="43"/>
      <c r="U17" s="43"/>
      <c r="V17" s="43"/>
      <c r="W17" s="43"/>
      <c r="X17" s="43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  <c r="AO17" s="110"/>
      <c r="AP17" s="110"/>
      <c r="AQ17" s="110"/>
      <c r="AR17" s="110"/>
      <c r="AS17" s="110"/>
      <c r="AT17" s="110"/>
      <c r="AU17" s="110"/>
      <c r="AV17" s="110"/>
      <c r="AW17" s="110"/>
      <c r="AX17" s="110"/>
      <c r="AY17" s="110"/>
      <c r="AZ17" s="110"/>
      <c r="BA17" s="110"/>
      <c r="BB17" s="110"/>
      <c r="BC17" s="110"/>
      <c r="BD17" s="110"/>
      <c r="BE17" s="110"/>
      <c r="BF17" s="110"/>
      <c r="BG17" s="110"/>
      <c r="BH17" s="110"/>
      <c r="BI17" s="110"/>
      <c r="BJ17" s="110"/>
      <c r="BK17" s="110"/>
      <c r="BL17" s="110"/>
      <c r="BM17" s="110"/>
      <c r="BN17" s="110"/>
      <c r="BO17" s="110"/>
      <c r="BP17" s="110"/>
      <c r="BQ17" s="110"/>
      <c r="BR17" s="110"/>
      <c r="BS17" s="110"/>
      <c r="BT17" s="110"/>
      <c r="BU17" s="110"/>
      <c r="BV17" s="110"/>
      <c r="BW17" s="110"/>
      <c r="BX17" s="110"/>
      <c r="BY17" s="110"/>
      <c r="BZ17" s="110"/>
      <c r="CA17" s="110"/>
      <c r="CB17" s="110"/>
      <c r="CC17" s="110"/>
      <c r="CD17" s="110"/>
      <c r="CE17" s="110"/>
      <c r="CF17" s="110"/>
    </row>
    <row r="18" spans="1:84" s="45" customFormat="1" x14ac:dyDescent="0.25">
      <c r="A18" t="str">
        <f>Funktional!A17</f>
        <v xml:space="preserve">Basadingen-Willisdorf </v>
      </c>
      <c r="B18" t="str">
        <f>Funktional!B17</f>
        <v>PSG</v>
      </c>
      <c r="C18" s="365">
        <v>158513</v>
      </c>
      <c r="D18" s="365">
        <v>721832.45</v>
      </c>
      <c r="E18" s="365">
        <v>55496.6</v>
      </c>
      <c r="F18" s="119">
        <f t="shared" si="0"/>
        <v>777329.04999999993</v>
      </c>
      <c r="G18" s="43"/>
      <c r="H18" s="119">
        <f t="shared" si="1"/>
        <v>935842.04999999993</v>
      </c>
      <c r="I18" s="377"/>
      <c r="J18" s="124">
        <f t="shared" si="2"/>
        <v>0.16938007861476198</v>
      </c>
      <c r="K18" s="42">
        <f t="shared" si="3"/>
        <v>0.83061992138523799</v>
      </c>
      <c r="L18" s="372">
        <f t="shared" si="4"/>
        <v>0.83061992138523799</v>
      </c>
      <c r="M18" s="42"/>
      <c r="N18" s="43"/>
      <c r="O18" s="44"/>
      <c r="P18" s="80"/>
      <c r="Q18" s="43"/>
      <c r="R18" s="43"/>
      <c r="S18" s="43"/>
      <c r="T18" s="43"/>
      <c r="U18" s="43"/>
      <c r="V18" s="43"/>
      <c r="W18" s="43"/>
      <c r="X18" s="43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I18" s="110"/>
      <c r="BJ18" s="110"/>
      <c r="BK18" s="110"/>
      <c r="BL18" s="110"/>
      <c r="BM18" s="110"/>
      <c r="BN18" s="110"/>
      <c r="BO18" s="110"/>
      <c r="BP18" s="110"/>
      <c r="BQ18" s="110"/>
      <c r="BR18" s="110"/>
      <c r="BS18" s="110"/>
      <c r="BT18" s="110"/>
      <c r="BU18" s="110"/>
      <c r="BV18" s="110"/>
      <c r="BW18" s="110"/>
      <c r="BX18" s="110"/>
      <c r="BY18" s="110"/>
      <c r="BZ18" s="110"/>
      <c r="CA18" s="110"/>
      <c r="CB18" s="110"/>
      <c r="CC18" s="110"/>
      <c r="CD18" s="110"/>
      <c r="CE18" s="110"/>
      <c r="CF18" s="110"/>
    </row>
    <row r="19" spans="1:84" s="45" customFormat="1" x14ac:dyDescent="0.25">
      <c r="A19" t="str">
        <f>Funktional!A18</f>
        <v>Berg</v>
      </c>
      <c r="B19" t="str">
        <f>Funktional!B18</f>
        <v>PSG</v>
      </c>
      <c r="C19" s="365">
        <v>253558.8</v>
      </c>
      <c r="D19" s="365">
        <v>1224123.2</v>
      </c>
      <c r="E19" s="365">
        <v>95765.7</v>
      </c>
      <c r="F19" s="119">
        <f t="shared" si="0"/>
        <v>1319888.8999999999</v>
      </c>
      <c r="G19" s="43"/>
      <c r="H19" s="119">
        <f t="shared" si="1"/>
        <v>1573447.7</v>
      </c>
      <c r="I19" s="377"/>
      <c r="J19" s="124">
        <f t="shared" si="2"/>
        <v>0.16114854024064479</v>
      </c>
      <c r="K19" s="42">
        <f t="shared" si="3"/>
        <v>0.83885145975935516</v>
      </c>
      <c r="L19" s="372">
        <f t="shared" si="4"/>
        <v>0.83885145975935516</v>
      </c>
      <c r="M19" s="42"/>
      <c r="N19" s="43"/>
      <c r="O19" s="44"/>
      <c r="P19" s="80"/>
      <c r="Q19" s="43"/>
      <c r="R19" s="43"/>
      <c r="S19" s="43"/>
      <c r="T19" s="43"/>
      <c r="U19" s="43"/>
      <c r="V19" s="43"/>
      <c r="W19" s="43"/>
      <c r="X19" s="43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0"/>
      <c r="BR19" s="110"/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</row>
    <row r="20" spans="1:84" s="45" customFormat="1" x14ac:dyDescent="0.25">
      <c r="A20" t="str">
        <f>Funktional!A19</f>
        <v>Berlingen</v>
      </c>
      <c r="B20" t="str">
        <f>Funktional!B19</f>
        <v>PSG</v>
      </c>
      <c r="C20" s="365">
        <v>123151.3</v>
      </c>
      <c r="D20" s="365">
        <v>505480.25</v>
      </c>
      <c r="E20" s="365">
        <v>53865.8</v>
      </c>
      <c r="F20" s="119">
        <f t="shared" si="0"/>
        <v>559346.05000000005</v>
      </c>
      <c r="G20" s="43"/>
      <c r="H20" s="119">
        <f t="shared" si="1"/>
        <v>682497.35000000009</v>
      </c>
      <c r="I20" s="377"/>
      <c r="J20" s="124">
        <f t="shared" si="2"/>
        <v>0.1804421658193984</v>
      </c>
      <c r="K20" s="42">
        <f t="shared" si="3"/>
        <v>0.81955783418060157</v>
      </c>
      <c r="L20" s="372">
        <f t="shared" si="4"/>
        <v>0.81955783418060157</v>
      </c>
      <c r="M20" s="42"/>
      <c r="N20" s="43"/>
      <c r="O20" s="44"/>
      <c r="P20" s="80"/>
      <c r="Q20" s="43"/>
      <c r="R20" s="43"/>
      <c r="S20" s="43"/>
      <c r="T20" s="43"/>
      <c r="U20" s="43"/>
      <c r="V20" s="43"/>
      <c r="W20" s="43"/>
      <c r="X20" s="43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10"/>
      <c r="AV20" s="110"/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110"/>
      <c r="BJ20" s="110"/>
      <c r="BK20" s="110"/>
      <c r="BL20" s="110"/>
      <c r="BM20" s="110"/>
      <c r="BN20" s="110"/>
      <c r="BO20" s="110"/>
      <c r="BP20" s="110"/>
      <c r="BQ20" s="110"/>
      <c r="BR20" s="110"/>
      <c r="BS20" s="110"/>
      <c r="BT20" s="110"/>
      <c r="BU20" s="110"/>
      <c r="BV20" s="110"/>
      <c r="BW20" s="110"/>
      <c r="BX20" s="110"/>
      <c r="BY20" s="110"/>
      <c r="BZ20" s="110"/>
      <c r="CA20" s="110"/>
      <c r="CB20" s="110"/>
      <c r="CC20" s="110"/>
      <c r="CD20" s="110"/>
      <c r="CE20" s="110"/>
      <c r="CF20" s="110"/>
    </row>
    <row r="21" spans="1:84" s="45" customFormat="1" x14ac:dyDescent="0.25">
      <c r="A21" t="str">
        <f>Funktional!A20</f>
        <v>Bettwiesen</v>
      </c>
      <c r="B21" t="str">
        <f>Funktional!B20</f>
        <v>PSG</v>
      </c>
      <c r="C21" s="365">
        <v>152372.54999999999</v>
      </c>
      <c r="D21" s="365">
        <v>630637.19999999995</v>
      </c>
      <c r="E21" s="365">
        <v>72398.25</v>
      </c>
      <c r="F21" s="119">
        <f t="shared" si="0"/>
        <v>703035.45</v>
      </c>
      <c r="G21" s="43"/>
      <c r="H21" s="119">
        <f t="shared" si="1"/>
        <v>855408</v>
      </c>
      <c r="I21" s="377"/>
      <c r="J21" s="124">
        <f t="shared" si="2"/>
        <v>0.17812850709836708</v>
      </c>
      <c r="K21" s="42">
        <f t="shared" si="3"/>
        <v>0.82187149290163286</v>
      </c>
      <c r="L21" s="372">
        <f t="shared" si="4"/>
        <v>0.82187149290163286</v>
      </c>
      <c r="M21" s="42"/>
      <c r="N21" s="43"/>
      <c r="O21" s="44"/>
      <c r="P21" s="80"/>
      <c r="Q21" s="43"/>
      <c r="R21" s="43"/>
      <c r="S21" s="43"/>
      <c r="T21" s="43"/>
      <c r="U21" s="43"/>
      <c r="V21" s="43"/>
      <c r="W21" s="43"/>
      <c r="X21" s="43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  <c r="AR21" s="110"/>
      <c r="AS21" s="110"/>
      <c r="AT21" s="110"/>
      <c r="AU21" s="110"/>
      <c r="AV21" s="110"/>
      <c r="AW21" s="110"/>
      <c r="AX21" s="110"/>
      <c r="AY21" s="110"/>
      <c r="AZ21" s="110"/>
      <c r="BA21" s="110"/>
      <c r="BB21" s="110"/>
      <c r="BC21" s="110"/>
      <c r="BD21" s="110"/>
      <c r="BE21" s="110"/>
      <c r="BF21" s="110"/>
      <c r="BG21" s="110"/>
      <c r="BH21" s="110"/>
      <c r="BI21" s="110"/>
      <c r="BJ21" s="110"/>
      <c r="BK21" s="110"/>
      <c r="BL21" s="110"/>
      <c r="BM21" s="110"/>
      <c r="BN21" s="110"/>
      <c r="BO21" s="110"/>
      <c r="BP21" s="110"/>
      <c r="BQ21" s="110"/>
      <c r="BR21" s="110"/>
      <c r="BS21" s="110"/>
      <c r="BT21" s="110"/>
      <c r="BU21" s="110"/>
      <c r="BV21" s="110"/>
      <c r="BW21" s="110"/>
      <c r="BX21" s="110"/>
      <c r="BY21" s="110"/>
      <c r="BZ21" s="110"/>
      <c r="CA21" s="110"/>
      <c r="CB21" s="110"/>
      <c r="CC21" s="110"/>
      <c r="CD21" s="110"/>
      <c r="CE21" s="110"/>
      <c r="CF21" s="110"/>
    </row>
    <row r="22" spans="1:84" s="45" customFormat="1" x14ac:dyDescent="0.25">
      <c r="A22" t="str">
        <f>Funktional!A21</f>
        <v>Bichelsee</v>
      </c>
      <c r="B22" t="str">
        <f>Funktional!B21</f>
        <v>PSG</v>
      </c>
      <c r="C22" s="365">
        <v>186322.95</v>
      </c>
      <c r="D22" s="365">
        <v>605999.25</v>
      </c>
      <c r="E22" s="365">
        <v>52248.7</v>
      </c>
      <c r="F22" s="119">
        <f t="shared" si="0"/>
        <v>658247.94999999995</v>
      </c>
      <c r="G22" s="43"/>
      <c r="H22" s="119">
        <f t="shared" si="1"/>
        <v>844570.89999999991</v>
      </c>
      <c r="I22" s="377"/>
      <c r="J22" s="124">
        <f t="shared" si="2"/>
        <v>0.22061256195305809</v>
      </c>
      <c r="K22" s="42">
        <f t="shared" si="3"/>
        <v>0.77938743804694199</v>
      </c>
      <c r="L22" s="372">
        <f t="shared" si="4"/>
        <v>0.77938743804694199</v>
      </c>
      <c r="M22" s="42"/>
      <c r="N22" s="43"/>
      <c r="O22" s="44"/>
      <c r="P22" s="80"/>
      <c r="Q22" s="43"/>
      <c r="R22" s="43"/>
      <c r="S22" s="43"/>
      <c r="T22" s="43"/>
      <c r="U22" s="43"/>
      <c r="V22" s="43"/>
      <c r="W22" s="43"/>
      <c r="X22" s="43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  <c r="AO22" s="110"/>
      <c r="AP22" s="110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/>
      <c r="BA22" s="110"/>
      <c r="BB22" s="110"/>
      <c r="BC22" s="110"/>
      <c r="BD22" s="110"/>
      <c r="BE22" s="110"/>
      <c r="BF22" s="110"/>
      <c r="BG22" s="110"/>
      <c r="BH22" s="110"/>
      <c r="BI22" s="110"/>
      <c r="BJ22" s="110"/>
      <c r="BK22" s="110"/>
      <c r="BL22" s="110"/>
      <c r="BM22" s="110"/>
      <c r="BN22" s="110"/>
      <c r="BO22" s="110"/>
      <c r="BP22" s="110"/>
      <c r="BQ22" s="110"/>
      <c r="BR22" s="110"/>
      <c r="BS22" s="110"/>
      <c r="BT22" s="110"/>
      <c r="BU22" s="110"/>
      <c r="BV22" s="110"/>
      <c r="BW22" s="110"/>
      <c r="BX22" s="110"/>
      <c r="BY22" s="110"/>
      <c r="BZ22" s="110"/>
      <c r="CA22" s="110"/>
      <c r="CB22" s="110"/>
      <c r="CC22" s="110"/>
      <c r="CD22" s="110"/>
      <c r="CE22" s="110"/>
      <c r="CF22" s="110"/>
    </row>
    <row r="23" spans="1:84" s="45" customFormat="1" x14ac:dyDescent="0.25">
      <c r="A23" t="str">
        <f>Funktional!A22</f>
        <v>Bischofszell</v>
      </c>
      <c r="B23" t="str">
        <f>Funktional!B22</f>
        <v>PSG</v>
      </c>
      <c r="C23" s="365">
        <v>376347.3</v>
      </c>
      <c r="D23" s="365">
        <v>2808486.7</v>
      </c>
      <c r="E23" s="365">
        <v>179284</v>
      </c>
      <c r="F23" s="119">
        <f t="shared" si="0"/>
        <v>2987770.7</v>
      </c>
      <c r="G23" s="43"/>
      <c r="H23" s="119">
        <f t="shared" si="1"/>
        <v>3364118</v>
      </c>
      <c r="I23" s="377"/>
      <c r="J23" s="124">
        <f t="shared" si="2"/>
        <v>0.1118710164150009</v>
      </c>
      <c r="K23" s="42">
        <f t="shared" si="3"/>
        <v>0.88812898358499914</v>
      </c>
      <c r="L23" s="372">
        <f t="shared" si="4"/>
        <v>0.88812898358499914</v>
      </c>
      <c r="M23" s="42"/>
      <c r="N23" s="43"/>
      <c r="O23" s="44"/>
      <c r="P23" s="80"/>
      <c r="Q23" s="43"/>
      <c r="R23" s="43"/>
      <c r="S23" s="43"/>
      <c r="T23" s="43"/>
      <c r="U23" s="43"/>
      <c r="V23" s="43"/>
      <c r="W23" s="43"/>
      <c r="X23" s="43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110"/>
      <c r="BC23" s="110"/>
      <c r="BD23" s="110"/>
      <c r="BE23" s="110"/>
      <c r="BF23" s="110"/>
      <c r="BG23" s="110"/>
      <c r="BH23" s="110"/>
      <c r="BI23" s="110"/>
      <c r="BJ23" s="110"/>
      <c r="BK23" s="110"/>
      <c r="BL23" s="110"/>
      <c r="BM23" s="110"/>
      <c r="BN23" s="110"/>
      <c r="BO23" s="110"/>
      <c r="BP23" s="110"/>
      <c r="BQ23" s="110"/>
      <c r="BR23" s="110"/>
      <c r="BS23" s="110"/>
      <c r="BT23" s="110"/>
      <c r="BU23" s="110"/>
      <c r="BV23" s="110"/>
      <c r="BW23" s="110"/>
      <c r="BX23" s="110"/>
      <c r="BY23" s="110"/>
      <c r="BZ23" s="110"/>
      <c r="CA23" s="110"/>
      <c r="CB23" s="110"/>
      <c r="CC23" s="110"/>
      <c r="CD23" s="110"/>
      <c r="CE23" s="110"/>
      <c r="CF23" s="110"/>
    </row>
    <row r="24" spans="1:84" s="45" customFormat="1" x14ac:dyDescent="0.25">
      <c r="A24" t="str">
        <f>Funktional!A23</f>
        <v>Blidegg</v>
      </c>
      <c r="B24" t="str">
        <f>Funktional!B23</f>
        <v>PSG</v>
      </c>
      <c r="C24" s="365">
        <v>8000</v>
      </c>
      <c r="D24" s="365">
        <v>227726.95</v>
      </c>
      <c r="E24" s="365">
        <v>18209.3</v>
      </c>
      <c r="F24" s="119">
        <f t="shared" si="0"/>
        <v>245936.25</v>
      </c>
      <c r="G24" s="43"/>
      <c r="H24" s="119">
        <f t="shared" si="1"/>
        <v>253936.25</v>
      </c>
      <c r="I24" s="377">
        <f>IF((C24&lt;Funktional!M23),0,C24-Funktional!M23)</f>
        <v>0</v>
      </c>
      <c r="J24" s="124">
        <f t="shared" si="2"/>
        <v>3.1503969992468579E-2</v>
      </c>
      <c r="K24" s="42">
        <f t="shared" si="3"/>
        <v>0.96849603000753137</v>
      </c>
      <c r="L24" s="372">
        <v>1</v>
      </c>
      <c r="M24" s="42"/>
      <c r="N24" s="43"/>
      <c r="O24" s="44"/>
      <c r="P24" s="80"/>
      <c r="Q24" s="43"/>
      <c r="R24" s="43"/>
      <c r="S24" s="43"/>
      <c r="T24" s="43"/>
      <c r="U24" s="43"/>
      <c r="V24" s="43"/>
      <c r="W24" s="43"/>
      <c r="X24" s="43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/>
      <c r="BA24" s="110"/>
      <c r="BB24" s="110"/>
      <c r="BC24" s="110"/>
      <c r="BD24" s="110"/>
      <c r="BE24" s="110"/>
      <c r="BF24" s="110"/>
      <c r="BG24" s="110"/>
      <c r="BH24" s="110"/>
      <c r="BI24" s="110"/>
      <c r="BJ24" s="110"/>
      <c r="BK24" s="110"/>
      <c r="BL24" s="110"/>
      <c r="BM24" s="110"/>
      <c r="BN24" s="110"/>
      <c r="BO24" s="110"/>
      <c r="BP24" s="110"/>
      <c r="BQ24" s="110"/>
      <c r="BR24" s="110"/>
      <c r="BS24" s="110"/>
      <c r="BT24" s="110"/>
      <c r="BU24" s="110"/>
      <c r="BV24" s="110"/>
      <c r="BW24" s="110"/>
      <c r="BX24" s="110"/>
      <c r="BY24" s="110"/>
      <c r="BZ24" s="110"/>
      <c r="CA24" s="110"/>
      <c r="CB24" s="110"/>
      <c r="CC24" s="110"/>
      <c r="CD24" s="110"/>
      <c r="CE24" s="110"/>
      <c r="CF24" s="110"/>
    </row>
    <row r="25" spans="1:84" s="45" customFormat="1" x14ac:dyDescent="0.25">
      <c r="A25" t="str">
        <f>Funktional!A24</f>
        <v>Bottighofen</v>
      </c>
      <c r="B25" t="str">
        <f>Funktional!B24</f>
        <v>PSG</v>
      </c>
      <c r="C25" s="365">
        <v>176649.3</v>
      </c>
      <c r="D25" s="365">
        <v>655398.55000000005</v>
      </c>
      <c r="E25" s="365">
        <v>69341.5</v>
      </c>
      <c r="F25" s="119">
        <f t="shared" si="0"/>
        <v>724740.05</v>
      </c>
      <c r="G25" s="43"/>
      <c r="H25" s="119">
        <f t="shared" si="1"/>
        <v>901389.35000000009</v>
      </c>
      <c r="I25" s="377"/>
      <c r="J25" s="124">
        <f t="shared" si="2"/>
        <v>0.1959744698558952</v>
      </c>
      <c r="K25" s="42">
        <f t="shared" si="3"/>
        <v>0.80402553014410472</v>
      </c>
      <c r="L25" s="372">
        <f t="shared" si="4"/>
        <v>0.80402553014410472</v>
      </c>
      <c r="M25" s="42"/>
      <c r="N25" s="43"/>
      <c r="O25" s="44"/>
      <c r="P25" s="80"/>
      <c r="Q25" s="43"/>
      <c r="R25" s="43"/>
      <c r="S25" s="43"/>
      <c r="T25" s="43"/>
      <c r="U25" s="43"/>
      <c r="V25" s="43"/>
      <c r="W25" s="43"/>
      <c r="X25" s="43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  <c r="AU25" s="110"/>
      <c r="AV25" s="110"/>
      <c r="AW25" s="110"/>
      <c r="AX25" s="110"/>
      <c r="AY25" s="110"/>
      <c r="AZ25" s="110"/>
      <c r="BA25" s="110"/>
      <c r="BB25" s="110"/>
      <c r="BC25" s="110"/>
      <c r="BD25" s="110"/>
      <c r="BE25" s="110"/>
      <c r="BF25" s="110"/>
      <c r="BG25" s="110"/>
      <c r="BH25" s="110"/>
      <c r="BI25" s="110"/>
      <c r="BJ25" s="110"/>
      <c r="BK25" s="110"/>
      <c r="BL25" s="110"/>
      <c r="BM25" s="110"/>
      <c r="BN25" s="110"/>
      <c r="BO25" s="110"/>
      <c r="BP25" s="110"/>
      <c r="BQ25" s="110"/>
      <c r="BR25" s="110"/>
      <c r="BS25" s="110"/>
      <c r="BT25" s="110"/>
      <c r="BU25" s="110"/>
      <c r="BV25" s="110"/>
      <c r="BW25" s="110"/>
      <c r="BX25" s="110"/>
      <c r="BY25" s="110"/>
      <c r="BZ25" s="110"/>
      <c r="CA25" s="110"/>
      <c r="CB25" s="110"/>
      <c r="CC25" s="110"/>
      <c r="CD25" s="110"/>
      <c r="CE25" s="110"/>
      <c r="CF25" s="110"/>
    </row>
    <row r="26" spans="1:84" s="45" customFormat="1" x14ac:dyDescent="0.25">
      <c r="A26" t="str">
        <f>Funktional!A25</f>
        <v>Braunau</v>
      </c>
      <c r="B26" t="str">
        <f>Funktional!B25</f>
        <v>PSG</v>
      </c>
      <c r="C26" s="365">
        <v>97816.6</v>
      </c>
      <c r="D26" s="365">
        <v>435843.15</v>
      </c>
      <c r="E26" s="365">
        <v>39867.550000000003</v>
      </c>
      <c r="F26" s="119">
        <f t="shared" ref="F26:F41" si="5">D26+E26</f>
        <v>475710.7</v>
      </c>
      <c r="G26" s="43"/>
      <c r="H26" s="119">
        <f t="shared" ref="H26:H41" si="6">C26+F26+I26</f>
        <v>573527.30000000005</v>
      </c>
      <c r="I26" s="377"/>
      <c r="J26" s="124">
        <f t="shared" ref="J26:J41" si="7">C26/H26</f>
        <v>0.17055264849641857</v>
      </c>
      <c r="K26" s="42">
        <f t="shared" ref="K26:K41" si="8">F26/H26</f>
        <v>0.8294473515035814</v>
      </c>
      <c r="L26" s="372">
        <f t="shared" si="4"/>
        <v>0.8294473515035814</v>
      </c>
      <c r="M26" s="42"/>
      <c r="N26" s="43"/>
      <c r="O26" s="44"/>
      <c r="P26" s="80"/>
      <c r="Q26" s="43"/>
      <c r="R26" s="43"/>
      <c r="S26" s="43"/>
      <c r="T26" s="43"/>
      <c r="U26" s="43"/>
      <c r="V26" s="43"/>
      <c r="W26" s="43"/>
      <c r="X26" s="43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  <c r="AO26" s="110"/>
      <c r="AP26" s="110"/>
      <c r="AQ26" s="110"/>
      <c r="AR26" s="110"/>
      <c r="AS26" s="110"/>
      <c r="AT26" s="110"/>
      <c r="AU26" s="110"/>
      <c r="AV26" s="110"/>
      <c r="AW26" s="110"/>
      <c r="AX26" s="110"/>
      <c r="AY26" s="110"/>
      <c r="AZ26" s="110"/>
      <c r="BA26" s="110"/>
      <c r="BB26" s="110"/>
      <c r="BC26" s="110"/>
      <c r="BD26" s="110"/>
      <c r="BE26" s="110"/>
      <c r="BF26" s="110"/>
      <c r="BG26" s="110"/>
      <c r="BH26" s="110"/>
      <c r="BI26" s="110"/>
      <c r="BJ26" s="110"/>
      <c r="BK26" s="110"/>
      <c r="BL26" s="110"/>
      <c r="BM26" s="110"/>
      <c r="BN26" s="110"/>
      <c r="BO26" s="110"/>
      <c r="BP26" s="110"/>
      <c r="BQ26" s="110"/>
      <c r="BR26" s="110"/>
      <c r="BS26" s="110"/>
      <c r="BT26" s="110"/>
      <c r="BU26" s="110"/>
      <c r="BV26" s="110"/>
      <c r="BW26" s="110"/>
      <c r="BX26" s="110"/>
      <c r="BY26" s="110"/>
      <c r="BZ26" s="110"/>
      <c r="CA26" s="110"/>
      <c r="CB26" s="110"/>
      <c r="CC26" s="110"/>
      <c r="CD26" s="110"/>
      <c r="CE26" s="110"/>
      <c r="CF26" s="110"/>
    </row>
    <row r="27" spans="1:84" s="45" customFormat="1" x14ac:dyDescent="0.25">
      <c r="A27" t="str">
        <f>Funktional!A26</f>
        <v>Buch bei Frauenfeld</v>
      </c>
      <c r="B27" t="str">
        <f>Funktional!B26</f>
        <v>PSG</v>
      </c>
      <c r="C27" s="365">
        <v>54720.5</v>
      </c>
      <c r="D27" s="365">
        <v>263381.25</v>
      </c>
      <c r="E27" s="365">
        <v>19843.650000000001</v>
      </c>
      <c r="F27" s="119">
        <f t="shared" si="5"/>
        <v>283224.90000000002</v>
      </c>
      <c r="G27" s="43"/>
      <c r="H27" s="119">
        <f>C27+F27</f>
        <v>337945.4</v>
      </c>
      <c r="I27" s="377">
        <f>IF((C27&lt;Funktional!M26),0,C27-Funktional!M26)</f>
        <v>0</v>
      </c>
      <c r="J27" s="124">
        <f t="shared" si="7"/>
        <v>0.16192112690393182</v>
      </c>
      <c r="K27" s="42">
        <f t="shared" si="8"/>
        <v>0.83807887309606821</v>
      </c>
      <c r="L27" s="372">
        <v>1</v>
      </c>
      <c r="M27" s="42"/>
      <c r="N27" s="43"/>
      <c r="O27" s="44"/>
      <c r="P27" s="80"/>
      <c r="Q27" s="43"/>
      <c r="R27" s="43"/>
      <c r="S27" s="43"/>
      <c r="T27" s="43"/>
      <c r="U27" s="43"/>
      <c r="V27" s="43"/>
      <c r="W27" s="43"/>
      <c r="X27" s="43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0"/>
      <c r="BE27" s="110"/>
      <c r="BF27" s="110"/>
      <c r="BG27" s="110"/>
      <c r="BH27" s="110"/>
      <c r="BI27" s="110"/>
      <c r="BJ27" s="110"/>
      <c r="BK27" s="110"/>
      <c r="BL27" s="110"/>
      <c r="BM27" s="110"/>
      <c r="BN27" s="110"/>
      <c r="BO27" s="110"/>
      <c r="BP27" s="110"/>
      <c r="BQ27" s="110"/>
      <c r="BR27" s="110"/>
      <c r="BS27" s="110"/>
      <c r="BT27" s="110"/>
      <c r="BU27" s="110"/>
      <c r="BV27" s="110"/>
      <c r="BW27" s="110"/>
      <c r="BX27" s="110"/>
      <c r="BY27" s="110"/>
      <c r="BZ27" s="110"/>
      <c r="CA27" s="110"/>
      <c r="CB27" s="110"/>
      <c r="CC27" s="110"/>
      <c r="CD27" s="110"/>
      <c r="CE27" s="110"/>
      <c r="CF27" s="110"/>
    </row>
    <row r="28" spans="1:84" s="45" customFormat="1" x14ac:dyDescent="0.25">
      <c r="A28" t="str">
        <f>Funktional!A27</f>
        <v>Buhwil-Neukirch an der Thur</v>
      </c>
      <c r="B28" t="str">
        <f>Funktional!B27</f>
        <v>PSG</v>
      </c>
      <c r="C28" s="365">
        <v>102110.39999999999</v>
      </c>
      <c r="D28" s="365">
        <v>523495.4</v>
      </c>
      <c r="E28" s="365">
        <v>48159.1</v>
      </c>
      <c r="F28" s="119">
        <f t="shared" si="5"/>
        <v>571654.5</v>
      </c>
      <c r="G28" s="43"/>
      <c r="H28" s="119">
        <f t="shared" si="6"/>
        <v>673764.9</v>
      </c>
      <c r="I28" s="377"/>
      <c r="J28" s="124">
        <f t="shared" si="7"/>
        <v>0.151551973099222</v>
      </c>
      <c r="K28" s="42">
        <f t="shared" si="8"/>
        <v>0.84844802690077792</v>
      </c>
      <c r="L28" s="372">
        <f t="shared" ref="L28:L35" si="9">K28</f>
        <v>0.84844802690077792</v>
      </c>
      <c r="M28" s="42"/>
      <c r="N28" s="43"/>
      <c r="O28" s="44"/>
      <c r="P28" s="80"/>
      <c r="Q28" s="43"/>
      <c r="R28" s="43"/>
      <c r="S28" s="43"/>
      <c r="T28" s="43"/>
      <c r="U28" s="43"/>
      <c r="V28" s="43"/>
      <c r="W28" s="43"/>
      <c r="X28" s="43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  <c r="AO28" s="110"/>
      <c r="AP28" s="110"/>
      <c r="AQ28" s="110"/>
      <c r="AR28" s="110"/>
      <c r="AS28" s="110"/>
      <c r="AT28" s="110"/>
      <c r="AU28" s="110"/>
      <c r="AV28" s="110"/>
      <c r="AW28" s="110"/>
      <c r="AX28" s="110"/>
      <c r="AY28" s="110"/>
      <c r="AZ28" s="110"/>
      <c r="BA28" s="110"/>
      <c r="BB28" s="110"/>
      <c r="BC28" s="110"/>
      <c r="BD28" s="110"/>
      <c r="BE28" s="110"/>
      <c r="BF28" s="110"/>
      <c r="BG28" s="110"/>
      <c r="BH28" s="110"/>
      <c r="BI28" s="110"/>
      <c r="BJ28" s="110"/>
      <c r="BK28" s="110"/>
      <c r="BL28" s="110"/>
      <c r="BM28" s="110"/>
      <c r="BN28" s="110"/>
      <c r="BO28" s="110"/>
      <c r="BP28" s="110"/>
      <c r="BQ28" s="110"/>
      <c r="BR28" s="110"/>
      <c r="BS28" s="110"/>
      <c r="BT28" s="110"/>
      <c r="BU28" s="110"/>
      <c r="BV28" s="110"/>
      <c r="BW28" s="110"/>
      <c r="BX28" s="110"/>
      <c r="BY28" s="110"/>
      <c r="BZ28" s="110"/>
      <c r="CA28" s="110"/>
      <c r="CB28" s="110"/>
      <c r="CC28" s="110"/>
      <c r="CD28" s="110"/>
      <c r="CE28" s="110"/>
      <c r="CF28" s="110"/>
    </row>
    <row r="29" spans="1:84" s="45" customFormat="1" x14ac:dyDescent="0.25">
      <c r="A29" t="str">
        <f>Funktional!A28</f>
        <v>Bürglen</v>
      </c>
      <c r="B29" t="str">
        <f>Funktional!B28</f>
        <v>PSG</v>
      </c>
      <c r="C29" s="365">
        <v>238769.4</v>
      </c>
      <c r="D29" s="365">
        <v>1774396.3</v>
      </c>
      <c r="E29" s="365">
        <v>173673.05</v>
      </c>
      <c r="F29" s="119">
        <f t="shared" si="5"/>
        <v>1948069.35</v>
      </c>
      <c r="G29" s="43"/>
      <c r="H29" s="119">
        <f t="shared" si="6"/>
        <v>2186838.75</v>
      </c>
      <c r="I29" s="377"/>
      <c r="J29" s="124">
        <f t="shared" si="7"/>
        <v>0.10918473069859402</v>
      </c>
      <c r="K29" s="42">
        <f t="shared" si="8"/>
        <v>0.89081526930140598</v>
      </c>
      <c r="L29" s="372">
        <f t="shared" si="9"/>
        <v>0.89081526930140598</v>
      </c>
      <c r="M29" s="42"/>
      <c r="N29" s="43"/>
      <c r="O29" s="44"/>
      <c r="P29" s="80"/>
      <c r="Q29" s="43"/>
      <c r="R29" s="43"/>
      <c r="S29" s="43"/>
      <c r="T29" s="43"/>
      <c r="U29" s="43"/>
      <c r="V29" s="43"/>
      <c r="W29" s="43"/>
      <c r="X29" s="43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/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110"/>
      <c r="BJ29" s="110"/>
      <c r="BK29" s="110"/>
      <c r="BL29" s="110"/>
      <c r="BM29" s="110"/>
      <c r="BN29" s="110"/>
      <c r="BO29" s="110"/>
      <c r="BP29" s="110"/>
      <c r="BQ29" s="110"/>
      <c r="BR29" s="110"/>
      <c r="BS29" s="110"/>
      <c r="BT29" s="110"/>
      <c r="BU29" s="110"/>
      <c r="BV29" s="110"/>
      <c r="BW29" s="110"/>
      <c r="BX29" s="110"/>
      <c r="BY29" s="110"/>
      <c r="BZ29" s="110"/>
      <c r="CA29" s="110"/>
      <c r="CB29" s="110"/>
      <c r="CC29" s="110"/>
      <c r="CD29" s="110"/>
      <c r="CE29" s="110"/>
      <c r="CF29" s="110"/>
    </row>
    <row r="30" spans="1:84" s="45" customFormat="1" x14ac:dyDescent="0.25">
      <c r="A30" t="str">
        <f>Funktional!A29</f>
        <v>Bussnang-Rothenhausen</v>
      </c>
      <c r="B30" t="str">
        <f>Funktional!B29</f>
        <v>PSG</v>
      </c>
      <c r="C30" s="365">
        <v>169123.85</v>
      </c>
      <c r="D30" s="365">
        <v>624086.15</v>
      </c>
      <c r="E30" s="365">
        <v>60774.15</v>
      </c>
      <c r="F30" s="119">
        <f t="shared" si="5"/>
        <v>684860.3</v>
      </c>
      <c r="G30" s="43"/>
      <c r="H30" s="119">
        <f t="shared" si="6"/>
        <v>853984.15</v>
      </c>
      <c r="I30" s="377"/>
      <c r="J30" s="124">
        <f t="shared" si="7"/>
        <v>0.19804097066672724</v>
      </c>
      <c r="K30" s="42">
        <f t="shared" si="8"/>
        <v>0.80195902933327279</v>
      </c>
      <c r="L30" s="372">
        <f t="shared" si="9"/>
        <v>0.80195902933327279</v>
      </c>
      <c r="M30" s="42"/>
      <c r="N30" s="43"/>
      <c r="O30" s="44"/>
      <c r="P30" s="80"/>
      <c r="Q30" s="43"/>
      <c r="R30" s="43"/>
      <c r="S30" s="43"/>
      <c r="T30" s="43"/>
      <c r="U30" s="43"/>
      <c r="V30" s="43"/>
      <c r="W30" s="43"/>
      <c r="X30" s="43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  <c r="AO30" s="110"/>
      <c r="AP30" s="110"/>
      <c r="AQ30" s="110"/>
      <c r="AR30" s="110"/>
      <c r="AS30" s="110"/>
      <c r="AT30" s="110"/>
      <c r="AU30" s="110"/>
      <c r="AV30" s="110"/>
      <c r="AW30" s="110"/>
      <c r="AX30" s="110"/>
      <c r="AY30" s="110"/>
      <c r="AZ30" s="110"/>
      <c r="BA30" s="110"/>
      <c r="BB30" s="110"/>
      <c r="BC30" s="110"/>
      <c r="BD30" s="110"/>
      <c r="BE30" s="110"/>
      <c r="BF30" s="110"/>
      <c r="BG30" s="110"/>
      <c r="BH30" s="110"/>
      <c r="BI30" s="110"/>
      <c r="BJ30" s="110"/>
      <c r="BK30" s="110"/>
      <c r="BL30" s="110"/>
      <c r="BM30" s="110"/>
      <c r="BN30" s="110"/>
      <c r="BO30" s="110"/>
      <c r="BP30" s="110"/>
      <c r="BQ30" s="110"/>
      <c r="BR30" s="110"/>
      <c r="BS30" s="110"/>
      <c r="BT30" s="110"/>
      <c r="BU30" s="110"/>
      <c r="BV30" s="110"/>
      <c r="BW30" s="110"/>
      <c r="BX30" s="110"/>
      <c r="BY30" s="110"/>
      <c r="BZ30" s="110"/>
      <c r="CA30" s="110"/>
      <c r="CB30" s="110"/>
      <c r="CC30" s="110"/>
      <c r="CD30" s="110"/>
      <c r="CE30" s="110"/>
      <c r="CF30" s="110"/>
    </row>
    <row r="31" spans="1:84" s="45" customFormat="1" x14ac:dyDescent="0.25">
      <c r="A31" t="str">
        <f>Funktional!A30</f>
        <v>Busswil</v>
      </c>
      <c r="B31" t="str">
        <f>Funktional!B30</f>
        <v>PSG</v>
      </c>
      <c r="C31" s="365">
        <v>87131.5</v>
      </c>
      <c r="D31" s="365">
        <v>490148.7</v>
      </c>
      <c r="E31" s="365">
        <v>52830.85</v>
      </c>
      <c r="F31" s="119">
        <f t="shared" si="5"/>
        <v>542979.55000000005</v>
      </c>
      <c r="G31" s="43"/>
      <c r="H31" s="119">
        <f t="shared" si="6"/>
        <v>630111.05000000005</v>
      </c>
      <c r="I31" s="377"/>
      <c r="J31" s="124">
        <f t="shared" si="7"/>
        <v>0.13827959373193024</v>
      </c>
      <c r="K31" s="42">
        <f t="shared" si="8"/>
        <v>0.86172040626806978</v>
      </c>
      <c r="L31" s="372">
        <f t="shared" si="9"/>
        <v>0.86172040626806978</v>
      </c>
      <c r="M31" s="42"/>
      <c r="N31" s="43"/>
      <c r="O31" s="44"/>
      <c r="P31" s="80"/>
      <c r="Q31" s="43"/>
      <c r="R31" s="43"/>
      <c r="S31" s="43"/>
      <c r="T31" s="43"/>
      <c r="U31" s="43"/>
      <c r="V31" s="43"/>
      <c r="W31" s="43"/>
      <c r="X31" s="43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110"/>
      <c r="BJ31" s="110"/>
      <c r="BK31" s="110"/>
      <c r="BL31" s="110"/>
      <c r="BM31" s="110"/>
      <c r="BN31" s="110"/>
      <c r="BO31" s="110"/>
      <c r="BP31" s="110"/>
      <c r="BQ31" s="110"/>
      <c r="BR31" s="110"/>
      <c r="BS31" s="110"/>
      <c r="BT31" s="110"/>
      <c r="BU31" s="110"/>
      <c r="BV31" s="110"/>
      <c r="BW31" s="110"/>
      <c r="BX31" s="110"/>
      <c r="BY31" s="110"/>
      <c r="BZ31" s="110"/>
      <c r="CA31" s="110"/>
      <c r="CB31" s="110"/>
      <c r="CC31" s="110"/>
      <c r="CD31" s="110"/>
      <c r="CE31" s="110"/>
      <c r="CF31" s="110"/>
    </row>
    <row r="32" spans="1:84" s="45" customFormat="1" x14ac:dyDescent="0.25">
      <c r="A32" t="str">
        <f>Funktional!A31</f>
        <v>Dettighofen-Lanzenneunforn</v>
      </c>
      <c r="B32" t="str">
        <f>Funktional!B31</f>
        <v>PSG</v>
      </c>
      <c r="C32" s="365">
        <v>104964.5</v>
      </c>
      <c r="D32" s="365">
        <v>483496.9</v>
      </c>
      <c r="E32" s="365">
        <v>44820.6</v>
      </c>
      <c r="F32" s="119">
        <f t="shared" si="5"/>
        <v>528317.5</v>
      </c>
      <c r="G32" s="43"/>
      <c r="H32" s="119">
        <f t="shared" si="6"/>
        <v>633282</v>
      </c>
      <c r="I32" s="377"/>
      <c r="J32" s="124">
        <f t="shared" si="7"/>
        <v>0.16574685527142727</v>
      </c>
      <c r="K32" s="42">
        <f t="shared" si="8"/>
        <v>0.8342531447285727</v>
      </c>
      <c r="L32" s="372">
        <f t="shared" si="9"/>
        <v>0.8342531447285727</v>
      </c>
      <c r="M32" s="42"/>
      <c r="N32" s="43"/>
      <c r="O32" s="44"/>
      <c r="P32" s="80"/>
      <c r="Q32" s="43"/>
      <c r="R32" s="43"/>
      <c r="S32" s="43"/>
      <c r="T32" s="43"/>
      <c r="U32" s="43"/>
      <c r="V32" s="43"/>
      <c r="W32" s="43"/>
      <c r="X32" s="43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  <c r="AO32" s="110"/>
      <c r="AP32" s="110"/>
      <c r="AQ32" s="110"/>
      <c r="AR32" s="110"/>
      <c r="AS32" s="110"/>
      <c r="AT32" s="110"/>
      <c r="AU32" s="110"/>
      <c r="AV32" s="110"/>
      <c r="AW32" s="110"/>
      <c r="AX32" s="110"/>
      <c r="AY32" s="110"/>
      <c r="AZ32" s="110"/>
      <c r="BA32" s="110"/>
      <c r="BB32" s="110"/>
      <c r="BC32" s="110"/>
      <c r="BD32" s="110"/>
      <c r="BE32" s="110"/>
      <c r="BF32" s="110"/>
      <c r="BG32" s="110"/>
      <c r="BH32" s="110"/>
      <c r="BI32" s="110"/>
      <c r="BJ32" s="110"/>
      <c r="BK32" s="110"/>
      <c r="BL32" s="110"/>
      <c r="BM32" s="110"/>
      <c r="BN32" s="110"/>
      <c r="BO32" s="110"/>
      <c r="BP32" s="110"/>
      <c r="BQ32" s="110"/>
      <c r="BR32" s="110"/>
      <c r="BS32" s="110"/>
      <c r="BT32" s="110"/>
      <c r="BU32" s="110"/>
      <c r="BV32" s="110"/>
      <c r="BW32" s="110"/>
      <c r="BX32" s="110"/>
      <c r="BY32" s="110"/>
      <c r="BZ32" s="110"/>
      <c r="CA32" s="110"/>
      <c r="CB32" s="110"/>
      <c r="CC32" s="110"/>
      <c r="CD32" s="110"/>
      <c r="CE32" s="110"/>
      <c r="CF32" s="110"/>
    </row>
    <row r="33" spans="1:84" s="45" customFormat="1" x14ac:dyDescent="0.25">
      <c r="A33" t="str">
        <f>Funktional!A32</f>
        <v>Diessenhofen</v>
      </c>
      <c r="B33" t="str">
        <f>Funktional!B32</f>
        <v>PSG</v>
      </c>
      <c r="C33" s="365">
        <v>313730.05</v>
      </c>
      <c r="D33" s="365">
        <v>1500191.7</v>
      </c>
      <c r="E33" s="365">
        <v>145082.1</v>
      </c>
      <c r="F33" s="119">
        <f t="shared" si="5"/>
        <v>1645273.8</v>
      </c>
      <c r="G33" s="43"/>
      <c r="H33" s="119">
        <f t="shared" si="6"/>
        <v>1959003.85</v>
      </c>
      <c r="I33" s="377"/>
      <c r="J33" s="124">
        <f t="shared" si="7"/>
        <v>0.16014774549830516</v>
      </c>
      <c r="K33" s="42">
        <f t="shared" si="8"/>
        <v>0.83985225450169476</v>
      </c>
      <c r="L33" s="372">
        <f t="shared" si="9"/>
        <v>0.83985225450169476</v>
      </c>
      <c r="M33" s="42"/>
      <c r="N33" s="43"/>
      <c r="O33" s="44"/>
      <c r="P33" s="80"/>
      <c r="Q33" s="43"/>
      <c r="R33" s="43"/>
      <c r="S33" s="43"/>
      <c r="T33" s="43"/>
      <c r="U33" s="43"/>
      <c r="V33" s="43"/>
      <c r="W33" s="43"/>
      <c r="X33" s="43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110"/>
      <c r="BJ33" s="110"/>
      <c r="BK33" s="110"/>
      <c r="BL33" s="110"/>
      <c r="BM33" s="110"/>
      <c r="BN33" s="110"/>
      <c r="BO33" s="110"/>
      <c r="BP33" s="110"/>
      <c r="BQ33" s="110"/>
      <c r="BR33" s="110"/>
      <c r="BS33" s="110"/>
      <c r="BT33" s="110"/>
      <c r="BU33" s="110"/>
      <c r="BV33" s="110"/>
      <c r="BW33" s="110"/>
      <c r="BX33" s="110"/>
      <c r="BY33" s="110"/>
      <c r="BZ33" s="110"/>
      <c r="CA33" s="110"/>
      <c r="CB33" s="110"/>
      <c r="CC33" s="110"/>
      <c r="CD33" s="110"/>
      <c r="CE33" s="110"/>
      <c r="CF33" s="110"/>
    </row>
    <row r="34" spans="1:84" s="45" customFormat="1" x14ac:dyDescent="0.25">
      <c r="A34" t="str">
        <f>Funktional!A33</f>
        <v>Dingetswil</v>
      </c>
      <c r="B34" t="str">
        <f>Funktional!B33</f>
        <v>PSG</v>
      </c>
      <c r="C34" s="365">
        <v>10120</v>
      </c>
      <c r="D34" s="365">
        <v>29100</v>
      </c>
      <c r="E34" s="365">
        <v>0</v>
      </c>
      <c r="F34" s="119">
        <f t="shared" si="5"/>
        <v>29100</v>
      </c>
      <c r="G34" s="43"/>
      <c r="H34" s="119">
        <f t="shared" si="6"/>
        <v>39220</v>
      </c>
      <c r="I34" s="377">
        <f>IF((C34&lt;Funktional!M33),0,C34-Funktional!M33)</f>
        <v>0</v>
      </c>
      <c r="J34" s="124">
        <f t="shared" si="7"/>
        <v>0.25803161652218254</v>
      </c>
      <c r="K34" s="42">
        <f t="shared" si="8"/>
        <v>0.74196838347781746</v>
      </c>
      <c r="L34" s="372">
        <v>1</v>
      </c>
      <c r="M34" s="42"/>
      <c r="N34" s="43"/>
      <c r="O34" s="44"/>
      <c r="P34" s="80"/>
      <c r="Q34" s="43"/>
      <c r="R34" s="43"/>
      <c r="S34" s="43"/>
      <c r="T34" s="43"/>
      <c r="U34" s="43"/>
      <c r="V34" s="43"/>
      <c r="W34" s="43"/>
      <c r="X34" s="43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110"/>
      <c r="BJ34" s="110"/>
      <c r="BK34" s="110"/>
      <c r="BL34" s="110"/>
      <c r="BM34" s="110"/>
      <c r="BN34" s="110"/>
      <c r="BO34" s="110"/>
      <c r="BP34" s="110"/>
      <c r="BQ34" s="110"/>
      <c r="BR34" s="110"/>
      <c r="BS34" s="110"/>
      <c r="BT34" s="110"/>
      <c r="BU34" s="110"/>
      <c r="BV34" s="110"/>
      <c r="BW34" s="110"/>
      <c r="BX34" s="110"/>
      <c r="BY34" s="110"/>
      <c r="BZ34" s="110"/>
      <c r="CA34" s="110"/>
      <c r="CB34" s="110"/>
      <c r="CC34" s="110"/>
      <c r="CD34" s="110"/>
      <c r="CE34" s="110"/>
      <c r="CF34" s="110"/>
    </row>
    <row r="35" spans="1:84" s="45" customFormat="1" x14ac:dyDescent="0.25">
      <c r="A35" t="str">
        <f>Funktional!A34</f>
        <v>Donzhausen</v>
      </c>
      <c r="B35" t="str">
        <f>Funktional!B34</f>
        <v>PSG</v>
      </c>
      <c r="C35" s="365">
        <v>55125.3</v>
      </c>
      <c r="D35" s="365">
        <v>267537.45</v>
      </c>
      <c r="E35" s="365">
        <v>28901.75</v>
      </c>
      <c r="F35" s="119">
        <f t="shared" si="5"/>
        <v>296439.2</v>
      </c>
      <c r="G35" s="43"/>
      <c r="H35" s="119">
        <f t="shared" si="6"/>
        <v>351564.5</v>
      </c>
      <c r="I35" s="377"/>
      <c r="J35" s="124">
        <f t="shared" si="7"/>
        <v>0.15679996131577564</v>
      </c>
      <c r="K35" s="42">
        <f t="shared" si="8"/>
        <v>0.84320003868422444</v>
      </c>
      <c r="L35" s="372">
        <f t="shared" si="9"/>
        <v>0.84320003868422444</v>
      </c>
      <c r="M35" s="42"/>
      <c r="N35" s="43"/>
      <c r="O35" s="44"/>
      <c r="P35" s="80"/>
      <c r="Q35" s="43"/>
      <c r="R35" s="43"/>
      <c r="S35" s="43"/>
      <c r="T35" s="43"/>
      <c r="U35" s="43"/>
      <c r="V35" s="43"/>
      <c r="W35" s="43"/>
      <c r="X35" s="43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  <c r="AO35" s="110"/>
      <c r="AP35" s="110"/>
      <c r="AQ35" s="110"/>
      <c r="AR35" s="110"/>
      <c r="AS35" s="110"/>
      <c r="AT35" s="110"/>
      <c r="AU35" s="110"/>
      <c r="AV35" s="110"/>
      <c r="AW35" s="110"/>
      <c r="AX35" s="110"/>
      <c r="AY35" s="110"/>
      <c r="AZ35" s="110"/>
      <c r="BA35" s="110"/>
      <c r="BB35" s="110"/>
      <c r="BC35" s="110"/>
      <c r="BD35" s="110"/>
      <c r="BE35" s="110"/>
      <c r="BF35" s="110"/>
      <c r="BG35" s="110"/>
      <c r="BH35" s="110"/>
      <c r="BI35" s="110"/>
      <c r="BJ35" s="110"/>
      <c r="BK35" s="110"/>
      <c r="BL35" s="110"/>
      <c r="BM35" s="110"/>
      <c r="BN35" s="110"/>
      <c r="BO35" s="110"/>
      <c r="BP35" s="110"/>
      <c r="BQ35" s="110"/>
      <c r="BR35" s="110"/>
      <c r="BS35" s="110"/>
      <c r="BT35" s="110"/>
      <c r="BU35" s="110"/>
      <c r="BV35" s="110"/>
      <c r="BW35" s="110"/>
      <c r="BX35" s="110"/>
      <c r="BY35" s="110"/>
      <c r="BZ35" s="110"/>
      <c r="CA35" s="110"/>
      <c r="CB35" s="110"/>
      <c r="CC35" s="110"/>
      <c r="CD35" s="110"/>
      <c r="CE35" s="110"/>
      <c r="CF35" s="110"/>
    </row>
    <row r="36" spans="1:84" s="45" customFormat="1" x14ac:dyDescent="0.25">
      <c r="A36" t="str">
        <f>Funktional!A35</f>
        <v>Dozwil</v>
      </c>
      <c r="B36" t="str">
        <f>Funktional!B35</f>
        <v>PSG</v>
      </c>
      <c r="C36" s="365">
        <v>75315</v>
      </c>
      <c r="D36" s="365">
        <v>254421.65</v>
      </c>
      <c r="E36" s="365">
        <v>26149.3</v>
      </c>
      <c r="F36" s="119">
        <f t="shared" si="5"/>
        <v>280570.95</v>
      </c>
      <c r="G36" s="43"/>
      <c r="H36" s="119">
        <f>C36+F36</f>
        <v>355885.95</v>
      </c>
      <c r="I36" s="377">
        <f>IF((C36&lt;Funktional!M35),0,C36-Funktional!M35)</f>
        <v>25301.300000000003</v>
      </c>
      <c r="J36" s="124">
        <f t="shared" si="7"/>
        <v>0.21162678661520634</v>
      </c>
      <c r="K36" s="42">
        <f t="shared" si="8"/>
        <v>0.7883732133847936</v>
      </c>
      <c r="L36" s="372">
        <v>1</v>
      </c>
      <c r="M36" s="42"/>
      <c r="N36" s="43"/>
      <c r="O36" s="44"/>
      <c r="P36" s="80"/>
      <c r="Q36" s="43"/>
      <c r="R36" s="43"/>
      <c r="S36" s="43"/>
      <c r="T36" s="43"/>
      <c r="U36" s="43"/>
      <c r="V36" s="43"/>
      <c r="W36" s="43"/>
      <c r="X36" s="43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/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110"/>
      <c r="BJ36" s="110"/>
      <c r="BK36" s="110"/>
      <c r="BL36" s="110"/>
      <c r="BM36" s="110"/>
      <c r="BN36" s="110"/>
      <c r="BO36" s="110"/>
      <c r="BP36" s="110"/>
      <c r="BQ36" s="110"/>
      <c r="BR36" s="110"/>
      <c r="BS36" s="110"/>
      <c r="BT36" s="110"/>
      <c r="BU36" s="110"/>
      <c r="BV36" s="110"/>
      <c r="BW36" s="110"/>
      <c r="BX36" s="110"/>
      <c r="BY36" s="110"/>
      <c r="BZ36" s="110"/>
      <c r="CA36" s="110"/>
      <c r="CB36" s="110"/>
      <c r="CC36" s="110"/>
      <c r="CD36" s="110"/>
      <c r="CE36" s="110"/>
      <c r="CF36" s="110"/>
    </row>
    <row r="37" spans="1:84" s="45" customFormat="1" x14ac:dyDescent="0.25">
      <c r="A37" t="str">
        <f>Funktional!A36</f>
        <v>Dussnang-Oberwangen</v>
      </c>
      <c r="B37" t="str">
        <f>Funktional!B36</f>
        <v>PSG</v>
      </c>
      <c r="C37" s="365">
        <v>184168.85</v>
      </c>
      <c r="D37" s="365">
        <v>1293986.1000000001</v>
      </c>
      <c r="E37" s="365">
        <v>78582.350000000006</v>
      </c>
      <c r="F37" s="119">
        <f t="shared" si="5"/>
        <v>1372568.4500000002</v>
      </c>
      <c r="G37" s="43"/>
      <c r="H37" s="119">
        <f t="shared" si="6"/>
        <v>1556737.3000000003</v>
      </c>
      <c r="I37" s="377"/>
      <c r="J37" s="124">
        <f t="shared" si="7"/>
        <v>0.11830438571748744</v>
      </c>
      <c r="K37" s="42">
        <f t="shared" si="8"/>
        <v>0.88169561428251253</v>
      </c>
      <c r="L37" s="372">
        <f>K37</f>
        <v>0.88169561428251253</v>
      </c>
      <c r="M37" s="42"/>
      <c r="N37" s="43"/>
      <c r="O37" s="44"/>
      <c r="P37" s="80"/>
      <c r="Q37" s="43"/>
      <c r="R37" s="43"/>
      <c r="S37" s="43"/>
      <c r="T37" s="43"/>
      <c r="U37" s="43"/>
      <c r="V37" s="43"/>
      <c r="W37" s="43"/>
      <c r="X37" s="43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  <c r="AO37" s="110"/>
      <c r="AP37" s="110"/>
      <c r="AQ37" s="110"/>
      <c r="AR37" s="110"/>
      <c r="AS37" s="110"/>
      <c r="AT37" s="110"/>
      <c r="AU37" s="110"/>
      <c r="AV37" s="110"/>
      <c r="AW37" s="110"/>
      <c r="AX37" s="110"/>
      <c r="AY37" s="110"/>
      <c r="AZ37" s="110"/>
      <c r="BA37" s="110"/>
      <c r="BB37" s="110"/>
      <c r="BC37" s="110"/>
      <c r="BD37" s="110"/>
      <c r="BE37" s="110"/>
      <c r="BF37" s="110"/>
      <c r="BG37" s="110"/>
      <c r="BH37" s="110"/>
      <c r="BI37" s="110"/>
      <c r="BJ37" s="110"/>
      <c r="BK37" s="110"/>
      <c r="BL37" s="110"/>
      <c r="BM37" s="110"/>
      <c r="BN37" s="110"/>
      <c r="BO37" s="110"/>
      <c r="BP37" s="110"/>
      <c r="BQ37" s="110"/>
      <c r="BR37" s="110"/>
      <c r="BS37" s="110"/>
      <c r="BT37" s="110"/>
      <c r="BU37" s="110"/>
      <c r="BV37" s="110"/>
      <c r="BW37" s="110"/>
      <c r="BX37" s="110"/>
      <c r="BY37" s="110"/>
      <c r="BZ37" s="110"/>
      <c r="CA37" s="110"/>
      <c r="CB37" s="110"/>
      <c r="CC37" s="110"/>
      <c r="CD37" s="110"/>
      <c r="CE37" s="110"/>
      <c r="CF37" s="110"/>
    </row>
    <row r="38" spans="1:84" s="45" customFormat="1" x14ac:dyDescent="0.25">
      <c r="A38" t="str">
        <f>Funktional!A37</f>
        <v>Egg</v>
      </c>
      <c r="B38" t="str">
        <f>Funktional!B37</f>
        <v>PSG</v>
      </c>
      <c r="C38" s="365">
        <v>84702.7</v>
      </c>
      <c r="D38" s="365">
        <v>528606.4</v>
      </c>
      <c r="E38" s="365">
        <v>51583.6</v>
      </c>
      <c r="F38" s="119">
        <f t="shared" si="5"/>
        <v>580190</v>
      </c>
      <c r="G38" s="43"/>
      <c r="H38" s="119">
        <f t="shared" si="6"/>
        <v>664892.69999999995</v>
      </c>
      <c r="I38" s="377"/>
      <c r="J38" s="124">
        <f t="shared" si="7"/>
        <v>0.12739303650047595</v>
      </c>
      <c r="K38" s="42">
        <f t="shared" si="8"/>
        <v>0.87260696349952416</v>
      </c>
      <c r="L38" s="372">
        <f>K38</f>
        <v>0.87260696349952416</v>
      </c>
      <c r="M38" s="42"/>
      <c r="N38" s="43"/>
      <c r="O38" s="44"/>
      <c r="P38" s="80"/>
      <c r="Q38" s="43"/>
      <c r="R38" s="43"/>
      <c r="S38" s="43"/>
      <c r="T38" s="43"/>
      <c r="U38" s="43"/>
      <c r="V38" s="43"/>
      <c r="W38" s="43"/>
      <c r="X38" s="43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0"/>
      <c r="AR38" s="110"/>
      <c r="AS38" s="110"/>
      <c r="AT38" s="110"/>
      <c r="AU38" s="110"/>
      <c r="AV38" s="110"/>
      <c r="AW38" s="110"/>
      <c r="AX38" s="110"/>
      <c r="AY38" s="110"/>
      <c r="AZ38" s="110"/>
      <c r="BA38" s="110"/>
      <c r="BB38" s="110"/>
      <c r="BC38" s="110"/>
      <c r="BD38" s="110"/>
      <c r="BE38" s="110"/>
      <c r="BF38" s="110"/>
      <c r="BG38" s="110"/>
      <c r="BH38" s="110"/>
      <c r="BI38" s="110"/>
      <c r="BJ38" s="110"/>
      <c r="BK38" s="110"/>
      <c r="BL38" s="110"/>
      <c r="BM38" s="110"/>
      <c r="BN38" s="110"/>
      <c r="BO38" s="110"/>
      <c r="BP38" s="110"/>
      <c r="BQ38" s="110"/>
      <c r="BR38" s="110"/>
      <c r="BS38" s="110"/>
      <c r="BT38" s="110"/>
      <c r="BU38" s="110"/>
      <c r="BV38" s="110"/>
      <c r="BW38" s="110"/>
      <c r="BX38" s="110"/>
      <c r="BY38" s="110"/>
      <c r="BZ38" s="110"/>
      <c r="CA38" s="110"/>
      <c r="CB38" s="110"/>
      <c r="CC38" s="110"/>
      <c r="CD38" s="110"/>
      <c r="CE38" s="110"/>
      <c r="CF38" s="110"/>
    </row>
    <row r="39" spans="1:84" s="45" customFormat="1" x14ac:dyDescent="0.25">
      <c r="A39" t="str">
        <f>Funktional!A38</f>
        <v>Eggethof</v>
      </c>
      <c r="B39" t="str">
        <f>Funktional!B38</f>
        <v>PSG</v>
      </c>
      <c r="C39" s="365">
        <v>14390.25</v>
      </c>
      <c r="D39" s="365">
        <v>302009.75</v>
      </c>
      <c r="E39" s="365">
        <v>17039.3</v>
      </c>
      <c r="F39" s="119">
        <f t="shared" si="5"/>
        <v>319049.05</v>
      </c>
      <c r="G39" s="43"/>
      <c r="H39" s="119">
        <f t="shared" si="6"/>
        <v>333439.3</v>
      </c>
      <c r="I39" s="377">
        <f>IF((C39&lt;Funktional!M38),0,C39-Funktional!M38)</f>
        <v>0</v>
      </c>
      <c r="J39" s="124">
        <f t="shared" si="7"/>
        <v>4.3157030380042184E-2</v>
      </c>
      <c r="K39" s="42">
        <f t="shared" si="8"/>
        <v>0.95684296961995785</v>
      </c>
      <c r="L39" s="372">
        <v>1</v>
      </c>
      <c r="M39" s="42"/>
      <c r="N39" s="43"/>
      <c r="O39" s="44"/>
      <c r="P39" s="80"/>
      <c r="Q39" s="43"/>
      <c r="R39" s="43"/>
      <c r="S39" s="43"/>
      <c r="T39" s="43"/>
      <c r="U39" s="43"/>
      <c r="V39" s="43"/>
      <c r="W39" s="43"/>
      <c r="X39" s="43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  <c r="BS39" s="110"/>
      <c r="BT39" s="110"/>
      <c r="BU39" s="110"/>
      <c r="BV39" s="110"/>
      <c r="BW39" s="110"/>
      <c r="BX39" s="110"/>
      <c r="BY39" s="110"/>
      <c r="BZ39" s="110"/>
      <c r="CA39" s="110"/>
      <c r="CB39" s="110"/>
      <c r="CC39" s="110"/>
      <c r="CD39" s="110"/>
      <c r="CE39" s="110"/>
      <c r="CF39" s="110"/>
    </row>
    <row r="40" spans="1:84" s="45" customFormat="1" x14ac:dyDescent="0.25">
      <c r="A40" t="str">
        <f>Funktional!A39</f>
        <v>Egnach</v>
      </c>
      <c r="B40" t="str">
        <f>Funktional!B39</f>
        <v>PSG</v>
      </c>
      <c r="C40" s="365">
        <v>162937</v>
      </c>
      <c r="D40" s="365">
        <v>834340.85</v>
      </c>
      <c r="E40" s="365">
        <v>80419.100000000006</v>
      </c>
      <c r="F40" s="119">
        <f t="shared" si="5"/>
        <v>914759.95</v>
      </c>
      <c r="G40" s="43"/>
      <c r="H40" s="119">
        <f t="shared" si="6"/>
        <v>1077696.95</v>
      </c>
      <c r="I40" s="377"/>
      <c r="J40" s="124">
        <f t="shared" si="7"/>
        <v>0.15118999826435439</v>
      </c>
      <c r="K40" s="42">
        <f t="shared" si="8"/>
        <v>0.84881000173564558</v>
      </c>
      <c r="L40" s="372">
        <f t="shared" ref="L40:L49" si="10">K40</f>
        <v>0.84881000173564558</v>
      </c>
      <c r="M40" s="42"/>
      <c r="N40" s="43"/>
      <c r="O40" s="44"/>
      <c r="P40" s="80"/>
      <c r="Q40" s="43"/>
      <c r="R40" s="43"/>
      <c r="S40" s="43"/>
      <c r="T40" s="43"/>
      <c r="U40" s="43"/>
      <c r="V40" s="43"/>
      <c r="W40" s="43"/>
      <c r="X40" s="43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  <c r="AO40" s="110"/>
      <c r="AP40" s="110"/>
      <c r="AQ40" s="110"/>
      <c r="AR40" s="110"/>
      <c r="AS40" s="110"/>
      <c r="AT40" s="110"/>
      <c r="AU40" s="110"/>
      <c r="AV40" s="110"/>
      <c r="AW40" s="110"/>
      <c r="AX40" s="110"/>
      <c r="AY40" s="110"/>
      <c r="AZ40" s="110"/>
      <c r="BA40" s="110"/>
      <c r="BB40" s="110"/>
      <c r="BC40" s="110"/>
      <c r="BD40" s="110"/>
      <c r="BE40" s="110"/>
      <c r="BF40" s="110"/>
      <c r="BG40" s="110"/>
      <c r="BH40" s="110"/>
      <c r="BI40" s="110"/>
      <c r="BJ40" s="110"/>
      <c r="BK40" s="110"/>
      <c r="BL40" s="110"/>
      <c r="BM40" s="110"/>
      <c r="BN40" s="110"/>
      <c r="BO40" s="110"/>
      <c r="BP40" s="110"/>
      <c r="BQ40" s="110"/>
      <c r="BR40" s="110"/>
      <c r="BS40" s="110"/>
      <c r="BT40" s="110"/>
      <c r="BU40" s="110"/>
      <c r="BV40" s="110"/>
      <c r="BW40" s="110"/>
      <c r="BX40" s="110"/>
      <c r="BY40" s="110"/>
      <c r="BZ40" s="110"/>
      <c r="CA40" s="110"/>
      <c r="CB40" s="110"/>
      <c r="CC40" s="110"/>
      <c r="CD40" s="110"/>
      <c r="CE40" s="110"/>
      <c r="CF40" s="110"/>
    </row>
    <row r="41" spans="1:84" s="45" customFormat="1" x14ac:dyDescent="0.25">
      <c r="A41" t="str">
        <f>Funktional!A40</f>
        <v>Engelswilen-Dotnacht</v>
      </c>
      <c r="B41" t="str">
        <f>Funktional!B40</f>
        <v>PSG</v>
      </c>
      <c r="C41" s="365">
        <v>0</v>
      </c>
      <c r="D41" s="365">
        <v>318477.7</v>
      </c>
      <c r="E41" s="365">
        <v>22006.7</v>
      </c>
      <c r="F41" s="119">
        <f t="shared" si="5"/>
        <v>340484.4</v>
      </c>
      <c r="G41" s="43"/>
      <c r="H41" s="119">
        <f t="shared" si="6"/>
        <v>340484.4</v>
      </c>
      <c r="I41" s="377">
        <f>IF((C41&lt;Funktional!M40),0,C41-Funktional!M40)</f>
        <v>0</v>
      </c>
      <c r="J41" s="124">
        <f t="shared" si="7"/>
        <v>0</v>
      </c>
      <c r="K41" s="42">
        <f t="shared" si="8"/>
        <v>1</v>
      </c>
      <c r="L41" s="372">
        <f t="shared" si="10"/>
        <v>1</v>
      </c>
      <c r="M41" s="42"/>
      <c r="N41" s="43"/>
      <c r="O41" s="44"/>
      <c r="P41" s="80"/>
      <c r="Q41" s="43"/>
      <c r="R41" s="43"/>
      <c r="S41" s="43"/>
      <c r="T41" s="43"/>
      <c r="U41" s="43"/>
      <c r="V41" s="43"/>
      <c r="W41" s="43"/>
      <c r="X41" s="43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  <c r="AO41" s="110"/>
      <c r="AP41" s="110"/>
      <c r="AQ41" s="110"/>
      <c r="AR41" s="110"/>
      <c r="AS41" s="110"/>
      <c r="AT41" s="110"/>
      <c r="AU41" s="110"/>
      <c r="AV41" s="110"/>
      <c r="AW41" s="110"/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  <c r="BH41" s="110"/>
      <c r="BI41" s="110"/>
      <c r="BJ41" s="110"/>
      <c r="BK41" s="110"/>
      <c r="BL41" s="110"/>
      <c r="BM41" s="110"/>
      <c r="BN41" s="110"/>
      <c r="BO41" s="110"/>
      <c r="BP41" s="110"/>
      <c r="BQ41" s="110"/>
      <c r="BR41" s="110"/>
      <c r="BS41" s="110"/>
      <c r="BT41" s="110"/>
      <c r="BU41" s="110"/>
      <c r="BV41" s="110"/>
      <c r="BW41" s="110"/>
      <c r="BX41" s="110"/>
      <c r="BY41" s="110"/>
      <c r="BZ41" s="110"/>
      <c r="CA41" s="110"/>
      <c r="CB41" s="110"/>
      <c r="CC41" s="110"/>
      <c r="CD41" s="110"/>
      <c r="CE41" s="110"/>
      <c r="CF41" s="110"/>
    </row>
    <row r="42" spans="1:84" s="45" customFormat="1" x14ac:dyDescent="0.25">
      <c r="A42" t="str">
        <f>Funktional!A41</f>
        <v>Engwang-Wagerswil</v>
      </c>
      <c r="B42" t="str">
        <f>Funktional!B41</f>
        <v>PSG</v>
      </c>
      <c r="C42" s="365">
        <v>0</v>
      </c>
      <c r="D42" s="365">
        <v>303233.8</v>
      </c>
      <c r="E42" s="365">
        <v>39681.599999999999</v>
      </c>
      <c r="F42" s="119">
        <f t="shared" ref="F42:F57" si="11">D42+E42</f>
        <v>342915.39999999997</v>
      </c>
      <c r="G42" s="43"/>
      <c r="H42" s="119">
        <f t="shared" ref="H42:H57" si="12">C42+F42+I42</f>
        <v>342915.39999999997</v>
      </c>
      <c r="I42" s="377">
        <f>IF((C42&lt;Funktional!M41),0,C42-Funktional!M41)</f>
        <v>0</v>
      </c>
      <c r="J42" s="124">
        <f t="shared" ref="J42:J57" si="13">C42/H42</f>
        <v>0</v>
      </c>
      <c r="K42" s="42">
        <f>F42/H42</f>
        <v>1</v>
      </c>
      <c r="L42" s="372">
        <f t="shared" si="10"/>
        <v>1</v>
      </c>
      <c r="M42" s="42"/>
      <c r="N42" s="43"/>
      <c r="O42" s="44"/>
      <c r="P42" s="80"/>
      <c r="Q42" s="43"/>
      <c r="R42" s="43"/>
      <c r="S42" s="43"/>
      <c r="T42" s="43"/>
      <c r="U42" s="43"/>
      <c r="V42" s="43"/>
      <c r="W42" s="43"/>
      <c r="X42" s="43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  <c r="AO42" s="110"/>
      <c r="AP42" s="110"/>
      <c r="AQ42" s="110"/>
      <c r="AR42" s="110"/>
      <c r="AS42" s="110"/>
      <c r="AT42" s="110"/>
      <c r="AU42" s="110"/>
      <c r="AV42" s="110"/>
      <c r="AW42" s="110"/>
      <c r="AX42" s="110"/>
      <c r="AY42" s="110"/>
      <c r="AZ42" s="110"/>
      <c r="BA42" s="110"/>
      <c r="BB42" s="110"/>
      <c r="BC42" s="110"/>
      <c r="BD42" s="110"/>
      <c r="BE42" s="110"/>
      <c r="BF42" s="110"/>
      <c r="BG42" s="110"/>
      <c r="BH42" s="110"/>
      <c r="BI42" s="110"/>
      <c r="BJ42" s="110"/>
      <c r="BK42" s="110"/>
      <c r="BL42" s="110"/>
      <c r="BM42" s="110"/>
      <c r="BN42" s="110"/>
      <c r="BO42" s="110"/>
      <c r="BP42" s="110"/>
      <c r="BQ42" s="110"/>
      <c r="BR42" s="110"/>
      <c r="BS42" s="110"/>
      <c r="BT42" s="110"/>
      <c r="BU42" s="110"/>
      <c r="BV42" s="110"/>
      <c r="BW42" s="110"/>
      <c r="BX42" s="110"/>
      <c r="BY42" s="110"/>
      <c r="BZ42" s="110"/>
      <c r="CA42" s="110"/>
      <c r="CB42" s="110"/>
      <c r="CC42" s="110"/>
      <c r="CD42" s="110"/>
      <c r="CE42" s="110"/>
      <c r="CF42" s="110"/>
    </row>
    <row r="43" spans="1:84" s="45" customFormat="1" x14ac:dyDescent="0.25">
      <c r="A43" t="str">
        <f>Funktional!A42</f>
        <v>Ermatingen</v>
      </c>
      <c r="B43" t="str">
        <f>Funktional!B42</f>
        <v>PSG</v>
      </c>
      <c r="C43" s="365">
        <v>262137.7</v>
      </c>
      <c r="D43" s="365">
        <v>1291988.05</v>
      </c>
      <c r="E43" s="365">
        <v>100960.4</v>
      </c>
      <c r="F43" s="119">
        <f t="shared" si="11"/>
        <v>1392948.45</v>
      </c>
      <c r="G43" s="43"/>
      <c r="H43" s="119">
        <f t="shared" si="12"/>
        <v>1655086.15</v>
      </c>
      <c r="I43" s="377"/>
      <c r="J43" s="124">
        <f t="shared" si="13"/>
        <v>0.15838311498165822</v>
      </c>
      <c r="K43" s="42">
        <f t="shared" ref="K43:K57" si="14">F43/H43</f>
        <v>0.84161688501834186</v>
      </c>
      <c r="L43" s="372">
        <f t="shared" si="10"/>
        <v>0.84161688501834186</v>
      </c>
      <c r="M43" s="42"/>
      <c r="N43" s="43"/>
      <c r="O43" s="44"/>
      <c r="P43" s="80"/>
      <c r="Q43" s="43"/>
      <c r="R43" s="43"/>
      <c r="S43" s="43"/>
      <c r="T43" s="43"/>
      <c r="U43" s="43"/>
      <c r="V43" s="43"/>
      <c r="W43" s="43"/>
      <c r="X43" s="43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  <c r="AO43" s="110"/>
      <c r="AP43" s="110"/>
      <c r="AQ43" s="110"/>
      <c r="AR43" s="110"/>
      <c r="AS43" s="110"/>
      <c r="AT43" s="110"/>
      <c r="AU43" s="110"/>
      <c r="AV43" s="110"/>
      <c r="AW43" s="110"/>
      <c r="AX43" s="110"/>
      <c r="AY43" s="110"/>
      <c r="AZ43" s="110"/>
      <c r="BA43" s="110"/>
      <c r="BB43" s="110"/>
      <c r="BC43" s="110"/>
      <c r="BD43" s="110"/>
      <c r="BE43" s="110"/>
      <c r="BF43" s="110"/>
      <c r="BG43" s="110"/>
      <c r="BH43" s="110"/>
      <c r="BI43" s="110"/>
      <c r="BJ43" s="110"/>
      <c r="BK43" s="110"/>
      <c r="BL43" s="110"/>
      <c r="BM43" s="110"/>
      <c r="BN43" s="110"/>
      <c r="BO43" s="110"/>
      <c r="BP43" s="110"/>
      <c r="BQ43" s="110"/>
      <c r="BR43" s="110"/>
      <c r="BS43" s="110"/>
      <c r="BT43" s="110"/>
      <c r="BU43" s="110"/>
      <c r="BV43" s="110"/>
      <c r="BW43" s="110"/>
      <c r="BX43" s="110"/>
      <c r="BY43" s="110"/>
      <c r="BZ43" s="110"/>
      <c r="CA43" s="110"/>
      <c r="CB43" s="110"/>
      <c r="CC43" s="110"/>
      <c r="CD43" s="110"/>
      <c r="CE43" s="110"/>
      <c r="CF43" s="110"/>
    </row>
    <row r="44" spans="1:84" s="45" customFormat="1" x14ac:dyDescent="0.25">
      <c r="A44" t="str">
        <f>Funktional!A43</f>
        <v>Eschenz</v>
      </c>
      <c r="B44" t="str">
        <f>Funktional!B43</f>
        <v>PSG</v>
      </c>
      <c r="C44" s="365">
        <v>181292.7</v>
      </c>
      <c r="D44" s="365">
        <v>906492.4</v>
      </c>
      <c r="E44" s="365">
        <v>59874.15</v>
      </c>
      <c r="F44" s="119">
        <f t="shared" si="11"/>
        <v>966366.55</v>
      </c>
      <c r="G44" s="43"/>
      <c r="H44" s="119">
        <f t="shared" si="12"/>
        <v>1147659.25</v>
      </c>
      <c r="I44" s="377"/>
      <c r="J44" s="124">
        <f t="shared" si="13"/>
        <v>0.15796735834264397</v>
      </c>
      <c r="K44" s="42">
        <f t="shared" si="14"/>
        <v>0.84203264165735614</v>
      </c>
      <c r="L44" s="372">
        <f t="shared" si="10"/>
        <v>0.84203264165735614</v>
      </c>
      <c r="M44" s="42"/>
      <c r="N44" s="43"/>
      <c r="O44" s="44"/>
      <c r="P44" s="80"/>
      <c r="Q44" s="43"/>
      <c r="R44" s="43"/>
      <c r="S44" s="43"/>
      <c r="T44" s="43"/>
      <c r="U44" s="43"/>
      <c r="V44" s="43"/>
      <c r="W44" s="43"/>
      <c r="X44" s="43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  <c r="AO44" s="110"/>
      <c r="AP44" s="110"/>
      <c r="AQ44" s="110"/>
      <c r="AR44" s="110"/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0"/>
      <c r="BD44" s="110"/>
      <c r="BE44" s="110"/>
      <c r="BF44" s="110"/>
      <c r="BG44" s="110"/>
      <c r="BH44" s="110"/>
      <c r="BI44" s="110"/>
      <c r="BJ44" s="110"/>
      <c r="BK44" s="110"/>
      <c r="BL44" s="110"/>
      <c r="BM44" s="110"/>
      <c r="BN44" s="110"/>
      <c r="BO44" s="110"/>
      <c r="BP44" s="110"/>
      <c r="BQ44" s="110"/>
      <c r="BR44" s="110"/>
      <c r="BS44" s="110"/>
      <c r="BT44" s="110"/>
      <c r="BU44" s="110"/>
      <c r="BV44" s="110"/>
      <c r="BW44" s="110"/>
      <c r="BX44" s="110"/>
      <c r="BY44" s="110"/>
      <c r="BZ44" s="110"/>
      <c r="CA44" s="110"/>
      <c r="CB44" s="110"/>
      <c r="CC44" s="110"/>
      <c r="CD44" s="110"/>
      <c r="CE44" s="110"/>
      <c r="CF44" s="110"/>
    </row>
    <row r="45" spans="1:84" s="45" customFormat="1" x14ac:dyDescent="0.25">
      <c r="A45" t="str">
        <f>Funktional!A44</f>
        <v>Ettenhausen</v>
      </c>
      <c r="B45" t="str">
        <f>Funktional!B44</f>
        <v>PSG</v>
      </c>
      <c r="C45" s="365">
        <v>117129.85</v>
      </c>
      <c r="D45" s="365">
        <v>524681</v>
      </c>
      <c r="E45" s="365">
        <v>53616.3</v>
      </c>
      <c r="F45" s="119">
        <f t="shared" si="11"/>
        <v>578297.30000000005</v>
      </c>
      <c r="G45" s="43"/>
      <c r="H45" s="119">
        <f t="shared" si="12"/>
        <v>695427.15</v>
      </c>
      <c r="I45" s="377"/>
      <c r="J45" s="124">
        <f t="shared" si="13"/>
        <v>0.16842864130340612</v>
      </c>
      <c r="K45" s="42">
        <f t="shared" si="14"/>
        <v>0.83157135869659393</v>
      </c>
      <c r="L45" s="372">
        <f t="shared" si="10"/>
        <v>0.83157135869659393</v>
      </c>
      <c r="M45" s="42"/>
      <c r="N45" s="43"/>
      <c r="O45" s="44"/>
      <c r="P45" s="80"/>
      <c r="Q45" s="43"/>
      <c r="R45" s="43"/>
      <c r="S45" s="43"/>
      <c r="T45" s="43"/>
      <c r="U45" s="43"/>
      <c r="V45" s="43"/>
      <c r="W45" s="43"/>
      <c r="X45" s="43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  <c r="AO45" s="110"/>
      <c r="AP45" s="110"/>
      <c r="AQ45" s="110"/>
      <c r="AR45" s="110"/>
      <c r="AS45" s="110"/>
      <c r="AT45" s="110"/>
      <c r="AU45" s="110"/>
      <c r="AV45" s="110"/>
      <c r="AW45" s="110"/>
      <c r="AX45" s="110"/>
      <c r="AY45" s="110"/>
      <c r="AZ45" s="110"/>
      <c r="BA45" s="110"/>
      <c r="BB45" s="110"/>
      <c r="BC45" s="110"/>
      <c r="BD45" s="110"/>
      <c r="BE45" s="110"/>
      <c r="BF45" s="110"/>
      <c r="BG45" s="110"/>
      <c r="BH45" s="110"/>
      <c r="BI45" s="110"/>
      <c r="BJ45" s="110"/>
      <c r="BK45" s="110"/>
      <c r="BL45" s="110"/>
      <c r="BM45" s="110"/>
      <c r="BN45" s="110"/>
      <c r="BO45" s="110"/>
      <c r="BP45" s="110"/>
      <c r="BQ45" s="110"/>
      <c r="BR45" s="110"/>
      <c r="BS45" s="110"/>
      <c r="BT45" s="110"/>
      <c r="BU45" s="110"/>
      <c r="BV45" s="110"/>
      <c r="BW45" s="110"/>
      <c r="BX45" s="110"/>
      <c r="BY45" s="110"/>
      <c r="BZ45" s="110"/>
      <c r="CA45" s="110"/>
      <c r="CB45" s="110"/>
      <c r="CC45" s="110"/>
      <c r="CD45" s="110"/>
      <c r="CE45" s="110"/>
      <c r="CF45" s="110"/>
    </row>
    <row r="46" spans="1:84" s="45" customFormat="1" x14ac:dyDescent="0.25">
      <c r="A46" t="str">
        <f>Funktional!A45</f>
        <v>Felben-Wellhausen</v>
      </c>
      <c r="B46" t="str">
        <f>Funktional!B45</f>
        <v>PSG</v>
      </c>
      <c r="C46" s="365">
        <v>232820.4</v>
      </c>
      <c r="D46" s="365">
        <v>1218277.1000000001</v>
      </c>
      <c r="E46" s="365">
        <v>86962</v>
      </c>
      <c r="F46" s="119">
        <f t="shared" si="11"/>
        <v>1305239.1000000001</v>
      </c>
      <c r="G46" s="43"/>
      <c r="H46" s="119">
        <f t="shared" si="12"/>
        <v>1538059.5</v>
      </c>
      <c r="I46" s="377"/>
      <c r="J46" s="124">
        <f t="shared" si="13"/>
        <v>0.15137281750153359</v>
      </c>
      <c r="K46" s="42">
        <f t="shared" si="14"/>
        <v>0.84862718249846647</v>
      </c>
      <c r="L46" s="372">
        <f t="shared" si="10"/>
        <v>0.84862718249846647</v>
      </c>
      <c r="M46" s="42"/>
      <c r="N46" s="43"/>
      <c r="O46" s="44"/>
      <c r="P46" s="80"/>
      <c r="Q46" s="43"/>
      <c r="R46" s="43"/>
      <c r="S46" s="43"/>
      <c r="T46" s="43"/>
      <c r="U46" s="43"/>
      <c r="V46" s="43"/>
      <c r="W46" s="43"/>
      <c r="X46" s="43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  <c r="AU46" s="110"/>
      <c r="AV46" s="110"/>
      <c r="AW46" s="110"/>
      <c r="AX46" s="110"/>
      <c r="AY46" s="110"/>
      <c r="AZ46" s="110"/>
      <c r="BA46" s="110"/>
      <c r="BB46" s="110"/>
      <c r="BC46" s="110"/>
      <c r="BD46" s="110"/>
      <c r="BE46" s="110"/>
      <c r="BF46" s="110"/>
      <c r="BG46" s="110"/>
      <c r="BH46" s="110"/>
      <c r="BI46" s="110"/>
      <c r="BJ46" s="110"/>
      <c r="BK46" s="110"/>
      <c r="BL46" s="110"/>
      <c r="BM46" s="110"/>
      <c r="BN46" s="110"/>
      <c r="BO46" s="110"/>
      <c r="BP46" s="110"/>
      <c r="BQ46" s="110"/>
      <c r="BR46" s="110"/>
      <c r="BS46" s="110"/>
      <c r="BT46" s="110"/>
      <c r="BU46" s="110"/>
      <c r="BV46" s="110"/>
      <c r="BW46" s="110"/>
      <c r="BX46" s="110"/>
      <c r="BY46" s="110"/>
      <c r="BZ46" s="110"/>
      <c r="CA46" s="110"/>
      <c r="CB46" s="110"/>
      <c r="CC46" s="110"/>
      <c r="CD46" s="110"/>
      <c r="CE46" s="110"/>
      <c r="CF46" s="110"/>
    </row>
    <row r="47" spans="1:84" s="45" customFormat="1" x14ac:dyDescent="0.25">
      <c r="A47" t="str">
        <f>Funktional!A46</f>
        <v>Fimmelsberg-Holzhäusern</v>
      </c>
      <c r="B47" t="str">
        <f>Funktional!B46</f>
        <v>PSG</v>
      </c>
      <c r="C47" s="365">
        <v>108619.7</v>
      </c>
      <c r="D47" s="365">
        <v>392868.25</v>
      </c>
      <c r="E47" s="365">
        <v>30784</v>
      </c>
      <c r="F47" s="119">
        <f t="shared" si="11"/>
        <v>423652.25</v>
      </c>
      <c r="G47" s="43"/>
      <c r="H47" s="119">
        <f t="shared" si="12"/>
        <v>532271.94999999995</v>
      </c>
      <c r="I47" s="377"/>
      <c r="J47" s="124">
        <f t="shared" si="13"/>
        <v>0.20406805205496928</v>
      </c>
      <c r="K47" s="42">
        <f t="shared" si="14"/>
        <v>0.79593194794503075</v>
      </c>
      <c r="L47" s="372">
        <f t="shared" si="10"/>
        <v>0.79593194794503075</v>
      </c>
      <c r="M47" s="42"/>
      <c r="N47" s="43"/>
      <c r="O47" s="44"/>
      <c r="P47" s="80"/>
      <c r="Q47" s="43"/>
      <c r="R47" s="43"/>
      <c r="S47" s="43"/>
      <c r="T47" s="43"/>
      <c r="U47" s="43"/>
      <c r="V47" s="43"/>
      <c r="W47" s="43"/>
      <c r="X47" s="43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  <c r="AO47" s="110"/>
      <c r="AP47" s="110"/>
      <c r="AQ47" s="110"/>
      <c r="AR47" s="110"/>
      <c r="AS47" s="110"/>
      <c r="AT47" s="110"/>
      <c r="AU47" s="110"/>
      <c r="AV47" s="110"/>
      <c r="AW47" s="110"/>
      <c r="AX47" s="110"/>
      <c r="AY47" s="110"/>
      <c r="AZ47" s="110"/>
      <c r="BA47" s="110"/>
      <c r="BB47" s="110"/>
      <c r="BC47" s="110"/>
      <c r="BD47" s="110"/>
      <c r="BE47" s="110"/>
      <c r="BF47" s="110"/>
      <c r="BG47" s="110"/>
      <c r="BH47" s="110"/>
      <c r="BI47" s="110"/>
      <c r="BJ47" s="110"/>
      <c r="BK47" s="110"/>
      <c r="BL47" s="110"/>
      <c r="BM47" s="110"/>
      <c r="BN47" s="110"/>
      <c r="BO47" s="110"/>
      <c r="BP47" s="110"/>
      <c r="BQ47" s="110"/>
      <c r="BR47" s="110"/>
      <c r="BS47" s="110"/>
      <c r="BT47" s="110"/>
      <c r="BU47" s="110"/>
      <c r="BV47" s="110"/>
      <c r="BW47" s="110"/>
      <c r="BX47" s="110"/>
      <c r="BY47" s="110"/>
      <c r="BZ47" s="110"/>
      <c r="CA47" s="110"/>
      <c r="CB47" s="110"/>
      <c r="CC47" s="110"/>
      <c r="CD47" s="110"/>
      <c r="CE47" s="110"/>
      <c r="CF47" s="110"/>
    </row>
    <row r="48" spans="1:84" s="45" customFormat="1" x14ac:dyDescent="0.25">
      <c r="A48" t="str">
        <f>Funktional!A47</f>
        <v>Fischingen</v>
      </c>
      <c r="B48" t="str">
        <f>Funktional!B47</f>
        <v>PSG</v>
      </c>
      <c r="C48" s="365">
        <v>107266.6</v>
      </c>
      <c r="D48" s="365">
        <v>301240.65000000002</v>
      </c>
      <c r="E48" s="365">
        <v>29153.4</v>
      </c>
      <c r="F48" s="119">
        <f t="shared" si="11"/>
        <v>330394.05000000005</v>
      </c>
      <c r="G48" s="43"/>
      <c r="H48" s="119">
        <f t="shared" si="12"/>
        <v>437660.65</v>
      </c>
      <c r="I48" s="377"/>
      <c r="J48" s="124">
        <f t="shared" si="13"/>
        <v>0.24509080265726424</v>
      </c>
      <c r="K48" s="42">
        <f t="shared" si="14"/>
        <v>0.75490919734273576</v>
      </c>
      <c r="L48" s="372">
        <f t="shared" si="10"/>
        <v>0.75490919734273576</v>
      </c>
      <c r="M48" s="42"/>
      <c r="N48" s="43"/>
      <c r="O48" s="44"/>
      <c r="P48" s="80"/>
      <c r="Q48" s="43"/>
      <c r="R48" s="43"/>
      <c r="S48" s="43"/>
      <c r="T48" s="43"/>
      <c r="U48" s="43"/>
      <c r="V48" s="43"/>
      <c r="W48" s="43"/>
      <c r="X48" s="43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  <c r="AO48" s="110"/>
      <c r="AP48" s="110"/>
      <c r="AQ48" s="110"/>
      <c r="AR48" s="110"/>
      <c r="AS48" s="110"/>
      <c r="AT48" s="110"/>
      <c r="AU48" s="110"/>
      <c r="AV48" s="110"/>
      <c r="AW48" s="110"/>
      <c r="AX48" s="110"/>
      <c r="AY48" s="110"/>
      <c r="AZ48" s="110"/>
      <c r="BA48" s="110"/>
      <c r="BB48" s="110"/>
      <c r="BC48" s="110"/>
      <c r="BD48" s="110"/>
      <c r="BE48" s="110"/>
      <c r="BF48" s="110"/>
      <c r="BG48" s="110"/>
      <c r="BH48" s="110"/>
      <c r="BI48" s="110"/>
      <c r="BJ48" s="110"/>
      <c r="BK48" s="110"/>
      <c r="BL48" s="110"/>
      <c r="BM48" s="110"/>
      <c r="BN48" s="110"/>
      <c r="BO48" s="110"/>
      <c r="BP48" s="110"/>
      <c r="BQ48" s="110"/>
      <c r="BR48" s="110"/>
      <c r="BS48" s="110"/>
      <c r="BT48" s="110"/>
      <c r="BU48" s="110"/>
      <c r="BV48" s="110"/>
      <c r="BW48" s="110"/>
      <c r="BX48" s="110"/>
      <c r="BY48" s="110"/>
      <c r="BZ48" s="110"/>
      <c r="CA48" s="110"/>
      <c r="CB48" s="110"/>
      <c r="CC48" s="110"/>
      <c r="CD48" s="110"/>
      <c r="CE48" s="110"/>
      <c r="CF48" s="110"/>
    </row>
    <row r="49" spans="1:84" s="45" customFormat="1" x14ac:dyDescent="0.25">
      <c r="A49" t="str">
        <f>Funktional!A48</f>
        <v>Frauenfeld</v>
      </c>
      <c r="B49" t="str">
        <f>Funktional!B48</f>
        <v>PSG</v>
      </c>
      <c r="C49" s="365">
        <v>2167359.5499999998</v>
      </c>
      <c r="D49" s="365">
        <v>10066849.9</v>
      </c>
      <c r="E49" s="365">
        <v>865152.8</v>
      </c>
      <c r="F49" s="119">
        <f t="shared" si="11"/>
        <v>10932002.700000001</v>
      </c>
      <c r="G49" s="43"/>
      <c r="H49" s="119">
        <f t="shared" si="12"/>
        <v>13099362.25</v>
      </c>
      <c r="I49" s="377"/>
      <c r="J49" s="124">
        <f t="shared" si="13"/>
        <v>0.16545534878997639</v>
      </c>
      <c r="K49" s="42">
        <f t="shared" si="14"/>
        <v>0.83454465121002364</v>
      </c>
      <c r="L49" s="372">
        <f t="shared" si="10"/>
        <v>0.83454465121002364</v>
      </c>
      <c r="M49" s="42"/>
      <c r="N49" s="43"/>
      <c r="O49" s="44"/>
      <c r="P49" s="80"/>
      <c r="Q49" s="43"/>
      <c r="R49" s="43"/>
      <c r="S49" s="43"/>
      <c r="T49" s="43"/>
      <c r="U49" s="43"/>
      <c r="V49" s="43"/>
      <c r="W49" s="43"/>
      <c r="X49" s="43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  <c r="AO49" s="110"/>
      <c r="AP49" s="110"/>
      <c r="AQ49" s="110"/>
      <c r="AR49" s="110"/>
      <c r="AS49" s="110"/>
      <c r="AT49" s="110"/>
      <c r="AU49" s="110"/>
      <c r="AV49" s="110"/>
      <c r="AW49" s="110"/>
      <c r="AX49" s="110"/>
      <c r="AY49" s="110"/>
      <c r="AZ49" s="110"/>
      <c r="BA49" s="110"/>
      <c r="BB49" s="110"/>
      <c r="BC49" s="110"/>
      <c r="BD49" s="110"/>
      <c r="BE49" s="110"/>
      <c r="BF49" s="110"/>
      <c r="BG49" s="110"/>
      <c r="BH49" s="110"/>
      <c r="BI49" s="110"/>
      <c r="BJ49" s="110"/>
      <c r="BK49" s="110"/>
      <c r="BL49" s="110"/>
      <c r="BM49" s="110"/>
      <c r="BN49" s="110"/>
      <c r="BO49" s="110"/>
      <c r="BP49" s="110"/>
      <c r="BQ49" s="110"/>
      <c r="BR49" s="110"/>
      <c r="BS49" s="110"/>
      <c r="BT49" s="110"/>
      <c r="BU49" s="110"/>
      <c r="BV49" s="110"/>
      <c r="BW49" s="110"/>
      <c r="BX49" s="110"/>
      <c r="BY49" s="110"/>
      <c r="BZ49" s="110"/>
      <c r="CA49" s="110"/>
      <c r="CB49" s="110"/>
      <c r="CC49" s="110"/>
      <c r="CD49" s="110"/>
      <c r="CE49" s="110"/>
      <c r="CF49" s="110"/>
    </row>
    <row r="50" spans="1:84" s="45" customFormat="1" x14ac:dyDescent="0.25">
      <c r="A50" t="str">
        <f>Funktional!A49</f>
        <v>Friltschen</v>
      </c>
      <c r="B50" t="str">
        <f>Funktional!B49</f>
        <v>PSG</v>
      </c>
      <c r="C50" s="365">
        <v>13542.6</v>
      </c>
      <c r="D50" s="365">
        <v>220594.2</v>
      </c>
      <c r="E50" s="365">
        <v>45067.1</v>
      </c>
      <c r="F50" s="119">
        <f t="shared" si="11"/>
        <v>265661.3</v>
      </c>
      <c r="G50" s="43"/>
      <c r="H50" s="119">
        <f t="shared" si="12"/>
        <v>279203.89999999997</v>
      </c>
      <c r="I50" s="377">
        <f>IF((C50&lt;Funktional!M49),0,C50-Funktional!M49)</f>
        <v>0</v>
      </c>
      <c r="J50" s="124">
        <f t="shared" si="13"/>
        <v>4.8504336794722429E-2</v>
      </c>
      <c r="K50" s="42">
        <f t="shared" si="14"/>
        <v>0.95149566320527768</v>
      </c>
      <c r="L50" s="372">
        <v>1</v>
      </c>
      <c r="M50" s="42"/>
      <c r="N50" s="43"/>
      <c r="O50" s="44"/>
      <c r="P50" s="80"/>
      <c r="Q50" s="43"/>
      <c r="R50" s="43"/>
      <c r="S50" s="43"/>
      <c r="T50" s="43"/>
      <c r="U50" s="43"/>
      <c r="V50" s="43"/>
      <c r="W50" s="43"/>
      <c r="X50" s="43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  <c r="AO50" s="110"/>
      <c r="AP50" s="110"/>
      <c r="AQ50" s="110"/>
      <c r="AR50" s="110"/>
      <c r="AS50" s="110"/>
      <c r="AT50" s="110"/>
      <c r="AU50" s="110"/>
      <c r="AV50" s="110"/>
      <c r="AW50" s="110"/>
      <c r="AX50" s="110"/>
      <c r="AY50" s="110"/>
      <c r="AZ50" s="110"/>
      <c r="BA50" s="110"/>
      <c r="BB50" s="110"/>
      <c r="BC50" s="110"/>
      <c r="BD50" s="110"/>
      <c r="BE50" s="110"/>
      <c r="BF50" s="110"/>
      <c r="BG50" s="110"/>
      <c r="BH50" s="110"/>
      <c r="BI50" s="110"/>
      <c r="BJ50" s="110"/>
      <c r="BK50" s="110"/>
      <c r="BL50" s="110"/>
      <c r="BM50" s="110"/>
      <c r="BN50" s="110"/>
      <c r="BO50" s="110"/>
      <c r="BP50" s="110"/>
      <c r="BQ50" s="110"/>
      <c r="BR50" s="110"/>
      <c r="BS50" s="110"/>
      <c r="BT50" s="110"/>
      <c r="BU50" s="110"/>
      <c r="BV50" s="110"/>
      <c r="BW50" s="110"/>
      <c r="BX50" s="110"/>
      <c r="BY50" s="110"/>
      <c r="BZ50" s="110"/>
      <c r="CA50" s="110"/>
      <c r="CB50" s="110"/>
      <c r="CC50" s="110"/>
      <c r="CD50" s="110"/>
      <c r="CE50" s="110"/>
      <c r="CF50" s="110"/>
    </row>
    <row r="51" spans="1:84" s="45" customFormat="1" x14ac:dyDescent="0.25">
      <c r="A51" t="str">
        <f>Funktional!A50</f>
        <v>Gachnang</v>
      </c>
      <c r="B51" t="str">
        <f>Funktional!B50</f>
        <v>PSG</v>
      </c>
      <c r="C51" s="365">
        <v>353275.55</v>
      </c>
      <c r="D51" s="365">
        <v>1581742.9</v>
      </c>
      <c r="E51" s="365">
        <v>166749.79999999999</v>
      </c>
      <c r="F51" s="119">
        <f t="shared" si="11"/>
        <v>1748492.7</v>
      </c>
      <c r="G51" s="43"/>
      <c r="H51" s="119">
        <f t="shared" si="12"/>
        <v>2101768.25</v>
      </c>
      <c r="I51" s="377"/>
      <c r="J51" s="124">
        <f t="shared" si="13"/>
        <v>0.16808492087555324</v>
      </c>
      <c r="K51" s="42">
        <f t="shared" si="14"/>
        <v>0.83191507912444673</v>
      </c>
      <c r="L51" s="372">
        <f>K51</f>
        <v>0.83191507912444673</v>
      </c>
      <c r="M51" s="42"/>
      <c r="N51" s="43"/>
      <c r="O51" s="44"/>
      <c r="P51" s="80"/>
      <c r="Q51" s="43"/>
      <c r="R51" s="43"/>
      <c r="S51" s="43"/>
      <c r="T51" s="43"/>
      <c r="U51" s="43"/>
      <c r="V51" s="43"/>
      <c r="W51" s="43"/>
      <c r="X51" s="43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  <c r="AO51" s="110"/>
      <c r="AP51" s="110"/>
      <c r="AQ51" s="110"/>
      <c r="AR51" s="110"/>
      <c r="AS51" s="110"/>
      <c r="AT51" s="110"/>
      <c r="AU51" s="110"/>
      <c r="AV51" s="110"/>
      <c r="AW51" s="110"/>
      <c r="AX51" s="110"/>
      <c r="AY51" s="110"/>
      <c r="AZ51" s="110"/>
      <c r="BA51" s="110"/>
      <c r="BB51" s="110"/>
      <c r="BC51" s="110"/>
      <c r="BD51" s="110"/>
      <c r="BE51" s="110"/>
      <c r="BF51" s="110"/>
      <c r="BG51" s="110"/>
      <c r="BH51" s="110"/>
      <c r="BI51" s="110"/>
      <c r="BJ51" s="110"/>
      <c r="BK51" s="110"/>
      <c r="BL51" s="110"/>
      <c r="BM51" s="110"/>
      <c r="BN51" s="110"/>
      <c r="BO51" s="110"/>
      <c r="BP51" s="110"/>
      <c r="BQ51" s="110"/>
      <c r="BR51" s="110"/>
      <c r="BS51" s="110"/>
      <c r="BT51" s="110"/>
      <c r="BU51" s="110"/>
      <c r="BV51" s="110"/>
      <c r="BW51" s="110"/>
      <c r="BX51" s="110"/>
      <c r="BY51" s="110"/>
      <c r="BZ51" s="110"/>
      <c r="CA51" s="110"/>
      <c r="CB51" s="110"/>
      <c r="CC51" s="110"/>
      <c r="CD51" s="110"/>
      <c r="CE51" s="110"/>
      <c r="CF51" s="110"/>
    </row>
    <row r="52" spans="1:84" s="45" customFormat="1" x14ac:dyDescent="0.25">
      <c r="A52" t="str">
        <f>Funktional!A51</f>
        <v>Götighofen</v>
      </c>
      <c r="B52" t="str">
        <f>Funktional!B51</f>
        <v>PSG</v>
      </c>
      <c r="C52" s="365">
        <v>108619.6</v>
      </c>
      <c r="D52" s="365">
        <v>375128.6</v>
      </c>
      <c r="E52" s="365">
        <v>52457</v>
      </c>
      <c r="F52" s="119">
        <f t="shared" si="11"/>
        <v>427585.6</v>
      </c>
      <c r="G52" s="43"/>
      <c r="H52" s="119">
        <f t="shared" si="12"/>
        <v>536205.19999999995</v>
      </c>
      <c r="I52" s="377"/>
      <c r="J52" s="124">
        <f t="shared" si="13"/>
        <v>0.20257095604443973</v>
      </c>
      <c r="K52" s="42">
        <f t="shared" si="14"/>
        <v>0.79742904395556036</v>
      </c>
      <c r="L52" s="372">
        <f>K52</f>
        <v>0.79742904395556036</v>
      </c>
      <c r="M52" s="42"/>
      <c r="N52" s="43"/>
      <c r="O52" s="44"/>
      <c r="P52" s="80"/>
      <c r="Q52" s="43"/>
      <c r="R52" s="43"/>
      <c r="S52" s="43"/>
      <c r="T52" s="43"/>
      <c r="U52" s="43"/>
      <c r="V52" s="43"/>
      <c r="W52" s="43"/>
      <c r="X52" s="43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  <c r="AO52" s="110"/>
      <c r="AP52" s="110"/>
      <c r="AQ52" s="110"/>
      <c r="AR52" s="110"/>
      <c r="AS52" s="110"/>
      <c r="AT52" s="110"/>
      <c r="AU52" s="110"/>
      <c r="AV52" s="110"/>
      <c r="AW52" s="110"/>
      <c r="AX52" s="110"/>
      <c r="AY52" s="110"/>
      <c r="AZ52" s="110"/>
      <c r="BA52" s="110"/>
      <c r="BB52" s="110"/>
      <c r="BC52" s="110"/>
      <c r="BD52" s="110"/>
      <c r="BE52" s="110"/>
      <c r="BF52" s="110"/>
      <c r="BG52" s="110"/>
      <c r="BH52" s="110"/>
      <c r="BI52" s="110"/>
      <c r="BJ52" s="110"/>
      <c r="BK52" s="110"/>
      <c r="BL52" s="110"/>
      <c r="BM52" s="110"/>
      <c r="BN52" s="110"/>
      <c r="BO52" s="110"/>
      <c r="BP52" s="110"/>
      <c r="BQ52" s="110"/>
      <c r="BR52" s="110"/>
      <c r="BS52" s="110"/>
      <c r="BT52" s="110"/>
      <c r="BU52" s="110"/>
      <c r="BV52" s="110"/>
      <c r="BW52" s="110"/>
      <c r="BX52" s="110"/>
      <c r="BY52" s="110"/>
      <c r="BZ52" s="110"/>
      <c r="CA52" s="110"/>
      <c r="CB52" s="110"/>
      <c r="CC52" s="110"/>
      <c r="CD52" s="110"/>
      <c r="CE52" s="110"/>
      <c r="CF52" s="110"/>
    </row>
    <row r="53" spans="1:84" s="45" customFormat="1" x14ac:dyDescent="0.25">
      <c r="A53" t="str">
        <f>Funktional!A52</f>
        <v>Gottlieben</v>
      </c>
      <c r="B53" t="str">
        <f>Funktional!B52</f>
        <v>PSG</v>
      </c>
      <c r="C53" s="365">
        <v>31570</v>
      </c>
      <c r="D53" s="365">
        <v>153905.4</v>
      </c>
      <c r="E53" s="365">
        <v>18233.2</v>
      </c>
      <c r="F53" s="119">
        <f t="shared" si="11"/>
        <v>172138.6</v>
      </c>
      <c r="G53" s="43"/>
      <c r="H53" s="119">
        <f t="shared" si="12"/>
        <v>203708.6</v>
      </c>
      <c r="I53" s="377">
        <f>IF((C53&lt;Funktional!M52),0,C53-Funktional!M52)</f>
        <v>0</v>
      </c>
      <c r="J53" s="124">
        <f t="shared" si="13"/>
        <v>0.15497627493390068</v>
      </c>
      <c r="K53" s="42">
        <f t="shared" si="14"/>
        <v>0.84502372506609935</v>
      </c>
      <c r="L53" s="372">
        <v>1</v>
      </c>
      <c r="M53" s="42"/>
      <c r="N53" s="43"/>
      <c r="O53" s="44"/>
      <c r="P53" s="80"/>
      <c r="Q53" s="43"/>
      <c r="R53" s="43"/>
      <c r="S53" s="43"/>
      <c r="T53" s="43"/>
      <c r="U53" s="43"/>
      <c r="V53" s="43"/>
      <c r="W53" s="43"/>
      <c r="X53" s="43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/>
      <c r="BE53" s="110"/>
      <c r="BF53" s="110"/>
      <c r="BG53" s="110"/>
      <c r="BH53" s="110"/>
      <c r="BI53" s="110"/>
      <c r="BJ53" s="110"/>
      <c r="BK53" s="110"/>
      <c r="BL53" s="110"/>
      <c r="BM53" s="110"/>
      <c r="BN53" s="110"/>
      <c r="BO53" s="110"/>
      <c r="BP53" s="110"/>
      <c r="BQ53" s="110"/>
      <c r="BR53" s="110"/>
      <c r="BS53" s="110"/>
      <c r="BT53" s="110"/>
      <c r="BU53" s="110"/>
      <c r="BV53" s="110"/>
      <c r="BW53" s="110"/>
      <c r="BX53" s="110"/>
      <c r="BY53" s="110"/>
      <c r="BZ53" s="110"/>
      <c r="CA53" s="110"/>
      <c r="CB53" s="110"/>
      <c r="CC53" s="110"/>
      <c r="CD53" s="110"/>
      <c r="CE53" s="110"/>
      <c r="CF53" s="110"/>
    </row>
    <row r="54" spans="1:84" s="45" customFormat="1" x14ac:dyDescent="0.25">
      <c r="A54" t="str">
        <f>Funktional!A53</f>
        <v>Gottshaus</v>
      </c>
      <c r="B54" t="str">
        <f>Funktional!B53</f>
        <v>PSG</v>
      </c>
      <c r="C54" s="365">
        <v>72772.399999999994</v>
      </c>
      <c r="D54" s="365">
        <v>429649.65</v>
      </c>
      <c r="E54" s="365">
        <v>46104.05</v>
      </c>
      <c r="F54" s="119">
        <f t="shared" si="11"/>
        <v>475753.7</v>
      </c>
      <c r="G54" s="43"/>
      <c r="H54" s="119">
        <f t="shared" si="12"/>
        <v>548526.1</v>
      </c>
      <c r="I54" s="377"/>
      <c r="J54" s="124">
        <f t="shared" si="13"/>
        <v>0.13266898329906271</v>
      </c>
      <c r="K54" s="42">
        <f t="shared" si="14"/>
        <v>0.86733101670093737</v>
      </c>
      <c r="L54" s="372">
        <f t="shared" ref="L54:L75" si="15">K54</f>
        <v>0.86733101670093737</v>
      </c>
      <c r="M54" s="42"/>
      <c r="N54" s="43"/>
      <c r="O54" s="44"/>
      <c r="P54" s="80"/>
      <c r="Q54" s="43"/>
      <c r="R54" s="43"/>
      <c r="S54" s="43"/>
      <c r="T54" s="43"/>
      <c r="U54" s="43"/>
      <c r="V54" s="43"/>
      <c r="W54" s="43"/>
      <c r="X54" s="43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/>
      <c r="BH54" s="110"/>
      <c r="BI54" s="110"/>
      <c r="BJ54" s="110"/>
      <c r="BK54" s="110"/>
      <c r="BL54" s="110"/>
      <c r="BM54" s="110"/>
      <c r="BN54" s="110"/>
      <c r="BO54" s="110"/>
      <c r="BP54" s="110"/>
      <c r="BQ54" s="110"/>
      <c r="BR54" s="110"/>
      <c r="BS54" s="110"/>
      <c r="BT54" s="110"/>
      <c r="BU54" s="110"/>
      <c r="BV54" s="110"/>
      <c r="BW54" s="110"/>
      <c r="BX54" s="110"/>
      <c r="BY54" s="110"/>
      <c r="BZ54" s="110"/>
      <c r="CA54" s="110"/>
      <c r="CB54" s="110"/>
      <c r="CC54" s="110"/>
      <c r="CD54" s="110"/>
      <c r="CE54" s="110"/>
      <c r="CF54" s="110"/>
    </row>
    <row r="55" spans="1:84" s="45" customFormat="1" x14ac:dyDescent="0.25">
      <c r="A55" t="str">
        <f>Funktional!A54</f>
        <v>Gündelhart-Hörhausen</v>
      </c>
      <c r="B55" t="str">
        <f>Funktional!B54</f>
        <v>PSG</v>
      </c>
      <c r="C55" s="365">
        <v>73076.600000000006</v>
      </c>
      <c r="D55" s="365">
        <v>477162.15</v>
      </c>
      <c r="E55" s="365">
        <v>42926.25</v>
      </c>
      <c r="F55" s="119">
        <f t="shared" si="11"/>
        <v>520088.4</v>
      </c>
      <c r="G55" s="43"/>
      <c r="H55" s="119">
        <f t="shared" si="12"/>
        <v>593165</v>
      </c>
      <c r="I55" s="377"/>
      <c r="J55" s="124">
        <f t="shared" si="13"/>
        <v>0.12319776116257704</v>
      </c>
      <c r="K55" s="42">
        <f t="shared" si="14"/>
        <v>0.87680223883742303</v>
      </c>
      <c r="L55" s="372">
        <f t="shared" si="15"/>
        <v>0.87680223883742303</v>
      </c>
      <c r="M55" s="42"/>
      <c r="N55" s="43"/>
      <c r="O55" s="44"/>
      <c r="P55" s="80"/>
      <c r="Q55" s="43"/>
      <c r="R55" s="43"/>
      <c r="S55" s="43"/>
      <c r="T55" s="43"/>
      <c r="U55" s="43"/>
      <c r="V55" s="43"/>
      <c r="W55" s="43"/>
      <c r="X55" s="43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/>
      <c r="AY55" s="110"/>
      <c r="AZ55" s="110"/>
      <c r="BA55" s="110"/>
      <c r="BB55" s="110"/>
      <c r="BC55" s="110"/>
      <c r="BD55" s="110"/>
      <c r="BE55" s="110"/>
      <c r="BF55" s="110"/>
      <c r="BG55" s="110"/>
      <c r="BH55" s="110"/>
      <c r="BI55" s="110"/>
      <c r="BJ55" s="110"/>
      <c r="BK55" s="110"/>
      <c r="BL55" s="110"/>
      <c r="BM55" s="110"/>
      <c r="BN55" s="110"/>
      <c r="BO55" s="110"/>
      <c r="BP55" s="110"/>
      <c r="BQ55" s="110"/>
      <c r="BR55" s="110"/>
      <c r="BS55" s="110"/>
      <c r="BT55" s="110"/>
      <c r="BU55" s="110"/>
      <c r="BV55" s="110"/>
      <c r="BW55" s="110"/>
      <c r="BX55" s="110"/>
      <c r="BY55" s="110"/>
      <c r="BZ55" s="110"/>
      <c r="CA55" s="110"/>
      <c r="CB55" s="110"/>
      <c r="CC55" s="110"/>
      <c r="CD55" s="110"/>
      <c r="CE55" s="110"/>
      <c r="CF55" s="110"/>
    </row>
    <row r="56" spans="1:84" s="45" customFormat="1" x14ac:dyDescent="0.25">
      <c r="A56" t="str">
        <f>Funktional!A55</f>
        <v>Guntershausen</v>
      </c>
      <c r="B56" t="str">
        <f>Funktional!B55</f>
        <v>PSG</v>
      </c>
      <c r="C56" s="365">
        <v>97019.15</v>
      </c>
      <c r="D56" s="365">
        <v>671256.9</v>
      </c>
      <c r="E56" s="365">
        <v>84288.85</v>
      </c>
      <c r="F56" s="119">
        <f t="shared" si="11"/>
        <v>755545.75</v>
      </c>
      <c r="G56" s="43"/>
      <c r="H56" s="119">
        <f t="shared" si="12"/>
        <v>852564.9</v>
      </c>
      <c r="I56" s="377"/>
      <c r="J56" s="124">
        <f t="shared" si="13"/>
        <v>0.11379679130585835</v>
      </c>
      <c r="K56" s="42">
        <f t="shared" si="14"/>
        <v>0.8862032086941416</v>
      </c>
      <c r="L56" s="372">
        <f t="shared" si="15"/>
        <v>0.8862032086941416</v>
      </c>
      <c r="M56" s="42"/>
      <c r="N56" s="43"/>
      <c r="O56" s="44"/>
      <c r="P56" s="80"/>
      <c r="Q56" s="43"/>
      <c r="R56" s="43"/>
      <c r="S56" s="43"/>
      <c r="T56" s="43"/>
      <c r="U56" s="43"/>
      <c r="V56" s="43"/>
      <c r="W56" s="43"/>
      <c r="X56" s="43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  <c r="AO56" s="110"/>
      <c r="AP56" s="110"/>
      <c r="AQ56" s="110"/>
      <c r="AR56" s="110"/>
      <c r="AS56" s="110"/>
      <c r="AT56" s="110"/>
      <c r="AU56" s="110"/>
      <c r="AV56" s="110"/>
      <c r="AW56" s="110"/>
      <c r="AX56" s="110"/>
      <c r="AY56" s="110"/>
      <c r="AZ56" s="110"/>
      <c r="BA56" s="110"/>
      <c r="BB56" s="110"/>
      <c r="BC56" s="110"/>
      <c r="BD56" s="110"/>
      <c r="BE56" s="110"/>
      <c r="BF56" s="110"/>
      <c r="BG56" s="110"/>
      <c r="BH56" s="110"/>
      <c r="BI56" s="110"/>
      <c r="BJ56" s="110"/>
      <c r="BK56" s="110"/>
      <c r="BL56" s="110"/>
      <c r="BM56" s="110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/>
      <c r="BZ56" s="110"/>
      <c r="CA56" s="110"/>
      <c r="CB56" s="110"/>
      <c r="CC56" s="110"/>
      <c r="CD56" s="110"/>
      <c r="CE56" s="110"/>
      <c r="CF56" s="110"/>
    </row>
    <row r="57" spans="1:84" s="45" customFormat="1" x14ac:dyDescent="0.25">
      <c r="A57" t="str">
        <f>Funktional!A56</f>
        <v>Güttingen</v>
      </c>
      <c r="B57" t="str">
        <f>Funktional!B56</f>
        <v>PSG</v>
      </c>
      <c r="C57" s="365">
        <v>132165.20000000001</v>
      </c>
      <c r="D57" s="365">
        <v>788482.35</v>
      </c>
      <c r="E57" s="365">
        <v>43031.35</v>
      </c>
      <c r="F57" s="119">
        <f t="shared" si="11"/>
        <v>831513.7</v>
      </c>
      <c r="G57" s="43"/>
      <c r="H57" s="119">
        <f t="shared" si="12"/>
        <v>963678.89999999991</v>
      </c>
      <c r="I57" s="377"/>
      <c r="J57" s="124">
        <f t="shared" si="13"/>
        <v>0.13714651218367449</v>
      </c>
      <c r="K57" s="42">
        <f t="shared" si="14"/>
        <v>0.86285348781632554</v>
      </c>
      <c r="L57" s="372">
        <f t="shared" si="15"/>
        <v>0.86285348781632554</v>
      </c>
      <c r="M57" s="42"/>
      <c r="N57" s="43"/>
      <c r="O57" s="44"/>
      <c r="P57" s="80"/>
      <c r="Q57" s="43"/>
      <c r="R57" s="43"/>
      <c r="S57" s="43"/>
      <c r="T57" s="43"/>
      <c r="U57" s="43"/>
      <c r="V57" s="43"/>
      <c r="W57" s="43"/>
      <c r="X57" s="43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  <c r="AO57" s="110"/>
      <c r="AP57" s="110"/>
      <c r="AQ57" s="110"/>
      <c r="AR57" s="110"/>
      <c r="AS57" s="110"/>
      <c r="AT57" s="110"/>
      <c r="AU57" s="110"/>
      <c r="AV57" s="110"/>
      <c r="AW57" s="110"/>
      <c r="AX57" s="110"/>
      <c r="AY57" s="110"/>
      <c r="AZ57" s="110"/>
      <c r="BA57" s="110"/>
      <c r="BB57" s="110"/>
      <c r="BC57" s="110"/>
      <c r="BD57" s="110"/>
      <c r="BE57" s="110"/>
      <c r="BF57" s="110"/>
      <c r="BG57" s="110"/>
      <c r="BH57" s="110"/>
      <c r="BI57" s="110"/>
      <c r="BJ57" s="110"/>
      <c r="BK57" s="110"/>
      <c r="BL57" s="110"/>
      <c r="BM57" s="110"/>
      <c r="BN57" s="110"/>
      <c r="BO57" s="110"/>
      <c r="BP57" s="110"/>
      <c r="BQ57" s="110"/>
      <c r="BR57" s="110"/>
      <c r="BS57" s="110"/>
      <c r="BT57" s="110"/>
      <c r="BU57" s="110"/>
      <c r="BV57" s="110"/>
      <c r="BW57" s="110"/>
      <c r="BX57" s="110"/>
      <c r="BY57" s="110"/>
      <c r="BZ57" s="110"/>
      <c r="CA57" s="110"/>
      <c r="CB57" s="110"/>
      <c r="CC57" s="110"/>
      <c r="CD57" s="110"/>
      <c r="CE57" s="110"/>
      <c r="CF57" s="110"/>
    </row>
    <row r="58" spans="1:84" s="45" customFormat="1" x14ac:dyDescent="0.25">
      <c r="A58" t="str">
        <f>Funktional!A57</f>
        <v>Halden-Kenzenau</v>
      </c>
      <c r="B58" t="str">
        <f>Funktional!B57</f>
        <v>PSG</v>
      </c>
      <c r="C58" s="365">
        <v>71913.2</v>
      </c>
      <c r="D58" s="365">
        <v>440275.55</v>
      </c>
      <c r="E58" s="365">
        <v>43449.55</v>
      </c>
      <c r="F58" s="119">
        <f t="shared" ref="F58:F65" si="16">D58+E58</f>
        <v>483725.1</v>
      </c>
      <c r="G58" s="43"/>
      <c r="H58" s="119">
        <f t="shared" ref="H58:H73" si="17">C58+F58+I58</f>
        <v>555638.29999999993</v>
      </c>
      <c r="I58" s="377"/>
      <c r="J58" s="124">
        <f t="shared" ref="J58:J65" si="18">C58/H58</f>
        <v>0.12942448351742492</v>
      </c>
      <c r="K58" s="42">
        <f t="shared" ref="K58:K65" si="19">F58/H58</f>
        <v>0.87057551648257514</v>
      </c>
      <c r="L58" s="372">
        <f t="shared" si="15"/>
        <v>0.87057551648257514</v>
      </c>
      <c r="M58" s="42"/>
      <c r="N58" s="43"/>
      <c r="O58" s="44"/>
      <c r="P58" s="80"/>
      <c r="Q58" s="43"/>
      <c r="R58" s="43"/>
      <c r="S58" s="43"/>
      <c r="T58" s="43"/>
      <c r="U58" s="43"/>
      <c r="V58" s="43"/>
      <c r="W58" s="43"/>
      <c r="X58" s="43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110"/>
      <c r="BA58" s="110"/>
      <c r="BB58" s="110"/>
      <c r="BC58" s="110"/>
      <c r="BD58" s="110"/>
      <c r="BE58" s="110"/>
      <c r="BF58" s="110"/>
      <c r="BG58" s="110"/>
      <c r="BH58" s="110"/>
      <c r="BI58" s="110"/>
      <c r="BJ58" s="110"/>
      <c r="BK58" s="110"/>
      <c r="BL58" s="110"/>
      <c r="BM58" s="110"/>
      <c r="BN58" s="110"/>
      <c r="BO58" s="110"/>
      <c r="BP58" s="110"/>
      <c r="BQ58" s="110"/>
      <c r="BR58" s="110"/>
      <c r="BS58" s="110"/>
      <c r="BT58" s="110"/>
      <c r="BU58" s="110"/>
      <c r="BV58" s="110"/>
      <c r="BW58" s="110"/>
      <c r="BX58" s="110"/>
      <c r="BY58" s="110"/>
      <c r="BZ58" s="110"/>
      <c r="CA58" s="110"/>
      <c r="CB58" s="110"/>
      <c r="CC58" s="110"/>
      <c r="CD58" s="110"/>
      <c r="CE58" s="110"/>
      <c r="CF58" s="110"/>
    </row>
    <row r="59" spans="1:84" s="45" customFormat="1" x14ac:dyDescent="0.25">
      <c r="A59" t="str">
        <f>Funktional!A58</f>
        <v>Hauptwil</v>
      </c>
      <c r="B59" t="str">
        <f>Funktional!B58</f>
        <v>PSG</v>
      </c>
      <c r="C59" s="365">
        <v>112990.2</v>
      </c>
      <c r="D59" s="365">
        <v>793489.5</v>
      </c>
      <c r="E59" s="365">
        <v>49356.95</v>
      </c>
      <c r="F59" s="119">
        <f t="shared" si="16"/>
        <v>842846.45</v>
      </c>
      <c r="G59" s="43"/>
      <c r="H59" s="119">
        <f t="shared" si="17"/>
        <v>955836.64999999991</v>
      </c>
      <c r="I59" s="377"/>
      <c r="J59" s="124">
        <f t="shared" si="18"/>
        <v>0.11821078423808086</v>
      </c>
      <c r="K59" s="42">
        <f t="shared" si="19"/>
        <v>0.88178921576191915</v>
      </c>
      <c r="L59" s="372">
        <f t="shared" si="15"/>
        <v>0.88178921576191915</v>
      </c>
      <c r="M59" s="42"/>
      <c r="N59" s="43"/>
      <c r="O59" s="44"/>
      <c r="P59" s="80"/>
      <c r="Q59" s="43"/>
      <c r="R59" s="43"/>
      <c r="S59" s="43"/>
      <c r="T59" s="43"/>
      <c r="U59" s="43"/>
      <c r="V59" s="43"/>
      <c r="W59" s="43"/>
      <c r="X59" s="43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  <c r="AO59" s="110"/>
      <c r="AP59" s="110"/>
      <c r="AQ59" s="110"/>
      <c r="AR59" s="110"/>
      <c r="AS59" s="110"/>
      <c r="AT59" s="110"/>
      <c r="AU59" s="110"/>
      <c r="AV59" s="110"/>
      <c r="AW59" s="110"/>
      <c r="AX59" s="110"/>
      <c r="AY59" s="110"/>
      <c r="AZ59" s="110"/>
      <c r="BA59" s="110"/>
      <c r="BB59" s="110"/>
      <c r="BC59" s="110"/>
      <c r="BD59" s="110"/>
      <c r="BE59" s="110"/>
      <c r="BF59" s="110"/>
      <c r="BG59" s="110"/>
      <c r="BH59" s="110"/>
      <c r="BI59" s="110"/>
      <c r="BJ59" s="110"/>
      <c r="BK59" s="110"/>
      <c r="BL59" s="110"/>
      <c r="BM59" s="110"/>
      <c r="BN59" s="110"/>
      <c r="BO59" s="110"/>
      <c r="BP59" s="110"/>
      <c r="BQ59" s="110"/>
      <c r="BR59" s="110"/>
      <c r="BS59" s="110"/>
      <c r="BT59" s="110"/>
      <c r="BU59" s="110"/>
      <c r="BV59" s="110"/>
      <c r="BW59" s="110"/>
      <c r="BX59" s="110"/>
      <c r="BY59" s="110"/>
      <c r="BZ59" s="110"/>
      <c r="CA59" s="110"/>
      <c r="CB59" s="110"/>
      <c r="CC59" s="110"/>
      <c r="CD59" s="110"/>
      <c r="CE59" s="110"/>
      <c r="CF59" s="110"/>
    </row>
    <row r="60" spans="1:84" s="45" customFormat="1" x14ac:dyDescent="0.25">
      <c r="A60" t="str">
        <f>Funktional!A59</f>
        <v>Häuslenen-Aawangen</v>
      </c>
      <c r="B60" t="str">
        <f>Funktional!B59</f>
        <v>PSG</v>
      </c>
      <c r="C60" s="365">
        <v>73392.3</v>
      </c>
      <c r="D60" s="365">
        <v>347515.3</v>
      </c>
      <c r="E60" s="365">
        <v>38738.699999999997</v>
      </c>
      <c r="F60" s="119">
        <f t="shared" si="16"/>
        <v>386254</v>
      </c>
      <c r="G60" s="43"/>
      <c r="H60" s="119">
        <f t="shared" si="17"/>
        <v>459646.3</v>
      </c>
      <c r="I60" s="377"/>
      <c r="J60" s="124">
        <f t="shared" si="18"/>
        <v>0.15967125156886938</v>
      </c>
      <c r="K60" s="42">
        <f t="shared" si="19"/>
        <v>0.8403287484311307</v>
      </c>
      <c r="L60" s="372">
        <f t="shared" si="15"/>
        <v>0.8403287484311307</v>
      </c>
      <c r="M60" s="42"/>
      <c r="N60" s="43"/>
      <c r="O60" s="44"/>
      <c r="P60" s="80"/>
      <c r="Q60" s="43"/>
      <c r="R60" s="43"/>
      <c r="S60" s="43"/>
      <c r="T60" s="43"/>
      <c r="U60" s="43"/>
      <c r="V60" s="43"/>
      <c r="W60" s="43"/>
      <c r="X60" s="43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  <c r="AO60" s="110"/>
      <c r="AP60" s="110"/>
      <c r="AQ60" s="110"/>
      <c r="AR60" s="110"/>
      <c r="AS60" s="110"/>
      <c r="AT60" s="110"/>
      <c r="AU60" s="110"/>
      <c r="AV60" s="110"/>
      <c r="AW60" s="110"/>
      <c r="AX60" s="110"/>
      <c r="AY60" s="110"/>
      <c r="AZ60" s="110"/>
      <c r="BA60" s="110"/>
      <c r="BB60" s="110"/>
      <c r="BC60" s="110"/>
      <c r="BD60" s="110"/>
      <c r="BE60" s="110"/>
      <c r="BF60" s="110"/>
      <c r="BG60" s="110"/>
      <c r="BH60" s="110"/>
      <c r="BI60" s="110"/>
      <c r="BJ60" s="110"/>
      <c r="BK60" s="110"/>
      <c r="BL60" s="110"/>
      <c r="BM60" s="110"/>
      <c r="BN60" s="110"/>
      <c r="BO60" s="110"/>
      <c r="BP60" s="110"/>
      <c r="BQ60" s="110"/>
      <c r="BR60" s="110"/>
      <c r="BS60" s="110"/>
      <c r="BT60" s="110"/>
      <c r="BU60" s="110"/>
      <c r="BV60" s="110"/>
      <c r="BW60" s="110"/>
      <c r="BX60" s="110"/>
      <c r="BY60" s="110"/>
      <c r="BZ60" s="110"/>
      <c r="CA60" s="110"/>
      <c r="CB60" s="110"/>
      <c r="CC60" s="110"/>
      <c r="CD60" s="110"/>
      <c r="CE60" s="110"/>
      <c r="CF60" s="110"/>
    </row>
    <row r="61" spans="1:84" s="45" customFormat="1" x14ac:dyDescent="0.25">
      <c r="A61" t="str">
        <f>Funktional!A60</f>
        <v>Hefenhofen</v>
      </c>
      <c r="B61" t="str">
        <f>Funktional!B60</f>
        <v>PSG</v>
      </c>
      <c r="C61" s="365">
        <v>136277.35</v>
      </c>
      <c r="D61" s="365">
        <v>784300</v>
      </c>
      <c r="E61" s="365">
        <v>64487.7</v>
      </c>
      <c r="F61" s="119">
        <f t="shared" si="16"/>
        <v>848787.7</v>
      </c>
      <c r="G61" s="43"/>
      <c r="H61" s="119">
        <f t="shared" si="17"/>
        <v>985065.04999999993</v>
      </c>
      <c r="I61" s="377"/>
      <c r="J61" s="124">
        <f t="shared" si="18"/>
        <v>0.13834350330468026</v>
      </c>
      <c r="K61" s="42">
        <f t="shared" si="19"/>
        <v>0.86165649669531974</v>
      </c>
      <c r="L61" s="372">
        <f t="shared" si="15"/>
        <v>0.86165649669531974</v>
      </c>
      <c r="M61" s="42"/>
      <c r="N61" s="43"/>
      <c r="O61" s="44"/>
      <c r="P61" s="80"/>
      <c r="Q61" s="43"/>
      <c r="R61" s="43"/>
      <c r="S61" s="43"/>
      <c r="T61" s="43"/>
      <c r="U61" s="43"/>
      <c r="V61" s="43"/>
      <c r="W61" s="43"/>
      <c r="X61" s="43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  <c r="AO61" s="110"/>
      <c r="AP61" s="110"/>
      <c r="AQ61" s="110"/>
      <c r="AR61" s="110"/>
      <c r="AS61" s="110"/>
      <c r="AT61" s="110"/>
      <c r="AU61" s="110"/>
      <c r="AV61" s="110"/>
      <c r="AW61" s="110"/>
      <c r="AX61" s="110"/>
      <c r="AY61" s="110"/>
      <c r="AZ61" s="110"/>
      <c r="BA61" s="110"/>
      <c r="BB61" s="110"/>
      <c r="BC61" s="110"/>
      <c r="BD61" s="110"/>
      <c r="BE61" s="110"/>
      <c r="BF61" s="110"/>
      <c r="BG61" s="110"/>
      <c r="BH61" s="110"/>
      <c r="BI61" s="110"/>
      <c r="BJ61" s="110"/>
      <c r="BK61" s="110"/>
      <c r="BL61" s="110"/>
      <c r="BM61" s="110"/>
      <c r="BN61" s="110"/>
      <c r="BO61" s="110"/>
      <c r="BP61" s="110"/>
      <c r="BQ61" s="110"/>
      <c r="BR61" s="110"/>
      <c r="BS61" s="110"/>
      <c r="BT61" s="110"/>
      <c r="BU61" s="110"/>
      <c r="BV61" s="110"/>
      <c r="BW61" s="110"/>
      <c r="BX61" s="110"/>
      <c r="BY61" s="110"/>
      <c r="BZ61" s="110"/>
      <c r="CA61" s="110"/>
      <c r="CB61" s="110"/>
      <c r="CC61" s="110"/>
      <c r="CD61" s="110"/>
      <c r="CE61" s="110"/>
      <c r="CF61" s="110"/>
    </row>
    <row r="62" spans="1:84" s="45" customFormat="1" x14ac:dyDescent="0.25">
      <c r="A62" t="str">
        <f>Funktional!A61</f>
        <v>Hegi-Winden</v>
      </c>
      <c r="B62" t="str">
        <f>Funktional!B61</f>
        <v>PSG</v>
      </c>
      <c r="C62" s="365">
        <v>85824.65</v>
      </c>
      <c r="D62" s="365">
        <v>272225.55</v>
      </c>
      <c r="E62" s="365">
        <v>40384.300000000003</v>
      </c>
      <c r="F62" s="119">
        <f t="shared" si="16"/>
        <v>312609.84999999998</v>
      </c>
      <c r="G62" s="43"/>
      <c r="H62" s="119">
        <f t="shared" si="17"/>
        <v>398434.5</v>
      </c>
      <c r="I62" s="377"/>
      <c r="J62" s="124">
        <f t="shared" si="18"/>
        <v>0.21540466500767377</v>
      </c>
      <c r="K62" s="42">
        <f t="shared" si="19"/>
        <v>0.78459533499232614</v>
      </c>
      <c r="L62" s="372">
        <f t="shared" si="15"/>
        <v>0.78459533499232614</v>
      </c>
      <c r="M62" s="42"/>
      <c r="N62" s="43"/>
      <c r="O62" s="44"/>
      <c r="P62" s="80"/>
      <c r="Q62" s="43"/>
      <c r="R62" s="43"/>
      <c r="S62" s="43"/>
      <c r="T62" s="43"/>
      <c r="U62" s="43"/>
      <c r="V62" s="43"/>
      <c r="W62" s="43"/>
      <c r="X62" s="43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  <c r="AO62" s="110"/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110"/>
      <c r="BB62" s="110"/>
      <c r="BC62" s="110"/>
      <c r="BD62" s="110"/>
      <c r="BE62" s="110"/>
      <c r="BF62" s="110"/>
      <c r="BG62" s="110"/>
      <c r="BH62" s="110"/>
      <c r="BI62" s="110"/>
      <c r="BJ62" s="110"/>
      <c r="BK62" s="110"/>
      <c r="BL62" s="110"/>
      <c r="BM62" s="110"/>
      <c r="BN62" s="110"/>
      <c r="BO62" s="110"/>
      <c r="BP62" s="110"/>
      <c r="BQ62" s="110"/>
      <c r="BR62" s="110"/>
      <c r="BS62" s="110"/>
      <c r="BT62" s="110"/>
      <c r="BU62" s="110"/>
      <c r="BV62" s="110"/>
      <c r="BW62" s="110"/>
      <c r="BX62" s="110"/>
      <c r="BY62" s="110"/>
      <c r="BZ62" s="110"/>
      <c r="CA62" s="110"/>
      <c r="CB62" s="110"/>
      <c r="CC62" s="110"/>
      <c r="CD62" s="110"/>
      <c r="CE62" s="110"/>
      <c r="CF62" s="110"/>
    </row>
    <row r="63" spans="1:84" s="45" customFormat="1" x14ac:dyDescent="0.25">
      <c r="A63" t="str">
        <f>Funktional!A62</f>
        <v>Herdern</v>
      </c>
      <c r="B63" t="str">
        <f>Funktional!B62</f>
        <v>PSG</v>
      </c>
      <c r="C63" s="365">
        <v>69165.399999999994</v>
      </c>
      <c r="D63" s="365">
        <v>370497.45</v>
      </c>
      <c r="E63" s="365">
        <v>34782.550000000003</v>
      </c>
      <c r="F63" s="119">
        <f t="shared" si="16"/>
        <v>405280</v>
      </c>
      <c r="G63" s="43"/>
      <c r="H63" s="119">
        <f t="shared" si="17"/>
        <v>474445.4</v>
      </c>
      <c r="I63" s="377"/>
      <c r="J63" s="124">
        <f t="shared" si="18"/>
        <v>0.14578157992468679</v>
      </c>
      <c r="K63" s="42">
        <f t="shared" si="19"/>
        <v>0.85421842007531312</v>
      </c>
      <c r="L63" s="372">
        <f t="shared" si="15"/>
        <v>0.85421842007531312</v>
      </c>
      <c r="M63" s="42"/>
      <c r="N63" s="43"/>
      <c r="O63" s="44"/>
      <c r="P63" s="80"/>
      <c r="Q63" s="43"/>
      <c r="R63" s="43"/>
      <c r="S63" s="43"/>
      <c r="T63" s="43"/>
      <c r="U63" s="43"/>
      <c r="V63" s="43"/>
      <c r="W63" s="43"/>
      <c r="X63" s="43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  <c r="AO63" s="110"/>
      <c r="AP63" s="110"/>
      <c r="AQ63" s="110"/>
      <c r="AR63" s="110"/>
      <c r="AS63" s="110"/>
      <c r="AT63" s="110"/>
      <c r="AU63" s="110"/>
      <c r="AV63" s="110"/>
      <c r="AW63" s="110"/>
      <c r="AX63" s="110"/>
      <c r="AY63" s="110"/>
      <c r="AZ63" s="110"/>
      <c r="BA63" s="110"/>
      <c r="BB63" s="110"/>
      <c r="BC63" s="110"/>
      <c r="BD63" s="110"/>
      <c r="BE63" s="110"/>
      <c r="BF63" s="110"/>
      <c r="BG63" s="110"/>
      <c r="BH63" s="110"/>
      <c r="BI63" s="110"/>
      <c r="BJ63" s="110"/>
      <c r="BK63" s="110"/>
      <c r="BL63" s="110"/>
      <c r="BM63" s="110"/>
      <c r="BN63" s="110"/>
      <c r="BO63" s="110"/>
      <c r="BP63" s="110"/>
      <c r="BQ63" s="110"/>
      <c r="BR63" s="110"/>
      <c r="BS63" s="110"/>
      <c r="BT63" s="110"/>
      <c r="BU63" s="110"/>
      <c r="BV63" s="110"/>
      <c r="BW63" s="110"/>
      <c r="BX63" s="110"/>
      <c r="BY63" s="110"/>
      <c r="BZ63" s="110"/>
      <c r="CA63" s="110"/>
      <c r="CB63" s="110"/>
      <c r="CC63" s="110"/>
      <c r="CD63" s="110"/>
      <c r="CE63" s="110"/>
      <c r="CF63" s="110"/>
    </row>
    <row r="64" spans="1:84" s="45" customFormat="1" x14ac:dyDescent="0.25">
      <c r="A64" t="str">
        <f>Funktional!A63</f>
        <v>Herrenhof-Langrickenbach</v>
      </c>
      <c r="B64" t="str">
        <f>Funktional!B63</f>
        <v>PSG</v>
      </c>
      <c r="C64" s="365">
        <v>86633.1</v>
      </c>
      <c r="D64" s="365">
        <v>298451.20000000001</v>
      </c>
      <c r="E64" s="365">
        <v>5855.35</v>
      </c>
      <c r="F64" s="119">
        <f t="shared" si="16"/>
        <v>304306.55</v>
      </c>
      <c r="G64" s="43"/>
      <c r="H64" s="119">
        <f t="shared" si="17"/>
        <v>390939.65</v>
      </c>
      <c r="I64" s="377"/>
      <c r="J64" s="124">
        <f t="shared" si="18"/>
        <v>0.22160223451369029</v>
      </c>
      <c r="K64" s="42">
        <f t="shared" si="19"/>
        <v>0.77839776548630968</v>
      </c>
      <c r="L64" s="372">
        <f t="shared" si="15"/>
        <v>0.77839776548630968</v>
      </c>
      <c r="M64" s="42"/>
      <c r="N64" s="43"/>
      <c r="O64" s="44"/>
      <c r="P64" s="80"/>
      <c r="Q64" s="43"/>
      <c r="R64" s="43"/>
      <c r="S64" s="43"/>
      <c r="T64" s="43"/>
      <c r="U64" s="43"/>
      <c r="V64" s="43"/>
      <c r="W64" s="43"/>
      <c r="X64" s="43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  <c r="AO64" s="110"/>
      <c r="AP64" s="110"/>
      <c r="AQ64" s="110"/>
      <c r="AR64" s="110"/>
      <c r="AS64" s="110"/>
      <c r="AT64" s="110"/>
      <c r="AU64" s="110"/>
      <c r="AV64" s="110"/>
      <c r="AW64" s="110"/>
      <c r="AX64" s="110"/>
      <c r="AY64" s="110"/>
      <c r="AZ64" s="110"/>
      <c r="BA64" s="110"/>
      <c r="BB64" s="110"/>
      <c r="BC64" s="110"/>
      <c r="BD64" s="110"/>
      <c r="BE64" s="110"/>
      <c r="BF64" s="110"/>
      <c r="BG64" s="110"/>
      <c r="BH64" s="110"/>
      <c r="BI64" s="110"/>
      <c r="BJ64" s="110"/>
      <c r="BK64" s="110"/>
      <c r="BL64" s="110"/>
      <c r="BM64" s="110"/>
      <c r="BN64" s="110"/>
      <c r="BO64" s="110"/>
      <c r="BP64" s="110"/>
      <c r="BQ64" s="110"/>
      <c r="BR64" s="110"/>
      <c r="BS64" s="110"/>
      <c r="BT64" s="110"/>
      <c r="BU64" s="110"/>
      <c r="BV64" s="110"/>
      <c r="BW64" s="110"/>
      <c r="BX64" s="110"/>
      <c r="BY64" s="110"/>
      <c r="BZ64" s="110"/>
      <c r="CA64" s="110"/>
      <c r="CB64" s="110"/>
      <c r="CC64" s="110"/>
      <c r="CD64" s="110"/>
      <c r="CE64" s="110"/>
      <c r="CF64" s="110"/>
    </row>
    <row r="65" spans="1:84" s="45" customFormat="1" x14ac:dyDescent="0.25">
      <c r="A65" t="str">
        <f>Funktional!A64</f>
        <v>Hohentannen</v>
      </c>
      <c r="B65" t="str">
        <f>Funktional!B64</f>
        <v>PSG</v>
      </c>
      <c r="C65" s="365">
        <v>100606.8</v>
      </c>
      <c r="D65" s="365">
        <v>233671.35</v>
      </c>
      <c r="E65" s="365">
        <v>24988.55</v>
      </c>
      <c r="F65" s="119">
        <f t="shared" si="16"/>
        <v>258659.9</v>
      </c>
      <c r="G65" s="43"/>
      <c r="H65" s="119">
        <f t="shared" si="17"/>
        <v>359266.7</v>
      </c>
      <c r="I65" s="377"/>
      <c r="J65" s="124">
        <f t="shared" si="18"/>
        <v>0.28003374651755925</v>
      </c>
      <c r="K65" s="42">
        <f t="shared" si="19"/>
        <v>0.7199662534824407</v>
      </c>
      <c r="L65" s="372">
        <f t="shared" si="15"/>
        <v>0.7199662534824407</v>
      </c>
      <c r="M65" s="42"/>
      <c r="N65" s="43"/>
      <c r="O65" s="44"/>
      <c r="P65" s="80"/>
      <c r="Q65" s="43"/>
      <c r="R65" s="43"/>
      <c r="S65" s="43"/>
      <c r="T65" s="43"/>
      <c r="U65" s="43"/>
      <c r="V65" s="43"/>
      <c r="W65" s="43"/>
      <c r="X65" s="43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110"/>
      <c r="BB65" s="110"/>
      <c r="BC65" s="110"/>
      <c r="BD65" s="110"/>
      <c r="BE65" s="110"/>
      <c r="BF65" s="110"/>
      <c r="BG65" s="110"/>
      <c r="BH65" s="110"/>
      <c r="BI65" s="110"/>
      <c r="BJ65" s="110"/>
      <c r="BK65" s="110"/>
      <c r="BL65" s="110"/>
      <c r="BM65" s="110"/>
      <c r="BN65" s="110"/>
      <c r="BO65" s="110"/>
      <c r="BP65" s="110"/>
      <c r="BQ65" s="110"/>
      <c r="BR65" s="110"/>
      <c r="BS65" s="110"/>
      <c r="BT65" s="110"/>
      <c r="BU65" s="110"/>
      <c r="BV65" s="110"/>
      <c r="BW65" s="110"/>
      <c r="BX65" s="110"/>
      <c r="BY65" s="110"/>
      <c r="BZ65" s="110"/>
      <c r="CA65" s="110"/>
      <c r="CB65" s="110"/>
      <c r="CC65" s="110"/>
      <c r="CD65" s="110"/>
      <c r="CE65" s="110"/>
      <c r="CF65" s="110"/>
    </row>
    <row r="66" spans="1:84" s="45" customFormat="1" x14ac:dyDescent="0.25">
      <c r="A66" t="str">
        <f>Funktional!A65</f>
        <v>Homburg-Hörstetten</v>
      </c>
      <c r="B66" t="str">
        <f>Funktional!B65</f>
        <v>PSG</v>
      </c>
      <c r="C66" s="365">
        <v>79995.45</v>
      </c>
      <c r="D66" s="365">
        <v>458965.5</v>
      </c>
      <c r="E66" s="365">
        <v>40614</v>
      </c>
      <c r="F66" s="119">
        <f t="shared" ref="F66:F72" si="20">D66+E66</f>
        <v>499579.5</v>
      </c>
      <c r="G66" s="43"/>
      <c r="H66" s="119">
        <f t="shared" si="17"/>
        <v>579574.94999999995</v>
      </c>
      <c r="I66" s="377"/>
      <c r="J66" s="124">
        <f t="shared" ref="J66:J72" si="21">C66/H66</f>
        <v>0.13802434007888023</v>
      </c>
      <c r="K66" s="42">
        <f t="shared" ref="K66:K72" si="22">F66/H66</f>
        <v>0.8619756599211198</v>
      </c>
      <c r="L66" s="372">
        <f t="shared" si="15"/>
        <v>0.8619756599211198</v>
      </c>
      <c r="M66" s="42"/>
      <c r="N66" s="43"/>
      <c r="O66" s="44"/>
      <c r="P66" s="80"/>
      <c r="Q66" s="43"/>
      <c r="R66" s="43"/>
      <c r="S66" s="43"/>
      <c r="T66" s="43"/>
      <c r="U66" s="43"/>
      <c r="V66" s="43"/>
      <c r="W66" s="43"/>
      <c r="X66" s="43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  <c r="AO66" s="110"/>
      <c r="AP66" s="110"/>
      <c r="AQ66" s="110"/>
      <c r="AR66" s="110"/>
      <c r="AS66" s="110"/>
      <c r="AT66" s="110"/>
      <c r="AU66" s="110"/>
      <c r="AV66" s="110"/>
      <c r="AW66" s="110"/>
      <c r="AX66" s="110"/>
      <c r="AY66" s="110"/>
      <c r="AZ66" s="110"/>
      <c r="BA66" s="110"/>
      <c r="BB66" s="110"/>
      <c r="BC66" s="110"/>
      <c r="BD66" s="110"/>
      <c r="BE66" s="110"/>
      <c r="BF66" s="110"/>
      <c r="BG66" s="110"/>
      <c r="BH66" s="110"/>
      <c r="BI66" s="110"/>
      <c r="BJ66" s="110"/>
      <c r="BK66" s="110"/>
      <c r="BL66" s="110"/>
      <c r="BM66" s="110"/>
      <c r="BN66" s="110"/>
      <c r="BO66" s="110"/>
      <c r="BP66" s="110"/>
      <c r="BQ66" s="110"/>
      <c r="BR66" s="110"/>
      <c r="BS66" s="110"/>
      <c r="BT66" s="110"/>
      <c r="BU66" s="110"/>
      <c r="BV66" s="110"/>
      <c r="BW66" s="110"/>
      <c r="BX66" s="110"/>
      <c r="BY66" s="110"/>
      <c r="BZ66" s="110"/>
      <c r="CA66" s="110"/>
      <c r="CB66" s="110"/>
      <c r="CC66" s="110"/>
      <c r="CD66" s="110"/>
      <c r="CE66" s="110"/>
      <c r="CF66" s="110"/>
    </row>
    <row r="67" spans="1:84" s="45" customFormat="1" x14ac:dyDescent="0.25">
      <c r="A67" t="str">
        <f>Funktional!A66</f>
        <v>Hugelshofen-Lippoldswilen</v>
      </c>
      <c r="B67" t="str">
        <f>Funktional!B66</f>
        <v>PSG</v>
      </c>
      <c r="C67" s="365">
        <v>126742.39999999999</v>
      </c>
      <c r="D67" s="365">
        <v>345205.75</v>
      </c>
      <c r="E67" s="365">
        <v>37354.800000000003</v>
      </c>
      <c r="F67" s="119">
        <f t="shared" si="20"/>
        <v>382560.55</v>
      </c>
      <c r="G67" s="43"/>
      <c r="H67" s="119">
        <f t="shared" si="17"/>
        <v>509302.94999999995</v>
      </c>
      <c r="I67" s="377"/>
      <c r="J67" s="124">
        <f t="shared" si="21"/>
        <v>0.24885463553666831</v>
      </c>
      <c r="K67" s="42">
        <f t="shared" si="22"/>
        <v>0.75114536446333169</v>
      </c>
      <c r="L67" s="372">
        <f t="shared" si="15"/>
        <v>0.75114536446333169</v>
      </c>
      <c r="M67" s="42"/>
      <c r="N67" s="43"/>
      <c r="O67" s="44"/>
      <c r="P67" s="80"/>
      <c r="Q67" s="43"/>
      <c r="R67" s="43"/>
      <c r="S67" s="43"/>
      <c r="T67" s="43"/>
      <c r="U67" s="43"/>
      <c r="V67" s="43"/>
      <c r="W67" s="43"/>
      <c r="X67" s="43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  <c r="AO67" s="110"/>
      <c r="AP67" s="110"/>
      <c r="AQ67" s="110"/>
      <c r="AR67" s="110"/>
      <c r="AS67" s="110"/>
      <c r="AT67" s="110"/>
      <c r="AU67" s="110"/>
      <c r="AV67" s="110"/>
      <c r="AW67" s="110"/>
      <c r="AX67" s="110"/>
      <c r="AY67" s="110"/>
      <c r="AZ67" s="110"/>
      <c r="BA67" s="110"/>
      <c r="BB67" s="110"/>
      <c r="BC67" s="110"/>
      <c r="BD67" s="110"/>
      <c r="BE67" s="110"/>
      <c r="BF67" s="110"/>
      <c r="BG67" s="110"/>
      <c r="BH67" s="110"/>
      <c r="BI67" s="110"/>
      <c r="BJ67" s="110"/>
      <c r="BK67" s="110"/>
      <c r="BL67" s="110"/>
      <c r="BM67" s="110"/>
      <c r="BN67" s="110"/>
      <c r="BO67" s="110"/>
      <c r="BP67" s="110"/>
      <c r="BQ67" s="110"/>
      <c r="BR67" s="110"/>
      <c r="BS67" s="110"/>
      <c r="BT67" s="110"/>
      <c r="BU67" s="110"/>
      <c r="BV67" s="110"/>
      <c r="BW67" s="110"/>
      <c r="BX67" s="110"/>
      <c r="BY67" s="110"/>
      <c r="BZ67" s="110"/>
      <c r="CA67" s="110"/>
      <c r="CB67" s="110"/>
      <c r="CC67" s="110"/>
      <c r="CD67" s="110"/>
      <c r="CE67" s="110"/>
      <c r="CF67" s="110"/>
    </row>
    <row r="68" spans="1:84" s="45" customFormat="1" x14ac:dyDescent="0.25">
      <c r="A68" t="str">
        <f>Funktional!A67</f>
        <v>Hüttlingen</v>
      </c>
      <c r="B68" t="str">
        <f>Funktional!B67</f>
        <v>PSG</v>
      </c>
      <c r="C68" s="365">
        <v>150919.1</v>
      </c>
      <c r="D68" s="365">
        <v>546574.73</v>
      </c>
      <c r="E68" s="365">
        <v>50603.65</v>
      </c>
      <c r="F68" s="119">
        <f t="shared" si="20"/>
        <v>597178.38</v>
      </c>
      <c r="G68" s="43"/>
      <c r="H68" s="119">
        <f t="shared" si="17"/>
        <v>748097.48</v>
      </c>
      <c r="I68" s="377"/>
      <c r="J68" s="124">
        <f t="shared" si="21"/>
        <v>0.20173721210770554</v>
      </c>
      <c r="K68" s="42">
        <f t="shared" si="22"/>
        <v>0.79826278789229455</v>
      </c>
      <c r="L68" s="372">
        <f t="shared" si="15"/>
        <v>0.79826278789229455</v>
      </c>
      <c r="M68" s="42"/>
      <c r="N68" s="43"/>
      <c r="O68" s="44"/>
      <c r="P68" s="80"/>
      <c r="Q68" s="43"/>
      <c r="R68" s="43"/>
      <c r="S68" s="43"/>
      <c r="T68" s="43"/>
      <c r="U68" s="43"/>
      <c r="V68" s="43"/>
      <c r="W68" s="43"/>
      <c r="X68" s="43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  <c r="AO68" s="110"/>
      <c r="AP68" s="110"/>
      <c r="AQ68" s="110"/>
      <c r="AR68" s="110"/>
      <c r="AS68" s="110"/>
      <c r="AT68" s="110"/>
      <c r="AU68" s="110"/>
      <c r="AV68" s="110"/>
      <c r="AW68" s="110"/>
      <c r="AX68" s="110"/>
      <c r="AY68" s="110"/>
      <c r="AZ68" s="110"/>
      <c r="BA68" s="110"/>
      <c r="BB68" s="110"/>
      <c r="BC68" s="110"/>
      <c r="BD68" s="110"/>
      <c r="BE68" s="110"/>
      <c r="BF68" s="110"/>
      <c r="BG68" s="110"/>
      <c r="BH68" s="110"/>
      <c r="BI68" s="110"/>
      <c r="BJ68" s="110"/>
      <c r="BK68" s="110"/>
      <c r="BL68" s="110"/>
      <c r="BM68" s="110"/>
      <c r="BN68" s="110"/>
      <c r="BO68" s="110"/>
      <c r="BP68" s="110"/>
      <c r="BQ68" s="110"/>
      <c r="BR68" s="110"/>
      <c r="BS68" s="110"/>
      <c r="BT68" s="110"/>
      <c r="BU68" s="110"/>
      <c r="BV68" s="110"/>
      <c r="BW68" s="110"/>
      <c r="BX68" s="110"/>
      <c r="BY68" s="110"/>
      <c r="BZ68" s="110"/>
      <c r="CA68" s="110"/>
      <c r="CB68" s="110"/>
      <c r="CC68" s="110"/>
      <c r="CD68" s="110"/>
      <c r="CE68" s="110"/>
      <c r="CF68" s="110"/>
    </row>
    <row r="69" spans="1:84" s="45" customFormat="1" x14ac:dyDescent="0.25">
      <c r="A69" t="str">
        <f>Funktional!A68</f>
        <v>Hüttwilen</v>
      </c>
      <c r="B69" t="str">
        <f>Funktional!B68</f>
        <v>PSG</v>
      </c>
      <c r="C69" s="365">
        <v>69975.350000000006</v>
      </c>
      <c r="D69" s="365">
        <v>495641.9</v>
      </c>
      <c r="E69" s="365">
        <v>52877.7</v>
      </c>
      <c r="F69" s="119">
        <f t="shared" si="20"/>
        <v>548519.6</v>
      </c>
      <c r="G69" s="43"/>
      <c r="H69" s="119">
        <f t="shared" si="17"/>
        <v>618494.94999999995</v>
      </c>
      <c r="I69" s="377"/>
      <c r="J69" s="124">
        <f t="shared" si="21"/>
        <v>0.11313811050518684</v>
      </c>
      <c r="K69" s="42">
        <f t="shared" si="22"/>
        <v>0.88686188949481315</v>
      </c>
      <c r="L69" s="372">
        <f t="shared" si="15"/>
        <v>0.88686188949481315</v>
      </c>
      <c r="M69" s="42"/>
      <c r="N69" s="43"/>
      <c r="O69" s="44"/>
      <c r="P69" s="80"/>
      <c r="Q69" s="43"/>
      <c r="R69" s="43"/>
      <c r="S69" s="43"/>
      <c r="T69" s="43"/>
      <c r="U69" s="43"/>
      <c r="V69" s="43"/>
      <c r="W69" s="43"/>
      <c r="X69" s="43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  <c r="AO69" s="110"/>
      <c r="AP69" s="110"/>
      <c r="AQ69" s="110"/>
      <c r="AR69" s="110"/>
      <c r="AS69" s="110"/>
      <c r="AT69" s="110"/>
      <c r="AU69" s="110"/>
      <c r="AV69" s="110"/>
      <c r="AW69" s="110"/>
      <c r="AX69" s="110"/>
      <c r="AY69" s="110"/>
      <c r="AZ69" s="110"/>
      <c r="BA69" s="110"/>
      <c r="BB69" s="110"/>
      <c r="BC69" s="110"/>
      <c r="BD69" s="110"/>
      <c r="BE69" s="110"/>
      <c r="BF69" s="110"/>
      <c r="BG69" s="110"/>
      <c r="BH69" s="110"/>
      <c r="BI69" s="110"/>
      <c r="BJ69" s="110"/>
      <c r="BK69" s="110"/>
      <c r="BL69" s="110"/>
      <c r="BM69" s="110"/>
      <c r="BN69" s="110"/>
      <c r="BO69" s="110"/>
      <c r="BP69" s="110"/>
      <c r="BQ69" s="110"/>
      <c r="BR69" s="110"/>
      <c r="BS69" s="110"/>
      <c r="BT69" s="110"/>
      <c r="BU69" s="110"/>
      <c r="BV69" s="110"/>
      <c r="BW69" s="110"/>
      <c r="BX69" s="110"/>
      <c r="BY69" s="110"/>
      <c r="BZ69" s="110"/>
      <c r="CA69" s="110"/>
      <c r="CB69" s="110"/>
      <c r="CC69" s="110"/>
      <c r="CD69" s="110"/>
      <c r="CE69" s="110"/>
      <c r="CF69" s="110"/>
    </row>
    <row r="70" spans="1:84" s="45" customFormat="1" x14ac:dyDescent="0.25">
      <c r="A70" t="str">
        <f>Funktional!A69</f>
        <v>Illighausen</v>
      </c>
      <c r="B70" t="str">
        <f>Funktional!B69</f>
        <v>PSG</v>
      </c>
      <c r="C70" s="365">
        <v>0</v>
      </c>
      <c r="D70" s="365">
        <v>220616.69</v>
      </c>
      <c r="E70" s="365">
        <v>25828.95</v>
      </c>
      <c r="F70" s="119">
        <f t="shared" si="20"/>
        <v>246445.64</v>
      </c>
      <c r="G70" s="43"/>
      <c r="H70" s="119">
        <f t="shared" si="17"/>
        <v>246445.64</v>
      </c>
      <c r="I70" s="377">
        <f>IF((C70&lt;Funktional!M69),0,C70-Funktional!M69)</f>
        <v>0</v>
      </c>
      <c r="J70" s="124">
        <f t="shared" si="21"/>
        <v>0</v>
      </c>
      <c r="K70" s="42">
        <f t="shared" si="22"/>
        <v>1</v>
      </c>
      <c r="L70" s="372">
        <f t="shared" si="15"/>
        <v>1</v>
      </c>
      <c r="M70" s="42"/>
      <c r="N70" s="43"/>
      <c r="O70" s="44"/>
      <c r="P70" s="80"/>
      <c r="Q70" s="43"/>
      <c r="R70" s="43"/>
      <c r="S70" s="43"/>
      <c r="T70" s="43"/>
      <c r="U70" s="43"/>
      <c r="V70" s="43"/>
      <c r="W70" s="43"/>
      <c r="X70" s="43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  <c r="AO70" s="110"/>
      <c r="AP70" s="110"/>
      <c r="AQ70" s="110"/>
      <c r="AR70" s="110"/>
      <c r="AS70" s="110"/>
      <c r="AT70" s="110"/>
      <c r="AU70" s="110"/>
      <c r="AV70" s="110"/>
      <c r="AW70" s="110"/>
      <c r="AX70" s="110"/>
      <c r="AY70" s="110"/>
      <c r="AZ70" s="110"/>
      <c r="BA70" s="110"/>
      <c r="BB70" s="110"/>
      <c r="BC70" s="110"/>
      <c r="BD70" s="110"/>
      <c r="BE70" s="110"/>
      <c r="BF70" s="110"/>
      <c r="BG70" s="110"/>
      <c r="BH70" s="110"/>
      <c r="BI70" s="110"/>
      <c r="BJ70" s="110"/>
      <c r="BK70" s="110"/>
      <c r="BL70" s="110"/>
      <c r="BM70" s="110"/>
      <c r="BN70" s="110"/>
      <c r="BO70" s="110"/>
      <c r="BP70" s="110"/>
      <c r="BQ70" s="110"/>
      <c r="BR70" s="110"/>
      <c r="BS70" s="110"/>
      <c r="BT70" s="110"/>
      <c r="BU70" s="110"/>
      <c r="BV70" s="110"/>
      <c r="BW70" s="110"/>
      <c r="BX70" s="110"/>
      <c r="BY70" s="110"/>
      <c r="BZ70" s="110"/>
      <c r="CA70" s="110"/>
      <c r="CB70" s="110"/>
      <c r="CC70" s="110"/>
      <c r="CD70" s="110"/>
      <c r="CE70" s="110"/>
      <c r="CF70" s="110"/>
    </row>
    <row r="71" spans="1:84" s="45" customFormat="1" x14ac:dyDescent="0.25">
      <c r="A71" t="str">
        <f>Funktional!A70</f>
        <v>Istighofen</v>
      </c>
      <c r="B71" t="str">
        <f>Funktional!B70</f>
        <v>PSG</v>
      </c>
      <c r="C71" s="365">
        <v>112918.9</v>
      </c>
      <c r="D71" s="365">
        <v>399019.6</v>
      </c>
      <c r="E71" s="365">
        <v>55267.9</v>
      </c>
      <c r="F71" s="119">
        <f t="shared" si="20"/>
        <v>454287.5</v>
      </c>
      <c r="G71" s="43"/>
      <c r="H71" s="119">
        <f t="shared" si="17"/>
        <v>567206.40000000002</v>
      </c>
      <c r="I71" s="377"/>
      <c r="J71" s="124">
        <f t="shared" si="21"/>
        <v>0.19907903013788278</v>
      </c>
      <c r="K71" s="42">
        <f t="shared" si="22"/>
        <v>0.80092096986211714</v>
      </c>
      <c r="L71" s="372">
        <f t="shared" si="15"/>
        <v>0.80092096986211714</v>
      </c>
      <c r="M71" s="42"/>
      <c r="N71" s="43"/>
      <c r="O71" s="44"/>
      <c r="P71" s="80"/>
      <c r="Q71" s="43"/>
      <c r="R71" s="43"/>
      <c r="S71" s="43"/>
      <c r="T71" s="43"/>
      <c r="U71" s="43"/>
      <c r="V71" s="43"/>
      <c r="W71" s="43"/>
      <c r="X71" s="43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  <c r="AO71" s="110"/>
      <c r="AP71" s="110"/>
      <c r="AQ71" s="110"/>
      <c r="AR71" s="110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D71" s="110"/>
      <c r="BE71" s="110"/>
      <c r="BF71" s="110"/>
      <c r="BG71" s="110"/>
      <c r="BH71" s="110"/>
      <c r="BI71" s="110"/>
      <c r="BJ71" s="110"/>
      <c r="BK71" s="110"/>
      <c r="BL71" s="110"/>
      <c r="BM71" s="110"/>
      <c r="BN71" s="110"/>
      <c r="BO71" s="110"/>
      <c r="BP71" s="110"/>
      <c r="BQ71" s="110"/>
      <c r="BR71" s="110"/>
      <c r="BS71" s="110"/>
      <c r="BT71" s="110"/>
      <c r="BU71" s="110"/>
      <c r="BV71" s="110"/>
      <c r="BW71" s="110"/>
      <c r="BX71" s="110"/>
      <c r="BY71" s="110"/>
      <c r="BZ71" s="110"/>
      <c r="CA71" s="110"/>
      <c r="CB71" s="110"/>
      <c r="CC71" s="110"/>
      <c r="CD71" s="110"/>
      <c r="CE71" s="110"/>
      <c r="CF71" s="110"/>
    </row>
    <row r="72" spans="1:84" s="45" customFormat="1" x14ac:dyDescent="0.25">
      <c r="A72" t="str">
        <f>Funktional!A71</f>
        <v>Kaltenbach</v>
      </c>
      <c r="B72" t="str">
        <f>Funktional!B71</f>
        <v>PSG</v>
      </c>
      <c r="C72" s="365">
        <v>103646.1</v>
      </c>
      <c r="D72" s="365">
        <v>403630.85</v>
      </c>
      <c r="E72" s="365">
        <v>53239.5</v>
      </c>
      <c r="F72" s="119">
        <f t="shared" si="20"/>
        <v>456870.35</v>
      </c>
      <c r="G72" s="43"/>
      <c r="H72" s="119">
        <f t="shared" si="17"/>
        <v>560516.44999999995</v>
      </c>
      <c r="I72" s="377"/>
      <c r="J72" s="124">
        <f t="shared" si="21"/>
        <v>0.18491178983239479</v>
      </c>
      <c r="K72" s="42">
        <f t="shared" si="22"/>
        <v>0.81508821016760524</v>
      </c>
      <c r="L72" s="372">
        <f t="shared" si="15"/>
        <v>0.81508821016760524</v>
      </c>
      <c r="M72" s="42"/>
      <c r="N72" s="43"/>
      <c r="O72" s="44"/>
      <c r="P72" s="80"/>
      <c r="Q72" s="43"/>
      <c r="R72" s="43"/>
      <c r="S72" s="43"/>
      <c r="T72" s="43"/>
      <c r="U72" s="43"/>
      <c r="V72" s="43"/>
      <c r="W72" s="43"/>
      <c r="X72" s="43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  <c r="AO72" s="110"/>
      <c r="AP72" s="110"/>
      <c r="AQ72" s="110"/>
      <c r="AR72" s="110"/>
      <c r="AS72" s="110"/>
      <c r="AT72" s="110"/>
      <c r="AU72" s="110"/>
      <c r="AV72" s="110"/>
      <c r="AW72" s="110"/>
      <c r="AX72" s="110"/>
      <c r="AY72" s="110"/>
      <c r="AZ72" s="110"/>
      <c r="BA72" s="110"/>
      <c r="BB72" s="110"/>
      <c r="BC72" s="110"/>
      <c r="BD72" s="110"/>
      <c r="BE72" s="110"/>
      <c r="BF72" s="110"/>
      <c r="BG72" s="110"/>
      <c r="BH72" s="110"/>
      <c r="BI72" s="110"/>
      <c r="BJ72" s="110"/>
      <c r="BK72" s="110"/>
      <c r="BL72" s="110"/>
      <c r="BM72" s="110"/>
      <c r="BN72" s="110"/>
      <c r="BO72" s="110"/>
      <c r="BP72" s="110"/>
      <c r="BQ72" s="110"/>
      <c r="BR72" s="110"/>
      <c r="BS72" s="110"/>
      <c r="BT72" s="110"/>
      <c r="BU72" s="110"/>
      <c r="BV72" s="110"/>
      <c r="BW72" s="110"/>
      <c r="BX72" s="110"/>
      <c r="BY72" s="110"/>
      <c r="BZ72" s="110"/>
      <c r="CA72" s="110"/>
      <c r="CB72" s="110"/>
      <c r="CC72" s="110"/>
      <c r="CD72" s="110"/>
      <c r="CE72" s="110"/>
      <c r="CF72" s="110"/>
    </row>
    <row r="73" spans="1:84" s="45" customFormat="1" x14ac:dyDescent="0.25">
      <c r="A73" t="str">
        <f>Funktional!A72</f>
        <v>Kesswil</v>
      </c>
      <c r="B73" t="str">
        <f>Funktional!B72</f>
        <v>PSG</v>
      </c>
      <c r="C73" s="365">
        <v>100149.85</v>
      </c>
      <c r="D73" s="365">
        <v>601152.93000000005</v>
      </c>
      <c r="E73" s="365">
        <v>47045.8</v>
      </c>
      <c r="F73" s="119">
        <f t="shared" ref="F73:F88" si="23">D73+E73</f>
        <v>648198.7300000001</v>
      </c>
      <c r="G73" s="43"/>
      <c r="H73" s="119">
        <f t="shared" si="17"/>
        <v>748348.58000000007</v>
      </c>
      <c r="I73" s="377"/>
      <c r="J73" s="124">
        <f t="shared" ref="J73:J88" si="24">C73/H73</f>
        <v>0.13382780789134388</v>
      </c>
      <c r="K73" s="42">
        <f t="shared" ref="K73:K88" si="25">F73/H73</f>
        <v>0.86617219210865615</v>
      </c>
      <c r="L73" s="372">
        <f t="shared" si="15"/>
        <v>0.86617219210865615</v>
      </c>
      <c r="M73" s="42"/>
      <c r="N73" s="43"/>
      <c r="O73" s="44"/>
      <c r="P73" s="80"/>
      <c r="Q73" s="43"/>
      <c r="R73" s="43"/>
      <c r="S73" s="43"/>
      <c r="T73" s="43"/>
      <c r="U73" s="43"/>
      <c r="V73" s="43"/>
      <c r="W73" s="43"/>
      <c r="X73" s="43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  <c r="AO73" s="110"/>
      <c r="AP73" s="110"/>
      <c r="AQ73" s="110"/>
      <c r="AR73" s="110"/>
      <c r="AS73" s="110"/>
      <c r="AT73" s="110"/>
      <c r="AU73" s="110"/>
      <c r="AV73" s="110"/>
      <c r="AW73" s="110"/>
      <c r="AX73" s="110"/>
      <c r="AY73" s="110"/>
      <c r="AZ73" s="110"/>
      <c r="BA73" s="110"/>
      <c r="BB73" s="110"/>
      <c r="BC73" s="110"/>
      <c r="BD73" s="110"/>
      <c r="BE73" s="110"/>
      <c r="BF73" s="110"/>
      <c r="BG73" s="110"/>
      <c r="BH73" s="110"/>
      <c r="BI73" s="110"/>
      <c r="BJ73" s="110"/>
      <c r="BK73" s="110"/>
      <c r="BL73" s="110"/>
      <c r="BM73" s="110"/>
      <c r="BN73" s="110"/>
      <c r="BO73" s="110"/>
      <c r="BP73" s="110"/>
      <c r="BQ73" s="110"/>
      <c r="BR73" s="110"/>
      <c r="BS73" s="110"/>
      <c r="BT73" s="110"/>
      <c r="BU73" s="110"/>
      <c r="BV73" s="110"/>
      <c r="BW73" s="110"/>
      <c r="BX73" s="110"/>
      <c r="BY73" s="110"/>
      <c r="BZ73" s="110"/>
      <c r="CA73" s="110"/>
      <c r="CB73" s="110"/>
      <c r="CC73" s="110"/>
      <c r="CD73" s="110"/>
      <c r="CE73" s="110"/>
      <c r="CF73" s="110"/>
    </row>
    <row r="74" spans="1:84" s="45" customFormat="1" x14ac:dyDescent="0.25">
      <c r="A74" t="str">
        <f>Funktional!A73</f>
        <v>Kreuzlingen</v>
      </c>
      <c r="B74" t="str">
        <f>Funktional!B73</f>
        <v>PSG</v>
      </c>
      <c r="C74" s="365">
        <v>1407894.6</v>
      </c>
      <c r="D74" s="365">
        <v>7522718.4400000004</v>
      </c>
      <c r="E74" s="365">
        <v>537466.1</v>
      </c>
      <c r="F74" s="119">
        <f t="shared" si="23"/>
        <v>8060184.54</v>
      </c>
      <c r="G74" s="43"/>
      <c r="H74" s="119">
        <f t="shared" ref="H74:H89" si="26">C74+F74+I74</f>
        <v>9468079.1400000006</v>
      </c>
      <c r="I74" s="377"/>
      <c r="J74" s="124">
        <f t="shared" si="24"/>
        <v>0.14869907392852655</v>
      </c>
      <c r="K74" s="42">
        <f t="shared" si="25"/>
        <v>0.85130092607147345</v>
      </c>
      <c r="L74" s="372">
        <f t="shared" si="15"/>
        <v>0.85130092607147345</v>
      </c>
      <c r="M74" s="42"/>
      <c r="N74" s="43"/>
      <c r="O74" s="44"/>
      <c r="P74" s="80"/>
      <c r="Q74" s="43"/>
      <c r="R74" s="43"/>
      <c r="S74" s="43"/>
      <c r="T74" s="43"/>
      <c r="U74" s="43"/>
      <c r="V74" s="43"/>
      <c r="W74" s="43"/>
      <c r="X74" s="43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110"/>
      <c r="AS74" s="110"/>
      <c r="AT74" s="110"/>
      <c r="AU74" s="110"/>
      <c r="AV74" s="110"/>
      <c r="AW74" s="110"/>
      <c r="AX74" s="110"/>
      <c r="AY74" s="110"/>
      <c r="AZ74" s="110"/>
      <c r="BA74" s="110"/>
      <c r="BB74" s="110"/>
      <c r="BC74" s="110"/>
      <c r="BD74" s="110"/>
      <c r="BE74" s="110"/>
      <c r="BF74" s="110"/>
      <c r="BG74" s="110"/>
      <c r="BH74" s="110"/>
      <c r="BI74" s="110"/>
      <c r="BJ74" s="110"/>
      <c r="BK74" s="110"/>
      <c r="BL74" s="110"/>
      <c r="BM74" s="110"/>
      <c r="BN74" s="110"/>
      <c r="BO74" s="110"/>
      <c r="BP74" s="110"/>
      <c r="BQ74" s="110"/>
      <c r="BR74" s="110"/>
      <c r="BS74" s="110"/>
      <c r="BT74" s="110"/>
      <c r="BU74" s="110"/>
      <c r="BV74" s="110"/>
      <c r="BW74" s="110"/>
      <c r="BX74" s="110"/>
      <c r="BY74" s="110"/>
      <c r="BZ74" s="110"/>
      <c r="CA74" s="110"/>
      <c r="CB74" s="110"/>
      <c r="CC74" s="110"/>
      <c r="CD74" s="110"/>
      <c r="CE74" s="110"/>
      <c r="CF74" s="110"/>
    </row>
    <row r="75" spans="1:84" s="45" customFormat="1" x14ac:dyDescent="0.25">
      <c r="A75" t="str">
        <f>Funktional!A74</f>
        <v>Landschlacht</v>
      </c>
      <c r="B75" t="str">
        <f>Funktional!B74</f>
        <v>PSG</v>
      </c>
      <c r="C75" s="365">
        <v>130280.45</v>
      </c>
      <c r="D75" s="365">
        <v>535818.44999999995</v>
      </c>
      <c r="E75" s="365">
        <v>52276.3</v>
      </c>
      <c r="F75" s="119">
        <f t="shared" si="23"/>
        <v>588094.75</v>
      </c>
      <c r="G75" s="43"/>
      <c r="H75" s="119">
        <f t="shared" si="26"/>
        <v>718375.2</v>
      </c>
      <c r="I75" s="377"/>
      <c r="J75" s="124">
        <f t="shared" si="24"/>
        <v>0.18135432570612126</v>
      </c>
      <c r="K75" s="42">
        <f t="shared" si="25"/>
        <v>0.8186456742938788</v>
      </c>
      <c r="L75" s="372">
        <f t="shared" si="15"/>
        <v>0.8186456742938788</v>
      </c>
      <c r="M75" s="42"/>
      <c r="N75" s="43"/>
      <c r="O75" s="44"/>
      <c r="P75" s="80"/>
      <c r="Q75" s="43"/>
      <c r="R75" s="43"/>
      <c r="S75" s="43"/>
      <c r="T75" s="43"/>
      <c r="U75" s="43"/>
      <c r="V75" s="43"/>
      <c r="W75" s="43"/>
      <c r="X75" s="43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  <c r="AU75" s="110"/>
      <c r="AV75" s="110"/>
      <c r="AW75" s="110"/>
      <c r="AX75" s="110"/>
      <c r="AY75" s="110"/>
      <c r="AZ75" s="110"/>
      <c r="BA75" s="110"/>
      <c r="BB75" s="110"/>
      <c r="BC75" s="110"/>
      <c r="BD75" s="110"/>
      <c r="BE75" s="110"/>
      <c r="BF75" s="110"/>
      <c r="BG75" s="110"/>
      <c r="BH75" s="110"/>
      <c r="BI75" s="110"/>
      <c r="BJ75" s="110"/>
      <c r="BK75" s="110"/>
      <c r="BL75" s="110"/>
      <c r="BM75" s="110"/>
      <c r="BN75" s="110"/>
      <c r="BO75" s="110"/>
      <c r="BP75" s="110"/>
      <c r="BQ75" s="110"/>
      <c r="BR75" s="110"/>
      <c r="BS75" s="110"/>
      <c r="BT75" s="110"/>
      <c r="BU75" s="110"/>
      <c r="BV75" s="110"/>
      <c r="BW75" s="110"/>
      <c r="BX75" s="110"/>
      <c r="BY75" s="110"/>
      <c r="BZ75" s="110"/>
      <c r="CA75" s="110"/>
      <c r="CB75" s="110"/>
      <c r="CC75" s="110"/>
      <c r="CD75" s="110"/>
      <c r="CE75" s="110"/>
      <c r="CF75" s="110"/>
    </row>
    <row r="76" spans="1:84" s="45" customFormat="1" x14ac:dyDescent="0.25">
      <c r="A76" t="str">
        <f>Funktional!A75</f>
        <v>Lanterswil</v>
      </c>
      <c r="B76" t="str">
        <f>Funktional!B75</f>
        <v>PSG</v>
      </c>
      <c r="C76" s="365">
        <v>23305</v>
      </c>
      <c r="D76" s="365">
        <v>179063.7</v>
      </c>
      <c r="E76" s="365">
        <v>12364</v>
      </c>
      <c r="F76" s="119">
        <f t="shared" si="23"/>
        <v>191427.7</v>
      </c>
      <c r="G76" s="43"/>
      <c r="H76" s="119">
        <f t="shared" si="26"/>
        <v>214732.7</v>
      </c>
      <c r="I76" s="377">
        <f>IF((C76&lt;Funktional!M75),0,C76-Funktional!M75)</f>
        <v>0</v>
      </c>
      <c r="J76" s="124">
        <f t="shared" si="24"/>
        <v>0.10853027973848417</v>
      </c>
      <c r="K76" s="42">
        <f t="shared" si="25"/>
        <v>0.89146972026151583</v>
      </c>
      <c r="L76" s="372">
        <v>1</v>
      </c>
      <c r="M76" s="42"/>
      <c r="N76" s="43"/>
      <c r="O76" s="44"/>
      <c r="P76" s="80"/>
      <c r="Q76" s="43"/>
      <c r="R76" s="43"/>
      <c r="S76" s="43"/>
      <c r="T76" s="43"/>
      <c r="U76" s="43"/>
      <c r="V76" s="43"/>
      <c r="W76" s="43"/>
      <c r="X76" s="43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  <c r="AO76" s="110"/>
      <c r="AP76" s="110"/>
      <c r="AQ76" s="110"/>
      <c r="AR76" s="110"/>
      <c r="AS76" s="110"/>
      <c r="AT76" s="110"/>
      <c r="AU76" s="110"/>
      <c r="AV76" s="110"/>
      <c r="AW76" s="110"/>
      <c r="AX76" s="110"/>
      <c r="AY76" s="110"/>
      <c r="AZ76" s="110"/>
      <c r="BA76" s="110"/>
      <c r="BB76" s="110"/>
      <c r="BC76" s="110"/>
      <c r="BD76" s="110"/>
      <c r="BE76" s="110"/>
      <c r="BF76" s="110"/>
      <c r="BG76" s="110"/>
      <c r="BH76" s="110"/>
      <c r="BI76" s="110"/>
      <c r="BJ76" s="110"/>
      <c r="BK76" s="110"/>
      <c r="BL76" s="110"/>
      <c r="BM76" s="110"/>
      <c r="BN76" s="110"/>
      <c r="BO76" s="110"/>
      <c r="BP76" s="110"/>
      <c r="BQ76" s="110"/>
      <c r="BR76" s="110"/>
      <c r="BS76" s="110"/>
      <c r="BT76" s="110"/>
      <c r="BU76" s="110"/>
      <c r="BV76" s="110"/>
      <c r="BW76" s="110"/>
      <c r="BX76" s="110"/>
      <c r="BY76" s="110"/>
      <c r="BZ76" s="110"/>
      <c r="CA76" s="110"/>
      <c r="CB76" s="110"/>
      <c r="CC76" s="110"/>
      <c r="CD76" s="110"/>
      <c r="CE76" s="110"/>
      <c r="CF76" s="110"/>
    </row>
    <row r="77" spans="1:84" s="45" customFormat="1" x14ac:dyDescent="0.25">
      <c r="A77" t="str">
        <f>Funktional!A76</f>
        <v>Leimbach</v>
      </c>
      <c r="B77" t="str">
        <f>Funktional!B76</f>
        <v>PSG</v>
      </c>
      <c r="C77" s="365">
        <v>62981.15</v>
      </c>
      <c r="D77" s="365">
        <v>372478.55</v>
      </c>
      <c r="E77" s="365">
        <v>39512.050000000003</v>
      </c>
      <c r="F77" s="119">
        <f t="shared" si="23"/>
        <v>411990.6</v>
      </c>
      <c r="G77" s="43"/>
      <c r="H77" s="119">
        <f t="shared" si="26"/>
        <v>474971.75</v>
      </c>
      <c r="I77" s="377"/>
      <c r="J77" s="124">
        <f t="shared" si="24"/>
        <v>0.13259978093433977</v>
      </c>
      <c r="K77" s="42">
        <f t="shared" si="25"/>
        <v>0.86740021906566023</v>
      </c>
      <c r="L77" s="372">
        <f t="shared" ref="L77:L94" si="27">K77</f>
        <v>0.86740021906566023</v>
      </c>
      <c r="M77" s="42"/>
      <c r="N77" s="43"/>
      <c r="O77" s="44"/>
      <c r="P77" s="80"/>
      <c r="Q77" s="43"/>
      <c r="R77" s="43"/>
      <c r="S77" s="43"/>
      <c r="T77" s="43"/>
      <c r="U77" s="43"/>
      <c r="V77" s="43"/>
      <c r="W77" s="43"/>
      <c r="X77" s="43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  <c r="AO77" s="110"/>
      <c r="AP77" s="110"/>
      <c r="AQ77" s="110"/>
      <c r="AR77" s="110"/>
      <c r="AS77" s="110"/>
      <c r="AT77" s="110"/>
      <c r="AU77" s="110"/>
      <c r="AV77" s="110"/>
      <c r="AW77" s="110"/>
      <c r="AX77" s="110"/>
      <c r="AY77" s="110"/>
      <c r="AZ77" s="110"/>
      <c r="BA77" s="110"/>
      <c r="BB77" s="110"/>
      <c r="BC77" s="110"/>
      <c r="BD77" s="110"/>
      <c r="BE77" s="110"/>
      <c r="BF77" s="110"/>
      <c r="BG77" s="110"/>
      <c r="BH77" s="110"/>
      <c r="BI77" s="110"/>
      <c r="BJ77" s="110"/>
      <c r="BK77" s="110"/>
      <c r="BL77" s="110"/>
      <c r="BM77" s="110"/>
      <c r="BN77" s="110"/>
      <c r="BO77" s="110"/>
      <c r="BP77" s="110"/>
      <c r="BQ77" s="110"/>
      <c r="BR77" s="110"/>
      <c r="BS77" s="110"/>
      <c r="BT77" s="110"/>
      <c r="BU77" s="110"/>
      <c r="BV77" s="110"/>
      <c r="BW77" s="110"/>
      <c r="BX77" s="110"/>
      <c r="BY77" s="110"/>
      <c r="BZ77" s="110"/>
      <c r="CA77" s="110"/>
      <c r="CB77" s="110"/>
      <c r="CC77" s="110"/>
      <c r="CD77" s="110"/>
      <c r="CE77" s="110"/>
      <c r="CF77" s="110"/>
    </row>
    <row r="78" spans="1:84" s="45" customFormat="1" x14ac:dyDescent="0.25">
      <c r="A78" t="str">
        <f>Funktional!A77</f>
        <v>Lommis</v>
      </c>
      <c r="B78" t="str">
        <f>Funktional!B77</f>
        <v>PSG</v>
      </c>
      <c r="C78" s="365">
        <v>155340.20000000001</v>
      </c>
      <c r="D78" s="365">
        <v>590769.69999999995</v>
      </c>
      <c r="E78" s="365">
        <v>78369.95</v>
      </c>
      <c r="F78" s="119">
        <f t="shared" si="23"/>
        <v>669139.64999999991</v>
      </c>
      <c r="G78" s="43"/>
      <c r="H78" s="119">
        <f t="shared" si="26"/>
        <v>824479.84999999986</v>
      </c>
      <c r="I78" s="377"/>
      <c r="J78" s="124">
        <f t="shared" si="24"/>
        <v>0.18840994112833689</v>
      </c>
      <c r="K78" s="42">
        <f>F78/H78</f>
        <v>0.81159005887166313</v>
      </c>
      <c r="L78" s="372">
        <f t="shared" si="27"/>
        <v>0.81159005887166313</v>
      </c>
      <c r="M78" s="42"/>
      <c r="N78" s="43"/>
      <c r="O78" s="44"/>
      <c r="P78" s="80"/>
      <c r="Q78" s="43"/>
      <c r="R78" s="43"/>
      <c r="S78" s="43"/>
      <c r="T78" s="43"/>
      <c r="U78" s="43"/>
      <c r="V78" s="43"/>
      <c r="W78" s="43"/>
      <c r="X78" s="43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/>
      <c r="BJ78" s="110"/>
      <c r="BK78" s="110"/>
      <c r="BL78" s="110"/>
      <c r="BM78" s="110"/>
      <c r="BN78" s="110"/>
      <c r="BO78" s="110"/>
      <c r="BP78" s="110"/>
      <c r="BQ78" s="110"/>
      <c r="BR78" s="110"/>
      <c r="BS78" s="110"/>
      <c r="BT78" s="110"/>
      <c r="BU78" s="110"/>
      <c r="BV78" s="110"/>
      <c r="BW78" s="110"/>
      <c r="BX78" s="110"/>
      <c r="BY78" s="110"/>
      <c r="BZ78" s="110"/>
      <c r="CA78" s="110"/>
      <c r="CB78" s="110"/>
      <c r="CC78" s="110"/>
      <c r="CD78" s="110"/>
      <c r="CE78" s="110"/>
      <c r="CF78" s="110"/>
    </row>
    <row r="79" spans="1:84" s="45" customFormat="1" x14ac:dyDescent="0.25">
      <c r="A79" t="str">
        <f>Funktional!A78</f>
        <v>Mammern</v>
      </c>
      <c r="B79" t="str">
        <f>Funktional!B78</f>
        <v>PSG</v>
      </c>
      <c r="C79" s="365">
        <v>76585.25</v>
      </c>
      <c r="D79" s="365">
        <v>317564.7</v>
      </c>
      <c r="E79" s="365">
        <v>29655.85</v>
      </c>
      <c r="F79" s="119">
        <f t="shared" si="23"/>
        <v>347220.55</v>
      </c>
      <c r="G79" s="43"/>
      <c r="H79" s="119">
        <f t="shared" si="26"/>
        <v>423805.8</v>
      </c>
      <c r="I79" s="377"/>
      <c r="J79" s="124">
        <f t="shared" si="24"/>
        <v>0.18070835745994981</v>
      </c>
      <c r="K79" s="42">
        <f t="shared" si="25"/>
        <v>0.81929164254005016</v>
      </c>
      <c r="L79" s="372">
        <f t="shared" si="27"/>
        <v>0.81929164254005016</v>
      </c>
      <c r="M79" s="42"/>
      <c r="N79" s="43"/>
      <c r="O79" s="44"/>
      <c r="P79" s="80"/>
      <c r="Q79" s="43"/>
      <c r="R79" s="43"/>
      <c r="S79" s="43"/>
      <c r="T79" s="43"/>
      <c r="U79" s="43"/>
      <c r="V79" s="43"/>
      <c r="W79" s="43"/>
      <c r="X79" s="43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  <c r="AO79" s="110"/>
      <c r="AP79" s="110"/>
      <c r="AQ79" s="110"/>
      <c r="AR79" s="110"/>
      <c r="AS79" s="110"/>
      <c r="AT79" s="110"/>
      <c r="AU79" s="110"/>
      <c r="AV79" s="110"/>
      <c r="AW79" s="110"/>
      <c r="AX79" s="110"/>
      <c r="AY79" s="110"/>
      <c r="AZ79" s="110"/>
      <c r="BA79" s="110"/>
      <c r="BB79" s="110"/>
      <c r="BC79" s="110"/>
      <c r="BD79" s="110"/>
      <c r="BE79" s="110"/>
      <c r="BF79" s="110"/>
      <c r="BG79" s="110"/>
      <c r="BH79" s="110"/>
      <c r="BI79" s="110"/>
      <c r="BJ79" s="110"/>
      <c r="BK79" s="110"/>
      <c r="BL79" s="110"/>
      <c r="BM79" s="110"/>
      <c r="BN79" s="110"/>
      <c r="BO79" s="110"/>
      <c r="BP79" s="110"/>
      <c r="BQ79" s="110"/>
      <c r="BR79" s="110"/>
      <c r="BS79" s="110"/>
      <c r="BT79" s="110"/>
      <c r="BU79" s="110"/>
      <c r="BV79" s="110"/>
      <c r="BW79" s="110"/>
      <c r="BX79" s="110"/>
      <c r="BY79" s="110"/>
      <c r="BZ79" s="110"/>
      <c r="CA79" s="110"/>
      <c r="CB79" s="110"/>
      <c r="CC79" s="110"/>
      <c r="CD79" s="110"/>
      <c r="CE79" s="110"/>
      <c r="CF79" s="110"/>
    </row>
    <row r="80" spans="1:84" s="45" customFormat="1" x14ac:dyDescent="0.25">
      <c r="A80" t="str">
        <f>Funktional!A79</f>
        <v>Märstetten</v>
      </c>
      <c r="B80" t="str">
        <f>Funktional!B79</f>
        <v>PSG</v>
      </c>
      <c r="C80" s="365">
        <v>160135.4</v>
      </c>
      <c r="D80" s="365">
        <v>1218676.8</v>
      </c>
      <c r="E80" s="365">
        <v>84098.25</v>
      </c>
      <c r="F80" s="119">
        <f t="shared" si="23"/>
        <v>1302775.05</v>
      </c>
      <c r="G80" s="43"/>
      <c r="H80" s="119">
        <f t="shared" si="26"/>
        <v>1462910.45</v>
      </c>
      <c r="I80" s="377"/>
      <c r="J80" s="124">
        <f t="shared" si="24"/>
        <v>0.10946356969423521</v>
      </c>
      <c r="K80" s="42">
        <f t="shared" si="25"/>
        <v>0.89053643030576479</v>
      </c>
      <c r="L80" s="372">
        <f t="shared" si="27"/>
        <v>0.89053643030576479</v>
      </c>
      <c r="M80" s="42"/>
      <c r="N80" s="43"/>
      <c r="O80" s="44"/>
      <c r="P80" s="80"/>
      <c r="Q80" s="43"/>
      <c r="R80" s="43"/>
      <c r="S80" s="43"/>
      <c r="T80" s="43"/>
      <c r="U80" s="43"/>
      <c r="V80" s="43"/>
      <c r="W80" s="43"/>
      <c r="X80" s="43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  <c r="AO80" s="110"/>
      <c r="AP80" s="110"/>
      <c r="AQ80" s="110"/>
      <c r="AR80" s="110"/>
      <c r="AS80" s="110"/>
      <c r="AT80" s="110"/>
      <c r="AU80" s="110"/>
      <c r="AV80" s="110"/>
      <c r="AW80" s="110"/>
      <c r="AX80" s="110"/>
      <c r="AY80" s="110"/>
      <c r="AZ80" s="110"/>
      <c r="BA80" s="110"/>
      <c r="BB80" s="110"/>
      <c r="BC80" s="110"/>
      <c r="BD80" s="110"/>
      <c r="BE80" s="110"/>
      <c r="BF80" s="110"/>
      <c r="BG80" s="110"/>
      <c r="BH80" s="110"/>
      <c r="BI80" s="110"/>
      <c r="BJ80" s="110"/>
      <c r="BK80" s="110"/>
      <c r="BL80" s="110"/>
      <c r="BM80" s="110"/>
      <c r="BN80" s="110"/>
      <c r="BO80" s="110"/>
      <c r="BP80" s="110"/>
      <c r="BQ80" s="110"/>
      <c r="BR80" s="110"/>
      <c r="BS80" s="110"/>
      <c r="BT80" s="110"/>
      <c r="BU80" s="110"/>
      <c r="BV80" s="110"/>
      <c r="BW80" s="110"/>
      <c r="BX80" s="110"/>
      <c r="BY80" s="110"/>
      <c r="BZ80" s="110"/>
      <c r="CA80" s="110"/>
      <c r="CB80" s="110"/>
      <c r="CC80" s="110"/>
      <c r="CD80" s="110"/>
      <c r="CE80" s="110"/>
      <c r="CF80" s="110"/>
    </row>
    <row r="81" spans="1:84" s="45" customFormat="1" x14ac:dyDescent="0.25">
      <c r="A81" t="str">
        <f>Funktional!A80</f>
        <v>Märwil</v>
      </c>
      <c r="B81" t="str">
        <f>Funktional!B80</f>
        <v>PSG</v>
      </c>
      <c r="C81" s="365">
        <v>207482.6</v>
      </c>
      <c r="D81" s="365">
        <v>469068.15</v>
      </c>
      <c r="E81" s="365">
        <v>60362.7</v>
      </c>
      <c r="F81" s="119">
        <f t="shared" si="23"/>
        <v>529430.85</v>
      </c>
      <c r="G81" s="43"/>
      <c r="H81" s="119">
        <f t="shared" si="26"/>
        <v>736913.45</v>
      </c>
      <c r="I81" s="377"/>
      <c r="J81" s="124">
        <f t="shared" si="24"/>
        <v>0.28155626688588736</v>
      </c>
      <c r="K81" s="42">
        <f t="shared" si="25"/>
        <v>0.71844373311411269</v>
      </c>
      <c r="L81" s="372">
        <f t="shared" si="27"/>
        <v>0.71844373311411269</v>
      </c>
      <c r="M81" s="42"/>
      <c r="N81" s="43"/>
      <c r="O81" s="44"/>
      <c r="P81" s="80"/>
      <c r="Q81" s="43"/>
      <c r="R81" s="43"/>
      <c r="S81" s="43"/>
      <c r="T81" s="43"/>
      <c r="U81" s="43"/>
      <c r="V81" s="43"/>
      <c r="W81" s="43"/>
      <c r="X81" s="43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  <c r="AO81" s="110"/>
      <c r="AP81" s="110"/>
      <c r="AQ81" s="110"/>
      <c r="AR81" s="110"/>
      <c r="AS81" s="110"/>
      <c r="AT81" s="110"/>
      <c r="AU81" s="110"/>
      <c r="AV81" s="110"/>
      <c r="AW81" s="110"/>
      <c r="AX81" s="110"/>
      <c r="AY81" s="110"/>
      <c r="AZ81" s="110"/>
      <c r="BA81" s="110"/>
      <c r="BB81" s="110"/>
      <c r="BC81" s="110"/>
      <c r="BD81" s="110"/>
      <c r="BE81" s="110"/>
      <c r="BF81" s="110"/>
      <c r="BG81" s="110"/>
      <c r="BH81" s="110"/>
      <c r="BI81" s="110"/>
      <c r="BJ81" s="110"/>
      <c r="BK81" s="110"/>
      <c r="BL81" s="110"/>
      <c r="BM81" s="110"/>
      <c r="BN81" s="110"/>
      <c r="BO81" s="110"/>
      <c r="BP81" s="110"/>
      <c r="BQ81" s="110"/>
      <c r="BR81" s="110"/>
      <c r="BS81" s="110"/>
      <c r="BT81" s="110"/>
      <c r="BU81" s="110"/>
      <c r="BV81" s="110"/>
      <c r="BW81" s="110"/>
      <c r="BX81" s="110"/>
      <c r="BY81" s="110"/>
      <c r="BZ81" s="110"/>
      <c r="CA81" s="110"/>
      <c r="CB81" s="110"/>
      <c r="CC81" s="110"/>
      <c r="CD81" s="110"/>
      <c r="CE81" s="110"/>
      <c r="CF81" s="110"/>
    </row>
    <row r="82" spans="1:84" s="45" customFormat="1" x14ac:dyDescent="0.25">
      <c r="A82" t="str">
        <f>Funktional!A81</f>
        <v>Mattwil-Birwinken-Happerswil</v>
      </c>
      <c r="B82" t="str">
        <f>Funktional!B81</f>
        <v>PSG</v>
      </c>
      <c r="C82" s="365">
        <v>68657.100000000006</v>
      </c>
      <c r="D82" s="365">
        <v>509295.1</v>
      </c>
      <c r="E82" s="365">
        <v>50641.9</v>
      </c>
      <c r="F82" s="119">
        <f t="shared" si="23"/>
        <v>559937</v>
      </c>
      <c r="G82" s="43"/>
      <c r="H82" s="119">
        <f t="shared" si="26"/>
        <v>628594.1</v>
      </c>
      <c r="I82" s="377"/>
      <c r="J82" s="124">
        <f t="shared" si="24"/>
        <v>0.10922326506087157</v>
      </c>
      <c r="K82" s="42">
        <f t="shared" si="25"/>
        <v>0.89077673493912846</v>
      </c>
      <c r="L82" s="372">
        <f t="shared" si="27"/>
        <v>0.89077673493912846</v>
      </c>
      <c r="M82" s="42"/>
      <c r="N82" s="43"/>
      <c r="O82" s="44"/>
      <c r="P82" s="80"/>
      <c r="Q82" s="43"/>
      <c r="R82" s="43"/>
      <c r="S82" s="43"/>
      <c r="T82" s="43"/>
      <c r="U82" s="43"/>
      <c r="V82" s="43"/>
      <c r="W82" s="43"/>
      <c r="X82" s="43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  <c r="AO82" s="110"/>
      <c r="AP82" s="110"/>
      <c r="AQ82" s="110"/>
      <c r="AR82" s="110"/>
      <c r="AS82" s="110"/>
      <c r="AT82" s="110"/>
      <c r="AU82" s="110"/>
      <c r="AV82" s="110"/>
      <c r="AW82" s="110"/>
      <c r="AX82" s="110"/>
      <c r="AY82" s="110"/>
      <c r="AZ82" s="110"/>
      <c r="BA82" s="110"/>
      <c r="BB82" s="110"/>
      <c r="BC82" s="110"/>
      <c r="BD82" s="110"/>
      <c r="BE82" s="110"/>
      <c r="BF82" s="110"/>
      <c r="BG82" s="110"/>
      <c r="BH82" s="110"/>
      <c r="BI82" s="110"/>
      <c r="BJ82" s="110"/>
      <c r="BK82" s="110"/>
      <c r="BL82" s="110"/>
      <c r="BM82" s="110"/>
      <c r="BN82" s="110"/>
      <c r="BO82" s="110"/>
      <c r="BP82" s="110"/>
      <c r="BQ82" s="110"/>
      <c r="BR82" s="110"/>
      <c r="BS82" s="110"/>
      <c r="BT82" s="110"/>
      <c r="BU82" s="110"/>
      <c r="BV82" s="110"/>
      <c r="BW82" s="110"/>
      <c r="BX82" s="110"/>
      <c r="BY82" s="110"/>
      <c r="BZ82" s="110"/>
      <c r="CA82" s="110"/>
      <c r="CB82" s="110"/>
      <c r="CC82" s="110"/>
      <c r="CD82" s="110"/>
      <c r="CE82" s="110"/>
      <c r="CF82" s="110"/>
    </row>
    <row r="83" spans="1:84" s="45" customFormat="1" x14ac:dyDescent="0.25">
      <c r="A83" t="str">
        <f>Funktional!A82</f>
        <v>Matzingen</v>
      </c>
      <c r="B83" t="str">
        <f>Funktional!B82</f>
        <v>PSG</v>
      </c>
      <c r="C83" s="365">
        <v>401890.5</v>
      </c>
      <c r="D83" s="365">
        <v>1350122.3</v>
      </c>
      <c r="E83" s="365">
        <v>119448.75</v>
      </c>
      <c r="F83" s="119">
        <f t="shared" si="23"/>
        <v>1469571.05</v>
      </c>
      <c r="G83" s="43"/>
      <c r="H83" s="119">
        <f t="shared" si="26"/>
        <v>1871461.55</v>
      </c>
      <c r="I83" s="377"/>
      <c r="J83" s="124">
        <f t="shared" si="24"/>
        <v>0.21474686455620742</v>
      </c>
      <c r="K83" s="42">
        <f t="shared" si="25"/>
        <v>0.7852531354437926</v>
      </c>
      <c r="L83" s="372">
        <f t="shared" si="27"/>
        <v>0.7852531354437926</v>
      </c>
      <c r="M83" s="42"/>
      <c r="N83" s="43"/>
      <c r="O83" s="44"/>
      <c r="P83" s="80"/>
      <c r="Q83" s="43"/>
      <c r="R83" s="43"/>
      <c r="S83" s="43"/>
      <c r="T83" s="43"/>
      <c r="U83" s="43"/>
      <c r="V83" s="43"/>
      <c r="W83" s="43"/>
      <c r="X83" s="43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  <c r="AO83" s="110"/>
      <c r="AP83" s="110"/>
      <c r="AQ83" s="110"/>
      <c r="AR83" s="110"/>
      <c r="AS83" s="110"/>
      <c r="AT83" s="110"/>
      <c r="AU83" s="110"/>
      <c r="AV83" s="110"/>
      <c r="AW83" s="110"/>
      <c r="AX83" s="110"/>
      <c r="AY83" s="110"/>
      <c r="AZ83" s="110"/>
      <c r="BA83" s="110"/>
      <c r="BB83" s="110"/>
      <c r="BC83" s="110"/>
      <c r="BD83" s="110"/>
      <c r="BE83" s="110"/>
      <c r="BF83" s="110"/>
      <c r="BG83" s="110"/>
      <c r="BH83" s="110"/>
      <c r="BI83" s="110"/>
      <c r="BJ83" s="110"/>
      <c r="BK83" s="110"/>
      <c r="BL83" s="110"/>
      <c r="BM83" s="110"/>
      <c r="BN83" s="110"/>
      <c r="BO83" s="110"/>
      <c r="BP83" s="110"/>
      <c r="BQ83" s="110"/>
      <c r="BR83" s="110"/>
      <c r="BS83" s="110"/>
      <c r="BT83" s="110"/>
      <c r="BU83" s="110"/>
      <c r="BV83" s="110"/>
      <c r="BW83" s="110"/>
      <c r="BX83" s="110"/>
      <c r="BY83" s="110"/>
      <c r="BZ83" s="110"/>
      <c r="CA83" s="110"/>
      <c r="CB83" s="110"/>
      <c r="CC83" s="110"/>
      <c r="CD83" s="110"/>
      <c r="CE83" s="110"/>
      <c r="CF83" s="110"/>
    </row>
    <row r="84" spans="1:84" s="45" customFormat="1" x14ac:dyDescent="0.25">
      <c r="A84" t="str">
        <f>Funktional!A83</f>
        <v>Mauren</v>
      </c>
      <c r="B84" t="str">
        <f>Funktional!B83</f>
        <v>PSG</v>
      </c>
      <c r="C84" s="365">
        <v>66797.600000000006</v>
      </c>
      <c r="D84" s="365">
        <v>388157.9</v>
      </c>
      <c r="E84" s="365">
        <v>50737.65</v>
      </c>
      <c r="F84" s="119">
        <f t="shared" si="23"/>
        <v>438895.55000000005</v>
      </c>
      <c r="G84" s="43"/>
      <c r="H84" s="119">
        <f t="shared" si="26"/>
        <v>505693.15</v>
      </c>
      <c r="I84" s="377"/>
      <c r="J84" s="124">
        <f t="shared" si="24"/>
        <v>0.1320911703075274</v>
      </c>
      <c r="K84" s="42">
        <f t="shared" si="25"/>
        <v>0.86790882969247263</v>
      </c>
      <c r="L84" s="372">
        <f t="shared" si="27"/>
        <v>0.86790882969247263</v>
      </c>
      <c r="M84" s="42"/>
      <c r="N84" s="43"/>
      <c r="O84" s="44"/>
      <c r="P84" s="80"/>
      <c r="Q84" s="43"/>
      <c r="R84" s="43"/>
      <c r="S84" s="43"/>
      <c r="T84" s="43"/>
      <c r="U84" s="43"/>
      <c r="V84" s="43"/>
      <c r="W84" s="43"/>
      <c r="X84" s="43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  <c r="AO84" s="110"/>
      <c r="AP84" s="110"/>
      <c r="AQ84" s="110"/>
      <c r="AR84" s="110"/>
      <c r="AS84" s="110"/>
      <c r="AT84" s="110"/>
      <c r="AU84" s="110"/>
      <c r="AV84" s="110"/>
      <c r="AW84" s="110"/>
      <c r="AX84" s="110"/>
      <c r="AY84" s="110"/>
      <c r="AZ84" s="110"/>
      <c r="BA84" s="110"/>
      <c r="BB84" s="110"/>
      <c r="BC84" s="110"/>
      <c r="BD84" s="110"/>
      <c r="BE84" s="110"/>
      <c r="BF84" s="110"/>
      <c r="BG84" s="110"/>
      <c r="BH84" s="110"/>
      <c r="BI84" s="110"/>
      <c r="BJ84" s="110"/>
      <c r="BK84" s="110"/>
      <c r="BL84" s="110"/>
      <c r="BM84" s="110"/>
      <c r="BN84" s="110"/>
      <c r="BO84" s="110"/>
      <c r="BP84" s="110"/>
      <c r="BQ84" s="110"/>
      <c r="BR84" s="110"/>
      <c r="BS84" s="110"/>
      <c r="BT84" s="110"/>
      <c r="BU84" s="110"/>
      <c r="BV84" s="110"/>
      <c r="BW84" s="110"/>
      <c r="BX84" s="110"/>
      <c r="BY84" s="110"/>
      <c r="BZ84" s="110"/>
      <c r="CA84" s="110"/>
      <c r="CB84" s="110"/>
      <c r="CC84" s="110"/>
      <c r="CD84" s="110"/>
      <c r="CE84" s="110"/>
      <c r="CF84" s="110"/>
    </row>
    <row r="85" spans="1:84" s="45" customFormat="1" x14ac:dyDescent="0.25">
      <c r="A85" t="str">
        <f>Funktional!A84</f>
        <v>Mettlen</v>
      </c>
      <c r="B85" t="str">
        <f>Funktional!B84</f>
        <v>PSG</v>
      </c>
      <c r="C85" s="365">
        <v>80486.350000000006</v>
      </c>
      <c r="D85" s="365">
        <v>384731.5</v>
      </c>
      <c r="E85" s="365">
        <v>23326.3</v>
      </c>
      <c r="F85" s="119">
        <f t="shared" si="23"/>
        <v>408057.8</v>
      </c>
      <c r="G85" s="43"/>
      <c r="H85" s="119">
        <f t="shared" si="26"/>
        <v>488544.15</v>
      </c>
      <c r="I85" s="377"/>
      <c r="J85" s="124">
        <f t="shared" si="24"/>
        <v>0.16474734166809693</v>
      </c>
      <c r="K85" s="42">
        <f t="shared" si="25"/>
        <v>0.83525265833190299</v>
      </c>
      <c r="L85" s="372">
        <f t="shared" si="27"/>
        <v>0.83525265833190299</v>
      </c>
      <c r="M85" s="42"/>
      <c r="N85" s="43"/>
      <c r="O85" s="44"/>
      <c r="P85" s="80"/>
      <c r="Q85" s="43"/>
      <c r="R85" s="43"/>
      <c r="S85" s="43"/>
      <c r="T85" s="43"/>
      <c r="U85" s="43"/>
      <c r="V85" s="43"/>
      <c r="W85" s="43"/>
      <c r="X85" s="43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  <c r="AO85" s="110"/>
      <c r="AP85" s="110"/>
      <c r="AQ85" s="110"/>
      <c r="AR85" s="110"/>
      <c r="AS85" s="110"/>
      <c r="AT85" s="110"/>
      <c r="AU85" s="110"/>
      <c r="AV85" s="110"/>
      <c r="AW85" s="110"/>
      <c r="AX85" s="110"/>
      <c r="AY85" s="110"/>
      <c r="AZ85" s="110"/>
      <c r="BA85" s="110"/>
      <c r="BB85" s="110"/>
      <c r="BC85" s="110"/>
      <c r="BD85" s="110"/>
      <c r="BE85" s="110"/>
      <c r="BF85" s="110"/>
      <c r="BG85" s="110"/>
      <c r="BH85" s="110"/>
      <c r="BI85" s="110"/>
      <c r="BJ85" s="110"/>
      <c r="BK85" s="110"/>
      <c r="BL85" s="110"/>
      <c r="BM85" s="110"/>
      <c r="BN85" s="110"/>
      <c r="BO85" s="110"/>
      <c r="BP85" s="110"/>
      <c r="BQ85" s="110"/>
      <c r="BR85" s="110"/>
      <c r="BS85" s="110"/>
      <c r="BT85" s="110"/>
      <c r="BU85" s="110"/>
      <c r="BV85" s="110"/>
      <c r="BW85" s="110"/>
      <c r="BX85" s="110"/>
      <c r="BY85" s="110"/>
      <c r="BZ85" s="110"/>
      <c r="CA85" s="110"/>
      <c r="CB85" s="110"/>
      <c r="CC85" s="110"/>
      <c r="CD85" s="110"/>
      <c r="CE85" s="110"/>
      <c r="CF85" s="110"/>
    </row>
    <row r="86" spans="1:84" s="45" customFormat="1" x14ac:dyDescent="0.25">
      <c r="A86" t="str">
        <f>Funktional!A85</f>
        <v>Müllheim</v>
      </c>
      <c r="B86" t="str">
        <f>Funktional!B85</f>
        <v>PSG</v>
      </c>
      <c r="C86" s="365">
        <v>232796.25</v>
      </c>
      <c r="D86" s="365">
        <v>1331803.8999999999</v>
      </c>
      <c r="E86" s="365">
        <v>90078.15</v>
      </c>
      <c r="F86" s="119">
        <f t="shared" si="23"/>
        <v>1421882.0499999998</v>
      </c>
      <c r="G86" s="43"/>
      <c r="H86" s="119">
        <f t="shared" si="26"/>
        <v>1654678.2999999998</v>
      </c>
      <c r="I86" s="377"/>
      <c r="J86" s="124">
        <f t="shared" si="24"/>
        <v>0.14068973407096716</v>
      </c>
      <c r="K86" s="42">
        <f t="shared" si="25"/>
        <v>0.85931026592903281</v>
      </c>
      <c r="L86" s="372">
        <f t="shared" si="27"/>
        <v>0.85931026592903281</v>
      </c>
      <c r="M86" s="42"/>
      <c r="N86" s="43"/>
      <c r="O86" s="44"/>
      <c r="P86" s="80"/>
      <c r="Q86" s="43"/>
      <c r="R86" s="43"/>
      <c r="S86" s="43"/>
      <c r="T86" s="43"/>
      <c r="U86" s="43"/>
      <c r="V86" s="43"/>
      <c r="W86" s="43"/>
      <c r="X86" s="43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  <c r="AO86" s="110"/>
      <c r="AP86" s="110"/>
      <c r="AQ86" s="110"/>
      <c r="AR86" s="110"/>
      <c r="AS86" s="110"/>
      <c r="AT86" s="110"/>
      <c r="AU86" s="110"/>
      <c r="AV86" s="110"/>
      <c r="AW86" s="110"/>
      <c r="AX86" s="110"/>
      <c r="AY86" s="110"/>
      <c r="AZ86" s="110"/>
      <c r="BA86" s="110"/>
      <c r="BB86" s="110"/>
      <c r="BC86" s="110"/>
      <c r="BD86" s="110"/>
      <c r="BE86" s="110"/>
      <c r="BF86" s="110"/>
      <c r="BG86" s="110"/>
      <c r="BH86" s="110"/>
      <c r="BI86" s="110"/>
      <c r="BJ86" s="110"/>
      <c r="BK86" s="110"/>
      <c r="BL86" s="110"/>
      <c r="BM86" s="110"/>
      <c r="BN86" s="110"/>
      <c r="BO86" s="110"/>
      <c r="BP86" s="110"/>
      <c r="BQ86" s="110"/>
      <c r="BR86" s="110"/>
      <c r="BS86" s="110"/>
      <c r="BT86" s="110"/>
      <c r="BU86" s="110"/>
      <c r="BV86" s="110"/>
      <c r="BW86" s="110"/>
      <c r="BX86" s="110"/>
      <c r="BY86" s="110"/>
      <c r="BZ86" s="110"/>
      <c r="CA86" s="110"/>
      <c r="CB86" s="110"/>
      <c r="CC86" s="110"/>
      <c r="CD86" s="110"/>
      <c r="CE86" s="110"/>
      <c r="CF86" s="110"/>
    </row>
    <row r="87" spans="1:84" s="45" customFormat="1" x14ac:dyDescent="0.25">
      <c r="A87" t="str">
        <f>Funktional!A86</f>
        <v>Neukirch-Egnach</v>
      </c>
      <c r="B87" t="str">
        <f>Funktional!B86</f>
        <v>PSG</v>
      </c>
      <c r="C87" s="365">
        <v>186592.5</v>
      </c>
      <c r="D87" s="365">
        <v>592014.30000000005</v>
      </c>
      <c r="E87" s="365">
        <v>66848.800000000003</v>
      </c>
      <c r="F87" s="119">
        <f t="shared" si="23"/>
        <v>658863.10000000009</v>
      </c>
      <c r="G87" s="43"/>
      <c r="H87" s="119">
        <f t="shared" si="26"/>
        <v>845455.60000000009</v>
      </c>
      <c r="I87" s="377"/>
      <c r="J87" s="124">
        <f t="shared" si="24"/>
        <v>0.22070053116922991</v>
      </c>
      <c r="K87" s="42">
        <f t="shared" si="25"/>
        <v>0.77929946883077006</v>
      </c>
      <c r="L87" s="372">
        <f t="shared" si="27"/>
        <v>0.77929946883077006</v>
      </c>
      <c r="M87" s="42"/>
      <c r="N87" s="43"/>
      <c r="O87" s="44"/>
      <c r="P87" s="80"/>
      <c r="Q87" s="43"/>
      <c r="R87" s="43"/>
      <c r="S87" s="43"/>
      <c r="T87" s="43"/>
      <c r="U87" s="43"/>
      <c r="V87" s="43"/>
      <c r="W87" s="43"/>
      <c r="X87" s="43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  <c r="AO87" s="110"/>
      <c r="AP87" s="110"/>
      <c r="AQ87" s="110"/>
      <c r="AR87" s="110"/>
      <c r="AS87" s="110"/>
      <c r="AT87" s="110"/>
      <c r="AU87" s="110"/>
      <c r="AV87" s="110"/>
      <c r="AW87" s="110"/>
      <c r="AX87" s="110"/>
      <c r="AY87" s="110"/>
      <c r="AZ87" s="110"/>
      <c r="BA87" s="110"/>
      <c r="BB87" s="110"/>
      <c r="BC87" s="110"/>
      <c r="BD87" s="110"/>
      <c r="BE87" s="110"/>
      <c r="BF87" s="110"/>
      <c r="BG87" s="110"/>
      <c r="BH87" s="110"/>
      <c r="BI87" s="110"/>
      <c r="BJ87" s="110"/>
      <c r="BK87" s="110"/>
      <c r="BL87" s="110"/>
      <c r="BM87" s="110"/>
      <c r="BN87" s="110"/>
      <c r="BO87" s="110"/>
      <c r="BP87" s="110"/>
      <c r="BQ87" s="110"/>
      <c r="BR87" s="110"/>
      <c r="BS87" s="110"/>
      <c r="BT87" s="110"/>
      <c r="BU87" s="110"/>
      <c r="BV87" s="110"/>
      <c r="BW87" s="110"/>
      <c r="BX87" s="110"/>
      <c r="BY87" s="110"/>
      <c r="BZ87" s="110"/>
      <c r="CA87" s="110"/>
      <c r="CB87" s="110"/>
      <c r="CC87" s="110"/>
      <c r="CD87" s="110"/>
      <c r="CE87" s="110"/>
      <c r="CF87" s="110"/>
    </row>
    <row r="88" spans="1:84" s="45" customFormat="1" x14ac:dyDescent="0.25">
      <c r="A88" t="str">
        <f>Funktional!A87</f>
        <v>Neuwilen</v>
      </c>
      <c r="B88" t="str">
        <f>Funktional!B87</f>
        <v>PSG</v>
      </c>
      <c r="C88" s="365">
        <v>201739.15</v>
      </c>
      <c r="D88" s="365">
        <v>364319.65</v>
      </c>
      <c r="E88" s="365">
        <v>37553.75</v>
      </c>
      <c r="F88" s="119">
        <f t="shared" si="23"/>
        <v>401873.4</v>
      </c>
      <c r="G88" s="43"/>
      <c r="H88" s="119">
        <f t="shared" si="26"/>
        <v>603612.55000000005</v>
      </c>
      <c r="I88" s="377"/>
      <c r="J88" s="124">
        <f t="shared" si="24"/>
        <v>0.33421960825698532</v>
      </c>
      <c r="K88" s="42">
        <f t="shared" si="25"/>
        <v>0.66578039174301462</v>
      </c>
      <c r="L88" s="372">
        <f t="shared" si="27"/>
        <v>0.66578039174301462</v>
      </c>
      <c r="M88" s="42"/>
      <c r="N88" s="43"/>
      <c r="O88" s="44"/>
      <c r="P88" s="80"/>
      <c r="Q88" s="43"/>
      <c r="R88" s="43"/>
      <c r="S88" s="43"/>
      <c r="T88" s="43"/>
      <c r="U88" s="43"/>
      <c r="V88" s="43"/>
      <c r="W88" s="43"/>
      <c r="X88" s="43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  <c r="AO88" s="110"/>
      <c r="AP88" s="110"/>
      <c r="AQ88" s="110"/>
      <c r="AR88" s="110"/>
      <c r="AS88" s="110"/>
      <c r="AT88" s="110"/>
      <c r="AU88" s="110"/>
      <c r="AV88" s="110"/>
      <c r="AW88" s="110"/>
      <c r="AX88" s="110"/>
      <c r="AY88" s="110"/>
      <c r="AZ88" s="110"/>
      <c r="BA88" s="110"/>
      <c r="BB88" s="110"/>
      <c r="BC88" s="110"/>
      <c r="BD88" s="110"/>
      <c r="BE88" s="110"/>
      <c r="BF88" s="110"/>
      <c r="BG88" s="110"/>
      <c r="BH88" s="110"/>
      <c r="BI88" s="110"/>
      <c r="BJ88" s="110"/>
      <c r="BK88" s="110"/>
      <c r="BL88" s="110"/>
      <c r="BM88" s="110"/>
      <c r="BN88" s="110"/>
      <c r="BO88" s="110"/>
      <c r="BP88" s="110"/>
      <c r="BQ88" s="110"/>
      <c r="BR88" s="110"/>
      <c r="BS88" s="110"/>
      <c r="BT88" s="110"/>
      <c r="BU88" s="110"/>
      <c r="BV88" s="110"/>
      <c r="BW88" s="110"/>
      <c r="BX88" s="110"/>
      <c r="BY88" s="110"/>
      <c r="BZ88" s="110"/>
      <c r="CA88" s="110"/>
      <c r="CB88" s="110"/>
      <c r="CC88" s="110"/>
      <c r="CD88" s="110"/>
      <c r="CE88" s="110"/>
      <c r="CF88" s="110"/>
    </row>
    <row r="89" spans="1:84" s="45" customFormat="1" x14ac:dyDescent="0.25">
      <c r="A89" t="str">
        <f>Funktional!A88</f>
        <v>Nussbaumen</v>
      </c>
      <c r="B89" t="str">
        <f>Funktional!B88</f>
        <v>PSG</v>
      </c>
      <c r="C89" s="365">
        <v>78802.3</v>
      </c>
      <c r="D89" s="365">
        <v>337442.15</v>
      </c>
      <c r="E89" s="365">
        <v>39906.949999999997</v>
      </c>
      <c r="F89" s="119">
        <f t="shared" ref="F89:F94" si="28">D89+E89</f>
        <v>377349.10000000003</v>
      </c>
      <c r="G89" s="43"/>
      <c r="H89" s="119">
        <f t="shared" si="26"/>
        <v>456151.4</v>
      </c>
      <c r="I89" s="377"/>
      <c r="J89" s="124">
        <f t="shared" ref="J89:J94" si="29">C89/H89</f>
        <v>0.17275470381105923</v>
      </c>
      <c r="K89" s="42">
        <f t="shared" ref="K89:K94" si="30">F89/H89</f>
        <v>0.82724529618894083</v>
      </c>
      <c r="L89" s="372">
        <f t="shared" si="27"/>
        <v>0.82724529618894083</v>
      </c>
      <c r="M89" s="42"/>
      <c r="N89" s="43"/>
      <c r="O89" s="44"/>
      <c r="P89" s="80"/>
      <c r="Q89" s="43"/>
      <c r="R89" s="43"/>
      <c r="S89" s="43"/>
      <c r="T89" s="43"/>
      <c r="U89" s="43"/>
      <c r="V89" s="43"/>
      <c r="W89" s="43"/>
      <c r="X89" s="43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  <c r="AO89" s="110"/>
      <c r="AP89" s="110"/>
      <c r="AQ89" s="110"/>
      <c r="AR89" s="110"/>
      <c r="AS89" s="110"/>
      <c r="AT89" s="110"/>
      <c r="AU89" s="110"/>
      <c r="AV89" s="110"/>
      <c r="AW89" s="110"/>
      <c r="AX89" s="110"/>
      <c r="AY89" s="110"/>
      <c r="AZ89" s="110"/>
      <c r="BA89" s="110"/>
      <c r="BB89" s="110"/>
      <c r="BC89" s="110"/>
      <c r="BD89" s="110"/>
      <c r="BE89" s="110"/>
      <c r="BF89" s="110"/>
      <c r="BG89" s="110"/>
      <c r="BH89" s="110"/>
      <c r="BI89" s="110"/>
      <c r="BJ89" s="110"/>
      <c r="BK89" s="110"/>
      <c r="BL89" s="110"/>
      <c r="BM89" s="110"/>
      <c r="BN89" s="110"/>
      <c r="BO89" s="110"/>
      <c r="BP89" s="110"/>
      <c r="BQ89" s="110"/>
      <c r="BR89" s="110"/>
      <c r="BS89" s="110"/>
      <c r="BT89" s="110"/>
      <c r="BU89" s="110"/>
      <c r="BV89" s="110"/>
      <c r="BW89" s="110"/>
      <c r="BX89" s="110"/>
      <c r="BY89" s="110"/>
      <c r="BZ89" s="110"/>
      <c r="CA89" s="110"/>
      <c r="CB89" s="110"/>
      <c r="CC89" s="110"/>
      <c r="CD89" s="110"/>
      <c r="CE89" s="110"/>
      <c r="CF89" s="110"/>
    </row>
    <row r="90" spans="1:84" s="45" customFormat="1" x14ac:dyDescent="0.25">
      <c r="A90" t="str">
        <f>Funktional!A89</f>
        <v>Oberhofen-Lengwil</v>
      </c>
      <c r="B90" t="str">
        <f>Funktional!B89</f>
        <v>PSG</v>
      </c>
      <c r="C90" s="365">
        <v>140636.75</v>
      </c>
      <c r="D90" s="365">
        <v>440075.7</v>
      </c>
      <c r="E90" s="365">
        <v>38152.75</v>
      </c>
      <c r="F90" s="119">
        <f t="shared" si="28"/>
        <v>478228.45</v>
      </c>
      <c r="G90" s="43"/>
      <c r="H90" s="119">
        <f t="shared" ref="H90:H94" si="31">C90+F90+I90</f>
        <v>618865.19999999995</v>
      </c>
      <c r="I90" s="377"/>
      <c r="J90" s="124">
        <f t="shared" si="29"/>
        <v>0.22724940746385483</v>
      </c>
      <c r="K90" s="42">
        <f t="shared" si="30"/>
        <v>0.77275059253614531</v>
      </c>
      <c r="L90" s="372">
        <f t="shared" si="27"/>
        <v>0.77275059253614531</v>
      </c>
      <c r="M90" s="42"/>
      <c r="N90" s="43"/>
      <c r="O90" s="44"/>
      <c r="P90" s="80"/>
      <c r="Q90" s="43"/>
      <c r="R90" s="43"/>
      <c r="S90" s="43"/>
      <c r="T90" s="43"/>
      <c r="U90" s="43"/>
      <c r="V90" s="43"/>
      <c r="W90" s="43"/>
      <c r="X90" s="43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  <c r="AO90" s="110"/>
      <c r="AP90" s="110"/>
      <c r="AQ90" s="110"/>
      <c r="AR90" s="110"/>
      <c r="AS90" s="110"/>
      <c r="AT90" s="110"/>
      <c r="AU90" s="110"/>
      <c r="AV90" s="110"/>
      <c r="AW90" s="110"/>
      <c r="AX90" s="110"/>
      <c r="AY90" s="110"/>
      <c r="AZ90" s="110"/>
      <c r="BA90" s="110"/>
      <c r="BB90" s="110"/>
      <c r="BC90" s="110"/>
      <c r="BD90" s="110"/>
      <c r="BE90" s="110"/>
      <c r="BF90" s="110"/>
      <c r="BG90" s="110"/>
      <c r="BH90" s="110"/>
      <c r="BI90" s="110"/>
      <c r="BJ90" s="110"/>
      <c r="BK90" s="110"/>
      <c r="BL90" s="110"/>
      <c r="BM90" s="110"/>
      <c r="BN90" s="110"/>
      <c r="BO90" s="110"/>
      <c r="BP90" s="110"/>
      <c r="BQ90" s="110"/>
      <c r="BR90" s="110"/>
      <c r="BS90" s="110"/>
      <c r="BT90" s="110"/>
      <c r="BU90" s="110"/>
      <c r="BV90" s="110"/>
      <c r="BW90" s="110"/>
      <c r="BX90" s="110"/>
      <c r="BY90" s="110"/>
      <c r="BZ90" s="110"/>
      <c r="CA90" s="110"/>
      <c r="CB90" s="110"/>
      <c r="CC90" s="110"/>
      <c r="CD90" s="110"/>
      <c r="CE90" s="110"/>
      <c r="CF90" s="110"/>
    </row>
    <row r="91" spans="1:84" s="45" customFormat="1" x14ac:dyDescent="0.25">
      <c r="A91" t="str">
        <f>Funktional!A90</f>
        <v>Ottoberg</v>
      </c>
      <c r="B91" t="str">
        <f>Funktional!B90</f>
        <v>PSG</v>
      </c>
      <c r="C91" s="365">
        <v>109252.55</v>
      </c>
      <c r="D91" s="365">
        <v>390356.15</v>
      </c>
      <c r="E91" s="365">
        <v>27101.25</v>
      </c>
      <c r="F91" s="119">
        <f t="shared" si="28"/>
        <v>417457.4</v>
      </c>
      <c r="G91" s="43"/>
      <c r="H91" s="119">
        <f t="shared" si="31"/>
        <v>526709.95000000007</v>
      </c>
      <c r="I91" s="377"/>
      <c r="J91" s="124">
        <f t="shared" si="29"/>
        <v>0.20742450375201757</v>
      </c>
      <c r="K91" s="42">
        <f t="shared" si="30"/>
        <v>0.79257549624798229</v>
      </c>
      <c r="L91" s="372">
        <f t="shared" si="27"/>
        <v>0.79257549624798229</v>
      </c>
      <c r="M91" s="42"/>
      <c r="N91" s="43"/>
      <c r="O91" s="44"/>
      <c r="P91" s="80"/>
      <c r="Q91" s="43"/>
      <c r="R91" s="43"/>
      <c r="S91" s="43"/>
      <c r="T91" s="43"/>
      <c r="U91" s="43"/>
      <c r="V91" s="43"/>
      <c r="W91" s="43"/>
      <c r="X91" s="43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  <c r="AO91" s="110"/>
      <c r="AP91" s="110"/>
      <c r="AQ91" s="110"/>
      <c r="AR91" s="110"/>
      <c r="AS91" s="110"/>
      <c r="AT91" s="110"/>
      <c r="AU91" s="110"/>
      <c r="AV91" s="110"/>
      <c r="AW91" s="110"/>
      <c r="AX91" s="110"/>
      <c r="AY91" s="110"/>
      <c r="AZ91" s="110"/>
      <c r="BA91" s="110"/>
      <c r="BB91" s="110"/>
      <c r="BC91" s="110"/>
      <c r="BD91" s="110"/>
      <c r="BE91" s="110"/>
      <c r="BF91" s="110"/>
      <c r="BG91" s="110"/>
      <c r="BH91" s="110"/>
      <c r="BI91" s="110"/>
      <c r="BJ91" s="110"/>
      <c r="BK91" s="110"/>
      <c r="BL91" s="110"/>
      <c r="BM91" s="110"/>
      <c r="BN91" s="110"/>
      <c r="BO91" s="110"/>
      <c r="BP91" s="110"/>
      <c r="BQ91" s="110"/>
      <c r="BR91" s="110"/>
      <c r="BS91" s="110"/>
      <c r="BT91" s="110"/>
      <c r="BU91" s="110"/>
      <c r="BV91" s="110"/>
      <c r="BW91" s="110"/>
      <c r="BX91" s="110"/>
      <c r="BY91" s="110"/>
      <c r="BZ91" s="110"/>
      <c r="CA91" s="110"/>
      <c r="CB91" s="110"/>
      <c r="CC91" s="110"/>
      <c r="CD91" s="110"/>
      <c r="CE91" s="110"/>
      <c r="CF91" s="110"/>
    </row>
    <row r="92" spans="1:84" s="45" customFormat="1" x14ac:dyDescent="0.25">
      <c r="A92" t="str">
        <f>Funktional!A91</f>
        <v>Pfyn</v>
      </c>
      <c r="B92" t="str">
        <f>Funktional!B91</f>
        <v>PSG</v>
      </c>
      <c r="C92" s="365">
        <v>128173.35</v>
      </c>
      <c r="D92" s="365">
        <v>1124404.05</v>
      </c>
      <c r="E92" s="365">
        <v>95001.45</v>
      </c>
      <c r="F92" s="119">
        <f t="shared" si="28"/>
        <v>1219405.5</v>
      </c>
      <c r="G92" s="43"/>
      <c r="H92" s="119">
        <f t="shared" si="31"/>
        <v>1347578.85</v>
      </c>
      <c r="I92" s="377"/>
      <c r="J92" s="124">
        <f t="shared" si="29"/>
        <v>9.5113803544779579E-2</v>
      </c>
      <c r="K92" s="42">
        <f t="shared" si="30"/>
        <v>0.90488619645522039</v>
      </c>
      <c r="L92" s="372">
        <f t="shared" si="27"/>
        <v>0.90488619645522039</v>
      </c>
      <c r="M92" s="42"/>
      <c r="N92" s="43"/>
      <c r="O92" s="44"/>
      <c r="P92" s="80"/>
      <c r="Q92" s="43"/>
      <c r="R92" s="43"/>
      <c r="S92" s="43"/>
      <c r="T92" s="43"/>
      <c r="U92" s="43"/>
      <c r="V92" s="43"/>
      <c r="W92" s="43"/>
      <c r="X92" s="43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  <c r="AO92" s="110"/>
      <c r="AP92" s="110"/>
      <c r="AQ92" s="110"/>
      <c r="AR92" s="110"/>
      <c r="AS92" s="110"/>
      <c r="AT92" s="110"/>
      <c r="AU92" s="110"/>
      <c r="AV92" s="110"/>
      <c r="AW92" s="110"/>
      <c r="AX92" s="110"/>
      <c r="AY92" s="110"/>
      <c r="AZ92" s="110"/>
      <c r="BA92" s="110"/>
      <c r="BB92" s="110"/>
      <c r="BC92" s="110"/>
      <c r="BD92" s="110"/>
      <c r="BE92" s="110"/>
      <c r="BF92" s="110"/>
      <c r="BG92" s="110"/>
      <c r="BH92" s="110"/>
      <c r="BI92" s="110"/>
      <c r="BJ92" s="110"/>
      <c r="BK92" s="110"/>
      <c r="BL92" s="110"/>
      <c r="BM92" s="110"/>
      <c r="BN92" s="110"/>
      <c r="BO92" s="110"/>
      <c r="BP92" s="110"/>
      <c r="BQ92" s="110"/>
      <c r="BR92" s="110"/>
      <c r="BS92" s="110"/>
      <c r="BT92" s="110"/>
      <c r="BU92" s="110"/>
      <c r="BV92" s="110"/>
      <c r="BW92" s="110"/>
      <c r="BX92" s="110"/>
      <c r="BY92" s="110"/>
      <c r="BZ92" s="110"/>
      <c r="CA92" s="110"/>
      <c r="CB92" s="110"/>
      <c r="CC92" s="110"/>
      <c r="CD92" s="110"/>
      <c r="CE92" s="110"/>
      <c r="CF92" s="110"/>
    </row>
    <row r="93" spans="1:84" s="45" customFormat="1" x14ac:dyDescent="0.25">
      <c r="A93" t="str">
        <f>Funktional!A92</f>
        <v>Raperswilen-Illhart</v>
      </c>
      <c r="B93" t="str">
        <f>Funktional!B92</f>
        <v>PSG</v>
      </c>
      <c r="C93" s="365">
        <v>96880.2</v>
      </c>
      <c r="D93" s="365">
        <v>331556.59999999998</v>
      </c>
      <c r="E93" s="365">
        <v>30433.7</v>
      </c>
      <c r="F93" s="119">
        <f t="shared" si="28"/>
        <v>361990.3</v>
      </c>
      <c r="G93" s="43"/>
      <c r="H93" s="119">
        <f t="shared" si="31"/>
        <v>458870.5</v>
      </c>
      <c r="I93" s="377"/>
      <c r="J93" s="124">
        <f t="shared" si="29"/>
        <v>0.21112754034090228</v>
      </c>
      <c r="K93" s="42">
        <f t="shared" si="30"/>
        <v>0.78887245965909769</v>
      </c>
      <c r="L93" s="372">
        <f t="shared" si="27"/>
        <v>0.78887245965909769</v>
      </c>
      <c r="M93" s="42"/>
      <c r="N93" s="43"/>
      <c r="O93" s="44"/>
      <c r="P93" s="80"/>
      <c r="Q93" s="43"/>
      <c r="R93" s="43"/>
      <c r="S93" s="43"/>
      <c r="T93" s="43"/>
      <c r="U93" s="43"/>
      <c r="V93" s="43"/>
      <c r="W93" s="43"/>
      <c r="X93" s="43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  <c r="AO93" s="110"/>
      <c r="AP93" s="110"/>
      <c r="AQ93" s="110"/>
      <c r="AR93" s="110"/>
      <c r="AS93" s="110"/>
      <c r="AT93" s="110"/>
      <c r="AU93" s="110"/>
      <c r="AV93" s="110"/>
      <c r="AW93" s="110"/>
      <c r="AX93" s="110"/>
      <c r="AY93" s="110"/>
      <c r="AZ93" s="110"/>
      <c r="BA93" s="110"/>
      <c r="BB93" s="110"/>
      <c r="BC93" s="110"/>
      <c r="BD93" s="110"/>
      <c r="BE93" s="110"/>
      <c r="BF93" s="110"/>
      <c r="BG93" s="110"/>
      <c r="BH93" s="110"/>
      <c r="BI93" s="110"/>
      <c r="BJ93" s="110"/>
      <c r="BK93" s="110"/>
      <c r="BL93" s="110"/>
      <c r="BM93" s="110"/>
      <c r="BN93" s="110"/>
      <c r="BO93" s="110"/>
      <c r="BP93" s="110"/>
      <c r="BQ93" s="110"/>
      <c r="BR93" s="110"/>
      <c r="BS93" s="110"/>
      <c r="BT93" s="110"/>
      <c r="BU93" s="110"/>
      <c r="BV93" s="110"/>
      <c r="BW93" s="110"/>
      <c r="BX93" s="110"/>
      <c r="BY93" s="110"/>
      <c r="BZ93" s="110"/>
      <c r="CA93" s="110"/>
      <c r="CB93" s="110"/>
      <c r="CC93" s="110"/>
      <c r="CD93" s="110"/>
      <c r="CE93" s="110"/>
      <c r="CF93" s="110"/>
    </row>
    <row r="94" spans="1:84" s="45" customFormat="1" x14ac:dyDescent="0.25">
      <c r="A94" t="str">
        <f>Funktional!A93</f>
        <v>Rickenbach</v>
      </c>
      <c r="B94" t="str">
        <f>Funktional!B93</f>
        <v>PSG</v>
      </c>
      <c r="C94" s="365">
        <v>254187.15</v>
      </c>
      <c r="D94" s="365">
        <v>1237820.55</v>
      </c>
      <c r="E94" s="365">
        <v>91748.5</v>
      </c>
      <c r="F94" s="119">
        <f t="shared" si="28"/>
        <v>1329569.05</v>
      </c>
      <c r="G94" s="43"/>
      <c r="H94" s="119">
        <f t="shared" si="31"/>
        <v>1583756.2</v>
      </c>
      <c r="I94" s="377"/>
      <c r="J94" s="124">
        <f t="shared" si="29"/>
        <v>0.16049638826986123</v>
      </c>
      <c r="K94" s="42">
        <f t="shared" si="30"/>
        <v>0.83950361173013888</v>
      </c>
      <c r="L94" s="372">
        <f t="shared" si="27"/>
        <v>0.83950361173013888</v>
      </c>
      <c r="M94" s="42"/>
      <c r="N94" s="43"/>
      <c r="O94" s="44"/>
      <c r="P94" s="80"/>
      <c r="Q94" s="43"/>
      <c r="R94" s="43"/>
      <c r="S94" s="43"/>
      <c r="T94" s="43"/>
      <c r="U94" s="43"/>
      <c r="V94" s="43"/>
      <c r="W94" s="43"/>
      <c r="X94" s="43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  <c r="AO94" s="110"/>
      <c r="AP94" s="110"/>
      <c r="AQ94" s="110"/>
      <c r="AR94" s="110"/>
      <c r="AS94" s="110"/>
      <c r="AT94" s="110"/>
      <c r="AU94" s="110"/>
      <c r="AV94" s="110"/>
      <c r="AW94" s="110"/>
      <c r="AX94" s="110"/>
      <c r="AY94" s="110"/>
      <c r="AZ94" s="110"/>
      <c r="BA94" s="110"/>
      <c r="BB94" s="110"/>
      <c r="BC94" s="110"/>
      <c r="BD94" s="110"/>
      <c r="BE94" s="110"/>
      <c r="BF94" s="110"/>
      <c r="BG94" s="110"/>
      <c r="BH94" s="110"/>
      <c r="BI94" s="110"/>
      <c r="BJ94" s="110"/>
      <c r="BK94" s="110"/>
      <c r="BL94" s="110"/>
      <c r="BM94" s="110"/>
      <c r="BN94" s="110"/>
      <c r="BO94" s="110"/>
      <c r="BP94" s="110"/>
      <c r="BQ94" s="110"/>
      <c r="BR94" s="110"/>
      <c r="BS94" s="110"/>
      <c r="BT94" s="110"/>
      <c r="BU94" s="110"/>
      <c r="BV94" s="110"/>
      <c r="BW94" s="110"/>
      <c r="BX94" s="110"/>
      <c r="BY94" s="110"/>
      <c r="BZ94" s="110"/>
      <c r="CA94" s="110"/>
      <c r="CB94" s="110"/>
      <c r="CC94" s="110"/>
      <c r="CD94" s="110"/>
      <c r="CE94" s="110"/>
      <c r="CF94" s="110"/>
    </row>
    <row r="95" spans="1:84" s="45" customFormat="1" x14ac:dyDescent="0.25">
      <c r="A95" t="str">
        <f>Funktional!A94</f>
        <v>Ringenzeichen</v>
      </c>
      <c r="B95" t="str">
        <f>Funktional!B94</f>
        <v>PSG</v>
      </c>
      <c r="C95" s="365">
        <v>7337</v>
      </c>
      <c r="D95" s="365">
        <v>248924.7</v>
      </c>
      <c r="E95" s="365">
        <v>28914.5</v>
      </c>
      <c r="F95" s="119">
        <f t="shared" ref="F95:F102" si="32">D95+E95</f>
        <v>277839.2</v>
      </c>
      <c r="G95" s="43"/>
      <c r="H95" s="119">
        <f t="shared" ref="H95:H104" si="33">C95+F95+I95</f>
        <v>286263.2</v>
      </c>
      <c r="I95" s="377">
        <f>IF((C95&lt;Funktional!M94),0,C95-Funktional!M94)</f>
        <v>1087</v>
      </c>
      <c r="J95" s="124">
        <f t="shared" ref="J95:J102" si="34">C95/H95</f>
        <v>2.5630259146128456E-2</v>
      </c>
      <c r="K95" s="42">
        <f t="shared" ref="K95:K96" si="35">F95/H95</f>
        <v>0.97057253604375271</v>
      </c>
      <c r="L95" s="372">
        <v>1</v>
      </c>
      <c r="M95" s="42"/>
      <c r="N95" s="43"/>
      <c r="O95" s="44"/>
      <c r="P95" s="80"/>
      <c r="Q95" s="43"/>
      <c r="R95" s="43"/>
      <c r="S95" s="43"/>
      <c r="T95" s="43"/>
      <c r="U95" s="43"/>
      <c r="V95" s="43"/>
      <c r="W95" s="43"/>
      <c r="X95" s="43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  <c r="AO95" s="110"/>
      <c r="AP95" s="110"/>
      <c r="AQ95" s="110"/>
      <c r="AR95" s="110"/>
      <c r="AS95" s="110"/>
      <c r="AT95" s="110"/>
      <c r="AU95" s="110"/>
      <c r="AV95" s="110"/>
      <c r="AW95" s="110"/>
      <c r="AX95" s="110"/>
      <c r="AY95" s="110"/>
      <c r="AZ95" s="110"/>
      <c r="BA95" s="110"/>
      <c r="BB95" s="110"/>
      <c r="BC95" s="110"/>
      <c r="BD95" s="110"/>
      <c r="BE95" s="110"/>
      <c r="BF95" s="110"/>
      <c r="BG95" s="110"/>
      <c r="BH95" s="110"/>
      <c r="BI95" s="110"/>
      <c r="BJ95" s="110"/>
      <c r="BK95" s="110"/>
      <c r="BL95" s="110"/>
      <c r="BM95" s="110"/>
      <c r="BN95" s="110"/>
      <c r="BO95" s="110"/>
      <c r="BP95" s="110"/>
      <c r="BQ95" s="110"/>
      <c r="BR95" s="110"/>
      <c r="BS95" s="110"/>
      <c r="BT95" s="110"/>
      <c r="BU95" s="110"/>
      <c r="BV95" s="110"/>
      <c r="BW95" s="110"/>
      <c r="BX95" s="110"/>
      <c r="BY95" s="110"/>
      <c r="BZ95" s="110"/>
      <c r="CA95" s="110"/>
      <c r="CB95" s="110"/>
      <c r="CC95" s="110"/>
      <c r="CD95" s="110"/>
      <c r="CE95" s="110"/>
      <c r="CF95" s="110"/>
    </row>
    <row r="96" spans="1:84" s="45" customFormat="1" x14ac:dyDescent="0.25">
      <c r="A96" t="str">
        <f>Funktional!A95</f>
        <v>Romanshorn</v>
      </c>
      <c r="B96" t="str">
        <f>Funktional!B95</f>
        <v>PSG</v>
      </c>
      <c r="C96" s="365">
        <v>604264.15</v>
      </c>
      <c r="D96" s="365">
        <v>4078218.75</v>
      </c>
      <c r="E96" s="365">
        <v>392198.05</v>
      </c>
      <c r="F96" s="119">
        <f t="shared" si="32"/>
        <v>4470416.8</v>
      </c>
      <c r="G96" s="43"/>
      <c r="H96" s="119">
        <f t="shared" si="33"/>
        <v>5074680.95</v>
      </c>
      <c r="I96" s="377"/>
      <c r="J96" s="124">
        <f t="shared" si="34"/>
        <v>0.11907431343048276</v>
      </c>
      <c r="K96" s="42">
        <f t="shared" si="35"/>
        <v>0.8809256865695172</v>
      </c>
      <c r="L96" s="372">
        <f>K96</f>
        <v>0.8809256865695172</v>
      </c>
      <c r="M96" s="42"/>
      <c r="N96" s="43"/>
      <c r="O96" s="44"/>
      <c r="P96" s="80"/>
      <c r="Q96" s="43"/>
      <c r="R96" s="43"/>
      <c r="S96" s="43"/>
      <c r="T96" s="43"/>
      <c r="U96" s="43"/>
      <c r="V96" s="43"/>
      <c r="W96" s="43"/>
      <c r="X96" s="43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110"/>
      <c r="BA96" s="110"/>
      <c r="BB96" s="110"/>
      <c r="BC96" s="110"/>
      <c r="BD96" s="110"/>
      <c r="BE96" s="110"/>
      <c r="BF96" s="110"/>
      <c r="BG96" s="110"/>
      <c r="BH96" s="110"/>
      <c r="BI96" s="110"/>
      <c r="BJ96" s="110"/>
      <c r="BK96" s="110"/>
      <c r="BL96" s="110"/>
      <c r="BM96" s="110"/>
      <c r="BN96" s="110"/>
      <c r="BO96" s="110"/>
      <c r="BP96" s="110"/>
      <c r="BQ96" s="110"/>
      <c r="BR96" s="110"/>
      <c r="BS96" s="110"/>
      <c r="BT96" s="110"/>
      <c r="BU96" s="110"/>
      <c r="BV96" s="110"/>
      <c r="BW96" s="110"/>
      <c r="BX96" s="110"/>
      <c r="BY96" s="110"/>
      <c r="BZ96" s="110"/>
      <c r="CA96" s="110"/>
      <c r="CB96" s="110"/>
      <c r="CC96" s="110"/>
      <c r="CD96" s="110"/>
      <c r="CE96" s="110"/>
      <c r="CF96" s="110"/>
    </row>
    <row r="97" spans="1:84" s="45" customFormat="1" x14ac:dyDescent="0.25">
      <c r="A97" t="str">
        <f>Funktional!A96</f>
        <v>Salenstein</v>
      </c>
      <c r="B97" t="str">
        <f>Funktional!B96</f>
        <v>PSG</v>
      </c>
      <c r="C97" s="365">
        <v>91304.25</v>
      </c>
      <c r="D97" s="365">
        <v>523143.05</v>
      </c>
      <c r="E97" s="365">
        <v>70761.45</v>
      </c>
      <c r="F97" s="119">
        <f t="shared" si="32"/>
        <v>593904.5</v>
      </c>
      <c r="G97" s="43"/>
      <c r="H97" s="119">
        <f t="shared" si="33"/>
        <v>685208.75</v>
      </c>
      <c r="I97" s="377"/>
      <c r="J97" s="124">
        <f t="shared" si="34"/>
        <v>0.13325026862251832</v>
      </c>
      <c r="K97" s="42">
        <f t="shared" ref="K97:K103" si="36">F97/H97</f>
        <v>0.86674973137748168</v>
      </c>
      <c r="L97" s="372">
        <f t="shared" ref="L97:L103" si="37">K97</f>
        <v>0.86674973137748168</v>
      </c>
      <c r="M97" s="42"/>
      <c r="N97" s="43"/>
      <c r="O97" s="44"/>
      <c r="P97" s="80"/>
      <c r="Q97" s="43"/>
      <c r="R97" s="43"/>
      <c r="S97" s="43"/>
      <c r="T97" s="43"/>
      <c r="U97" s="43"/>
      <c r="V97" s="43"/>
      <c r="W97" s="43"/>
      <c r="X97" s="43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  <c r="AO97" s="110"/>
      <c r="AP97" s="110"/>
      <c r="AQ97" s="110"/>
      <c r="AR97" s="110"/>
      <c r="AS97" s="110"/>
      <c r="AT97" s="110"/>
      <c r="AU97" s="110"/>
      <c r="AV97" s="110"/>
      <c r="AW97" s="110"/>
      <c r="AX97" s="110"/>
      <c r="AY97" s="110"/>
      <c r="AZ97" s="110"/>
      <c r="BA97" s="110"/>
      <c r="BB97" s="110"/>
      <c r="BC97" s="110"/>
      <c r="BD97" s="110"/>
      <c r="BE97" s="110"/>
      <c r="BF97" s="110"/>
      <c r="BG97" s="110"/>
      <c r="BH97" s="110"/>
      <c r="BI97" s="110"/>
      <c r="BJ97" s="110"/>
      <c r="BK97" s="110"/>
      <c r="BL97" s="110"/>
      <c r="BM97" s="110"/>
      <c r="BN97" s="110"/>
      <c r="BO97" s="110"/>
      <c r="BP97" s="110"/>
      <c r="BQ97" s="110"/>
      <c r="BR97" s="110"/>
      <c r="BS97" s="110"/>
      <c r="BT97" s="110"/>
      <c r="BU97" s="110"/>
      <c r="BV97" s="110"/>
      <c r="BW97" s="110"/>
      <c r="BX97" s="110"/>
      <c r="BY97" s="110"/>
      <c r="BZ97" s="110"/>
      <c r="CA97" s="110"/>
      <c r="CB97" s="110"/>
      <c r="CC97" s="110"/>
      <c r="CD97" s="110"/>
      <c r="CE97" s="110"/>
      <c r="CF97" s="110"/>
    </row>
    <row r="98" spans="1:84" s="45" customFormat="1" x14ac:dyDescent="0.25">
      <c r="A98" t="str">
        <f>Funktional!A97</f>
        <v>Salmsach-Hungerbühl</v>
      </c>
      <c r="B98" t="str">
        <f>Funktional!B97</f>
        <v>PSG</v>
      </c>
      <c r="C98" s="365">
        <v>188022.3</v>
      </c>
      <c r="D98" s="365">
        <v>679457.05</v>
      </c>
      <c r="E98" s="365">
        <v>64518.45</v>
      </c>
      <c r="F98" s="119">
        <f t="shared" si="32"/>
        <v>743975.5</v>
      </c>
      <c r="G98" s="43"/>
      <c r="H98" s="119">
        <f t="shared" si="33"/>
        <v>931997.8</v>
      </c>
      <c r="I98" s="377"/>
      <c r="J98" s="124">
        <f t="shared" si="34"/>
        <v>0.20174114144904631</v>
      </c>
      <c r="K98" s="42">
        <f t="shared" si="36"/>
        <v>0.79825885855095358</v>
      </c>
      <c r="L98" s="372">
        <f t="shared" si="37"/>
        <v>0.79825885855095358</v>
      </c>
      <c r="M98" s="42"/>
      <c r="N98" s="43"/>
      <c r="O98" s="44"/>
      <c r="P98" s="80"/>
      <c r="Q98" s="43"/>
      <c r="R98" s="43"/>
      <c r="S98" s="43"/>
      <c r="T98" s="43"/>
      <c r="U98" s="43"/>
      <c r="V98" s="43"/>
      <c r="W98" s="43"/>
      <c r="X98" s="43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  <c r="AO98" s="110"/>
      <c r="AP98" s="110"/>
      <c r="AQ98" s="110"/>
      <c r="AR98" s="110"/>
      <c r="AS98" s="110"/>
      <c r="AT98" s="110"/>
      <c r="AU98" s="110"/>
      <c r="AV98" s="110"/>
      <c r="AW98" s="110"/>
      <c r="AX98" s="110"/>
      <c r="AY98" s="110"/>
      <c r="AZ98" s="110"/>
      <c r="BA98" s="110"/>
      <c r="BB98" s="110"/>
      <c r="BC98" s="110"/>
      <c r="BD98" s="110"/>
      <c r="BE98" s="110"/>
      <c r="BF98" s="110"/>
      <c r="BG98" s="110"/>
      <c r="BH98" s="110"/>
      <c r="BI98" s="110"/>
      <c r="BJ98" s="110"/>
      <c r="BK98" s="110"/>
      <c r="BL98" s="110"/>
      <c r="BM98" s="110"/>
      <c r="BN98" s="110"/>
      <c r="BO98" s="110"/>
      <c r="BP98" s="110"/>
      <c r="BQ98" s="110"/>
      <c r="BR98" s="110"/>
      <c r="BS98" s="110"/>
      <c r="BT98" s="110"/>
      <c r="BU98" s="110"/>
      <c r="BV98" s="110"/>
      <c r="BW98" s="110"/>
      <c r="BX98" s="110"/>
      <c r="BY98" s="110"/>
      <c r="BZ98" s="110"/>
      <c r="CA98" s="110"/>
      <c r="CB98" s="110"/>
      <c r="CC98" s="110"/>
      <c r="CD98" s="110"/>
      <c r="CE98" s="110"/>
      <c r="CF98" s="110"/>
    </row>
    <row r="99" spans="1:84" s="45" customFormat="1" x14ac:dyDescent="0.25">
      <c r="A99" t="str">
        <f>Funktional!A98</f>
        <v>Scherzingen</v>
      </c>
      <c r="B99" t="str">
        <f>Funktional!B98</f>
        <v>PSG</v>
      </c>
      <c r="C99" s="365">
        <v>164148.85</v>
      </c>
      <c r="D99" s="365">
        <v>876240.25</v>
      </c>
      <c r="E99" s="365">
        <v>67277.600000000006</v>
      </c>
      <c r="F99" s="119">
        <f t="shared" si="32"/>
        <v>943517.85</v>
      </c>
      <c r="G99" s="43"/>
      <c r="H99" s="119">
        <f t="shared" si="33"/>
        <v>1107666.7</v>
      </c>
      <c r="I99" s="377"/>
      <c r="J99" s="124">
        <f t="shared" si="34"/>
        <v>0.14819335997010655</v>
      </c>
      <c r="K99" s="42">
        <f t="shared" si="36"/>
        <v>0.85180664002989348</v>
      </c>
      <c r="L99" s="372">
        <f t="shared" si="37"/>
        <v>0.85180664002989348</v>
      </c>
      <c r="M99" s="42"/>
      <c r="N99" s="43"/>
      <c r="O99" s="44"/>
      <c r="P99" s="80"/>
      <c r="Q99" s="43"/>
      <c r="R99" s="43"/>
      <c r="S99" s="43"/>
      <c r="T99" s="43"/>
      <c r="U99" s="43"/>
      <c r="V99" s="43"/>
      <c r="W99" s="43"/>
      <c r="X99" s="43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  <c r="AO99" s="110"/>
      <c r="AP99" s="110"/>
      <c r="AQ99" s="110"/>
      <c r="AR99" s="110"/>
      <c r="AS99" s="110"/>
      <c r="AT99" s="110"/>
      <c r="AU99" s="110"/>
      <c r="AV99" s="110"/>
      <c r="AW99" s="110"/>
      <c r="AX99" s="110"/>
      <c r="AY99" s="110"/>
      <c r="AZ99" s="110"/>
      <c r="BA99" s="110"/>
      <c r="BB99" s="110"/>
      <c r="BC99" s="110"/>
      <c r="BD99" s="110"/>
      <c r="BE99" s="110"/>
      <c r="BF99" s="110"/>
      <c r="BG99" s="110"/>
      <c r="BH99" s="110"/>
      <c r="BI99" s="110"/>
      <c r="BJ99" s="110"/>
      <c r="BK99" s="110"/>
      <c r="BL99" s="110"/>
      <c r="BM99" s="110"/>
      <c r="BN99" s="110"/>
      <c r="BO99" s="110"/>
      <c r="BP99" s="110"/>
      <c r="BQ99" s="110"/>
      <c r="BR99" s="110"/>
      <c r="BS99" s="110"/>
      <c r="BT99" s="110"/>
      <c r="BU99" s="110"/>
      <c r="BV99" s="110"/>
      <c r="BW99" s="110"/>
      <c r="BX99" s="110"/>
      <c r="BY99" s="110"/>
      <c r="BZ99" s="110"/>
      <c r="CA99" s="110"/>
      <c r="CB99" s="110"/>
      <c r="CC99" s="110"/>
      <c r="CD99" s="110"/>
      <c r="CE99" s="110"/>
      <c r="CF99" s="110"/>
    </row>
    <row r="100" spans="1:84" s="45" customFormat="1" x14ac:dyDescent="0.25">
      <c r="A100" t="str">
        <f>Funktional!A99</f>
        <v>Schlatt</v>
      </c>
      <c r="B100" t="str">
        <f>Funktional!B99</f>
        <v>PSG</v>
      </c>
      <c r="C100" s="365">
        <v>222549</v>
      </c>
      <c r="D100" s="365">
        <v>674911.95</v>
      </c>
      <c r="E100" s="365">
        <v>59342.7</v>
      </c>
      <c r="F100" s="119">
        <f t="shared" si="32"/>
        <v>734254.64999999991</v>
      </c>
      <c r="G100" s="43"/>
      <c r="H100" s="119">
        <f t="shared" si="33"/>
        <v>956803.64999999991</v>
      </c>
      <c r="I100" s="377"/>
      <c r="J100" s="124">
        <f t="shared" si="34"/>
        <v>0.23259631168840131</v>
      </c>
      <c r="K100" s="42">
        <f t="shared" si="36"/>
        <v>0.76740368831159866</v>
      </c>
      <c r="L100" s="372">
        <f t="shared" si="37"/>
        <v>0.76740368831159866</v>
      </c>
      <c r="M100" s="42"/>
      <c r="N100" s="43"/>
      <c r="O100" s="44"/>
      <c r="P100" s="80"/>
      <c r="Q100" s="43"/>
      <c r="R100" s="43"/>
      <c r="S100" s="43"/>
      <c r="T100" s="43"/>
      <c r="U100" s="43"/>
      <c r="V100" s="43"/>
      <c r="W100" s="43"/>
      <c r="X100" s="43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  <c r="AO100" s="110"/>
      <c r="AP100" s="110"/>
      <c r="AQ100" s="110"/>
      <c r="AR100" s="110"/>
      <c r="AS100" s="110"/>
      <c r="AT100" s="110"/>
      <c r="AU100" s="110"/>
      <c r="AV100" s="110"/>
      <c r="AW100" s="110"/>
      <c r="AX100" s="110"/>
      <c r="AY100" s="110"/>
      <c r="AZ100" s="110"/>
      <c r="BA100" s="110"/>
      <c r="BB100" s="110"/>
      <c r="BC100" s="110"/>
      <c r="BD100" s="110"/>
      <c r="BE100" s="110"/>
      <c r="BF100" s="110"/>
      <c r="BG100" s="110"/>
      <c r="BH100" s="110"/>
      <c r="BI100" s="110"/>
      <c r="BJ100" s="110"/>
      <c r="BK100" s="110"/>
      <c r="BL100" s="110"/>
      <c r="BM100" s="110"/>
      <c r="BN100" s="110"/>
      <c r="BO100" s="110"/>
      <c r="BP100" s="110"/>
      <c r="BQ100" s="110"/>
      <c r="BR100" s="110"/>
      <c r="BS100" s="110"/>
      <c r="BT100" s="110"/>
      <c r="BU100" s="110"/>
      <c r="BV100" s="110"/>
      <c r="BW100" s="110"/>
      <c r="BX100" s="110"/>
      <c r="BY100" s="110"/>
      <c r="BZ100" s="110"/>
      <c r="CA100" s="110"/>
      <c r="CB100" s="110"/>
      <c r="CC100" s="110"/>
      <c r="CD100" s="110"/>
      <c r="CE100" s="110"/>
      <c r="CF100" s="110"/>
    </row>
    <row r="101" spans="1:84" s="45" customFormat="1" x14ac:dyDescent="0.25">
      <c r="A101" t="str">
        <f>Funktional!A100</f>
        <v>Schlattingen</v>
      </c>
      <c r="B101" t="str">
        <f>Funktional!B100</f>
        <v>PSG</v>
      </c>
      <c r="C101" s="365">
        <v>93635.65</v>
      </c>
      <c r="D101" s="365">
        <v>395937.1</v>
      </c>
      <c r="E101" s="365">
        <v>47122.15</v>
      </c>
      <c r="F101" s="119">
        <f t="shared" si="32"/>
        <v>443059.25</v>
      </c>
      <c r="G101" s="43"/>
      <c r="H101" s="119">
        <f t="shared" si="33"/>
        <v>536694.9</v>
      </c>
      <c r="I101" s="377"/>
      <c r="J101" s="124">
        <f t="shared" si="34"/>
        <v>0.17446718796843419</v>
      </c>
      <c r="K101" s="42">
        <f t="shared" si="36"/>
        <v>0.82553281203156581</v>
      </c>
      <c r="L101" s="372">
        <f t="shared" si="37"/>
        <v>0.82553281203156581</v>
      </c>
      <c r="M101" s="42"/>
      <c r="N101" s="43"/>
      <c r="O101" s="44"/>
      <c r="P101" s="80"/>
      <c r="Q101" s="43"/>
      <c r="R101" s="43"/>
      <c r="S101" s="43"/>
      <c r="T101" s="43"/>
      <c r="U101" s="43"/>
      <c r="V101" s="43"/>
      <c r="W101" s="43"/>
      <c r="X101" s="43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  <c r="AO101" s="110"/>
      <c r="AP101" s="110"/>
      <c r="AQ101" s="110"/>
      <c r="AR101" s="110"/>
      <c r="AS101" s="110"/>
      <c r="AT101" s="110"/>
      <c r="AU101" s="110"/>
      <c r="AV101" s="110"/>
      <c r="AW101" s="110"/>
      <c r="AX101" s="110"/>
      <c r="AY101" s="110"/>
      <c r="AZ101" s="110"/>
      <c r="BA101" s="110"/>
      <c r="BB101" s="110"/>
      <c r="BC101" s="110"/>
      <c r="BD101" s="110"/>
      <c r="BE101" s="110"/>
      <c r="BF101" s="110"/>
      <c r="BG101" s="110"/>
      <c r="BH101" s="110"/>
      <c r="BI101" s="110"/>
      <c r="BJ101" s="110"/>
      <c r="BK101" s="110"/>
      <c r="BL101" s="110"/>
      <c r="BM101" s="110"/>
      <c r="BN101" s="110"/>
      <c r="BO101" s="110"/>
      <c r="BP101" s="110"/>
      <c r="BQ101" s="110"/>
      <c r="BR101" s="110"/>
      <c r="BS101" s="110"/>
      <c r="BT101" s="110"/>
      <c r="BU101" s="110"/>
      <c r="BV101" s="110"/>
      <c r="BW101" s="110"/>
      <c r="BX101" s="110"/>
      <c r="BY101" s="110"/>
      <c r="BZ101" s="110"/>
      <c r="CA101" s="110"/>
      <c r="CB101" s="110"/>
      <c r="CC101" s="110"/>
      <c r="CD101" s="110"/>
      <c r="CE101" s="110"/>
      <c r="CF101" s="110"/>
    </row>
    <row r="102" spans="1:84" s="45" customFormat="1" x14ac:dyDescent="0.25">
      <c r="A102" t="str">
        <f>Funktional!A101</f>
        <v>Schmidshof</v>
      </c>
      <c r="B102" t="str">
        <f>Funktional!B101</f>
        <v>PSG</v>
      </c>
      <c r="C102" s="365">
        <v>19413.150000000001</v>
      </c>
      <c r="D102" s="365">
        <v>138947.04999999999</v>
      </c>
      <c r="E102" s="365">
        <v>29980.05</v>
      </c>
      <c r="F102" s="119">
        <f t="shared" si="32"/>
        <v>168927.09999999998</v>
      </c>
      <c r="G102" s="43"/>
      <c r="H102" s="119">
        <f t="shared" si="33"/>
        <v>188340.24999999997</v>
      </c>
      <c r="I102" s="377">
        <f>IF((C102&lt;Funktional!M101),0,C102-Funktional!M101)</f>
        <v>0</v>
      </c>
      <c r="J102" s="124">
        <f t="shared" si="34"/>
        <v>0.10307488707273142</v>
      </c>
      <c r="K102" s="42">
        <f t="shared" si="36"/>
        <v>0.89692511292726862</v>
      </c>
      <c r="L102" s="372">
        <v>1</v>
      </c>
      <c r="M102" s="42"/>
      <c r="N102" s="43"/>
      <c r="O102" s="44"/>
      <c r="P102" s="80"/>
      <c r="Q102" s="43"/>
      <c r="R102" s="43"/>
      <c r="S102" s="43"/>
      <c r="T102" s="43"/>
      <c r="U102" s="43"/>
      <c r="V102" s="43"/>
      <c r="W102" s="43"/>
      <c r="X102" s="43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  <c r="AO102" s="110"/>
      <c r="AP102" s="110"/>
      <c r="AQ102" s="110"/>
      <c r="AR102" s="110"/>
      <c r="AS102" s="110"/>
      <c r="AT102" s="110"/>
      <c r="AU102" s="110"/>
      <c r="AV102" s="110"/>
      <c r="AW102" s="110"/>
      <c r="AX102" s="110"/>
      <c r="AY102" s="110"/>
      <c r="AZ102" s="110"/>
      <c r="BA102" s="110"/>
      <c r="BB102" s="110"/>
      <c r="BC102" s="110"/>
      <c r="BD102" s="110"/>
      <c r="BE102" s="110"/>
      <c r="BF102" s="110"/>
      <c r="BG102" s="110"/>
      <c r="BH102" s="110"/>
      <c r="BI102" s="110"/>
      <c r="BJ102" s="110"/>
      <c r="BK102" s="110"/>
      <c r="BL102" s="110"/>
      <c r="BM102" s="110"/>
      <c r="BN102" s="110"/>
      <c r="BO102" s="110"/>
      <c r="BP102" s="110"/>
      <c r="BQ102" s="110"/>
      <c r="BR102" s="110"/>
      <c r="BS102" s="110"/>
      <c r="BT102" s="110"/>
      <c r="BU102" s="110"/>
      <c r="BV102" s="110"/>
      <c r="BW102" s="110"/>
      <c r="BX102" s="110"/>
      <c r="BY102" s="110"/>
      <c r="BZ102" s="110"/>
      <c r="CA102" s="110"/>
      <c r="CB102" s="110"/>
      <c r="CC102" s="110"/>
      <c r="CD102" s="110"/>
      <c r="CE102" s="110"/>
      <c r="CF102" s="110"/>
    </row>
    <row r="103" spans="1:84" s="45" customFormat="1" x14ac:dyDescent="0.25">
      <c r="A103" t="str">
        <f>Funktional!A102</f>
        <v>Schönenberg-Kradolf</v>
      </c>
      <c r="B103" t="str">
        <f>Funktional!B102</f>
        <v>PSG</v>
      </c>
      <c r="C103" s="365">
        <v>312067.65000000002</v>
      </c>
      <c r="D103" s="365">
        <v>1643309.1</v>
      </c>
      <c r="E103" s="365">
        <v>121289.2</v>
      </c>
      <c r="F103" s="119">
        <f t="shared" ref="F103:F118" si="38">D103+E103</f>
        <v>1764598.3</v>
      </c>
      <c r="G103" s="43"/>
      <c r="H103" s="119">
        <f t="shared" si="33"/>
        <v>2076665.9500000002</v>
      </c>
      <c r="I103" s="377"/>
      <c r="J103" s="124">
        <f t="shared" ref="J103:J118" si="39">C103/H103</f>
        <v>0.15027339856947142</v>
      </c>
      <c r="K103" s="42">
        <f t="shared" si="36"/>
        <v>0.84972660143052858</v>
      </c>
      <c r="L103" s="372">
        <f t="shared" si="37"/>
        <v>0.84972660143052858</v>
      </c>
      <c r="M103" s="42"/>
      <c r="N103" s="43"/>
      <c r="O103" s="44"/>
      <c r="P103" s="80"/>
      <c r="Q103" s="43"/>
      <c r="R103" s="43"/>
      <c r="S103" s="43"/>
      <c r="T103" s="43"/>
      <c r="U103" s="43"/>
      <c r="V103" s="43"/>
      <c r="W103" s="43"/>
      <c r="X103" s="43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  <c r="AO103" s="110"/>
      <c r="AP103" s="110"/>
      <c r="AQ103" s="110"/>
      <c r="AR103" s="110"/>
      <c r="AS103" s="110"/>
      <c r="AT103" s="110"/>
      <c r="AU103" s="110"/>
      <c r="AV103" s="110"/>
      <c r="AW103" s="110"/>
      <c r="AX103" s="110"/>
      <c r="AY103" s="110"/>
      <c r="AZ103" s="110"/>
      <c r="BA103" s="110"/>
      <c r="BB103" s="110"/>
      <c r="BC103" s="110"/>
      <c r="BD103" s="110"/>
      <c r="BE103" s="110"/>
      <c r="BF103" s="110"/>
      <c r="BG103" s="110"/>
      <c r="BH103" s="110"/>
      <c r="BI103" s="110"/>
      <c r="BJ103" s="110"/>
      <c r="BK103" s="110"/>
      <c r="BL103" s="110"/>
      <c r="BM103" s="110"/>
      <c r="BN103" s="110"/>
      <c r="BO103" s="110"/>
      <c r="BP103" s="110"/>
      <c r="BQ103" s="110"/>
      <c r="BR103" s="110"/>
      <c r="BS103" s="110"/>
      <c r="BT103" s="110"/>
      <c r="BU103" s="110"/>
      <c r="BV103" s="110"/>
      <c r="BW103" s="110"/>
      <c r="BX103" s="110"/>
      <c r="BY103" s="110"/>
      <c r="BZ103" s="110"/>
      <c r="CA103" s="110"/>
      <c r="CB103" s="110"/>
      <c r="CC103" s="110"/>
      <c r="CD103" s="110"/>
      <c r="CE103" s="110"/>
      <c r="CF103" s="110"/>
    </row>
    <row r="104" spans="1:84" s="45" customFormat="1" x14ac:dyDescent="0.25">
      <c r="A104" t="str">
        <f>Funktional!A103</f>
        <v>Schönholzerswilen</v>
      </c>
      <c r="B104" t="str">
        <f>Funktional!B103</f>
        <v>PSG</v>
      </c>
      <c r="C104" s="365">
        <v>112254.65</v>
      </c>
      <c r="D104" s="365">
        <v>375141.7</v>
      </c>
      <c r="E104" s="365">
        <v>40633.65</v>
      </c>
      <c r="F104" s="119">
        <f t="shared" si="38"/>
        <v>415775.35000000003</v>
      </c>
      <c r="G104" s="43"/>
      <c r="H104" s="119">
        <f t="shared" si="33"/>
        <v>528030</v>
      </c>
      <c r="I104" s="377"/>
      <c r="J104" s="124">
        <f t="shared" si="39"/>
        <v>0.2125914247296555</v>
      </c>
      <c r="K104" s="42">
        <f t="shared" ref="K104:K118" si="40">F104/H104</f>
        <v>0.78740857527034458</v>
      </c>
      <c r="L104" s="372">
        <f t="shared" ref="L104:L120" si="41">K104</f>
        <v>0.78740857527034458</v>
      </c>
      <c r="M104" s="42"/>
      <c r="N104" s="43"/>
      <c r="O104" s="44"/>
      <c r="P104" s="80"/>
      <c r="Q104" s="43"/>
      <c r="R104" s="43"/>
      <c r="S104" s="43"/>
      <c r="T104" s="43"/>
      <c r="U104" s="43"/>
      <c r="V104" s="43"/>
      <c r="W104" s="43"/>
      <c r="X104" s="43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  <c r="AO104" s="110"/>
      <c r="AP104" s="110"/>
      <c r="AQ104" s="110"/>
      <c r="AR104" s="110"/>
      <c r="AS104" s="110"/>
      <c r="AT104" s="110"/>
      <c r="AU104" s="110"/>
      <c r="AV104" s="110"/>
      <c r="AW104" s="110"/>
      <c r="AX104" s="110"/>
      <c r="AY104" s="110"/>
      <c r="AZ104" s="110"/>
      <c r="BA104" s="110"/>
      <c r="BB104" s="110"/>
      <c r="BC104" s="110"/>
      <c r="BD104" s="110"/>
      <c r="BE104" s="110"/>
      <c r="BF104" s="110"/>
      <c r="BG104" s="110"/>
      <c r="BH104" s="110"/>
      <c r="BI104" s="110"/>
      <c r="BJ104" s="110"/>
      <c r="BK104" s="110"/>
      <c r="BL104" s="110"/>
      <c r="BM104" s="110"/>
      <c r="BN104" s="110"/>
      <c r="BO104" s="110"/>
      <c r="BP104" s="110"/>
      <c r="BQ104" s="110"/>
      <c r="BR104" s="110"/>
      <c r="BS104" s="110"/>
      <c r="BT104" s="110"/>
      <c r="BU104" s="110"/>
      <c r="BV104" s="110"/>
      <c r="BW104" s="110"/>
      <c r="BX104" s="110"/>
      <c r="BY104" s="110"/>
      <c r="BZ104" s="110"/>
      <c r="CA104" s="110"/>
      <c r="CB104" s="110"/>
      <c r="CC104" s="110"/>
      <c r="CD104" s="110"/>
      <c r="CE104" s="110"/>
      <c r="CF104" s="110"/>
    </row>
    <row r="105" spans="1:84" s="45" customFormat="1" x14ac:dyDescent="0.25">
      <c r="A105" t="str">
        <f>Funktional!A104</f>
        <v>Schurten</v>
      </c>
      <c r="B105" t="str">
        <f>Funktional!B104</f>
        <v>PSG</v>
      </c>
      <c r="C105" s="365">
        <v>0</v>
      </c>
      <c r="D105" s="365">
        <v>141821</v>
      </c>
      <c r="E105" s="365">
        <v>10908.95</v>
      </c>
      <c r="F105" s="119">
        <f t="shared" si="38"/>
        <v>152729.95000000001</v>
      </c>
      <c r="G105" s="43"/>
      <c r="H105" s="119">
        <f t="shared" ref="H105:H120" si="42">C105+F105+I105</f>
        <v>152729.95000000001</v>
      </c>
      <c r="I105" s="377">
        <f>IF((C105&lt;Funktional!M104),0,C105-Funktional!M104)</f>
        <v>0</v>
      </c>
      <c r="J105" s="124">
        <f t="shared" si="39"/>
        <v>0</v>
      </c>
      <c r="K105" s="42">
        <f t="shared" si="40"/>
        <v>1</v>
      </c>
      <c r="L105" s="372">
        <f t="shared" si="41"/>
        <v>1</v>
      </c>
      <c r="M105" s="42"/>
      <c r="N105" s="43"/>
      <c r="O105" s="44"/>
      <c r="P105" s="80"/>
      <c r="Q105" s="43"/>
      <c r="R105" s="43"/>
      <c r="S105" s="43"/>
      <c r="T105" s="43"/>
      <c r="U105" s="43"/>
      <c r="V105" s="43"/>
      <c r="W105" s="43"/>
      <c r="X105" s="43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  <c r="AO105" s="110"/>
      <c r="AP105" s="110"/>
      <c r="AQ105" s="110"/>
      <c r="AR105" s="110"/>
      <c r="AS105" s="110"/>
      <c r="AT105" s="110"/>
      <c r="AU105" s="110"/>
      <c r="AV105" s="110"/>
      <c r="AW105" s="110"/>
      <c r="AX105" s="110"/>
      <c r="AY105" s="110"/>
      <c r="AZ105" s="110"/>
      <c r="BA105" s="110"/>
      <c r="BB105" s="110"/>
      <c r="BC105" s="110"/>
      <c r="BD105" s="110"/>
      <c r="BE105" s="110"/>
      <c r="BF105" s="110"/>
      <c r="BG105" s="110"/>
      <c r="BH105" s="110"/>
      <c r="BI105" s="110"/>
      <c r="BJ105" s="110"/>
      <c r="BK105" s="110"/>
      <c r="BL105" s="110"/>
      <c r="BM105" s="110"/>
      <c r="BN105" s="110"/>
      <c r="BO105" s="110"/>
      <c r="BP105" s="110"/>
      <c r="BQ105" s="110"/>
      <c r="BR105" s="110"/>
      <c r="BS105" s="110"/>
      <c r="BT105" s="110"/>
      <c r="BU105" s="110"/>
      <c r="BV105" s="110"/>
      <c r="BW105" s="110"/>
      <c r="BX105" s="110"/>
      <c r="BY105" s="110"/>
      <c r="BZ105" s="110"/>
      <c r="CA105" s="110"/>
      <c r="CB105" s="110"/>
      <c r="CC105" s="110"/>
      <c r="CD105" s="110"/>
      <c r="CE105" s="110"/>
      <c r="CF105" s="110"/>
    </row>
    <row r="106" spans="1:84" s="45" customFormat="1" x14ac:dyDescent="0.25">
      <c r="A106" t="str">
        <f>Funktional!A105</f>
        <v>Sirnach</v>
      </c>
      <c r="B106" t="str">
        <f>Funktional!B105</f>
        <v>PSG</v>
      </c>
      <c r="C106" s="365">
        <v>543476.05000000005</v>
      </c>
      <c r="D106" s="365">
        <v>2520253.4</v>
      </c>
      <c r="E106" s="365">
        <v>199252.55</v>
      </c>
      <c r="F106" s="119">
        <f t="shared" si="38"/>
        <v>2719505.9499999997</v>
      </c>
      <c r="G106" s="43"/>
      <c r="H106" s="119">
        <f t="shared" si="42"/>
        <v>3262982</v>
      </c>
      <c r="I106" s="377"/>
      <c r="J106" s="124">
        <f t="shared" si="39"/>
        <v>0.16655809011511558</v>
      </c>
      <c r="K106" s="42">
        <f t="shared" si="40"/>
        <v>0.83344190988488431</v>
      </c>
      <c r="L106" s="372">
        <f t="shared" si="41"/>
        <v>0.83344190988488431</v>
      </c>
      <c r="M106" s="42"/>
      <c r="N106" s="43"/>
      <c r="O106" s="44"/>
      <c r="P106" s="80"/>
      <c r="Q106" s="43"/>
      <c r="R106" s="43"/>
      <c r="S106" s="43"/>
      <c r="T106" s="43"/>
      <c r="U106" s="43"/>
      <c r="V106" s="43"/>
      <c r="W106" s="43"/>
      <c r="X106" s="43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  <c r="AO106" s="110"/>
      <c r="AP106" s="110"/>
      <c r="AQ106" s="110"/>
      <c r="AR106" s="110"/>
      <c r="AS106" s="110"/>
      <c r="AT106" s="110"/>
      <c r="AU106" s="110"/>
      <c r="AV106" s="110"/>
      <c r="AW106" s="110"/>
      <c r="AX106" s="110"/>
      <c r="AY106" s="110"/>
      <c r="AZ106" s="110"/>
      <c r="BA106" s="110"/>
      <c r="BB106" s="110"/>
      <c r="BC106" s="110"/>
      <c r="BD106" s="110"/>
      <c r="BE106" s="110"/>
      <c r="BF106" s="110"/>
      <c r="BG106" s="110"/>
      <c r="BH106" s="110"/>
      <c r="BI106" s="110"/>
      <c r="BJ106" s="110"/>
      <c r="BK106" s="110"/>
      <c r="BL106" s="110"/>
      <c r="BM106" s="110"/>
      <c r="BN106" s="110"/>
      <c r="BO106" s="110"/>
      <c r="BP106" s="110"/>
      <c r="BQ106" s="110"/>
      <c r="BR106" s="110"/>
      <c r="BS106" s="110"/>
      <c r="BT106" s="110"/>
      <c r="BU106" s="110"/>
      <c r="BV106" s="110"/>
      <c r="BW106" s="110"/>
      <c r="BX106" s="110"/>
      <c r="BY106" s="110"/>
      <c r="BZ106" s="110"/>
      <c r="CA106" s="110"/>
      <c r="CB106" s="110"/>
      <c r="CC106" s="110"/>
      <c r="CD106" s="110"/>
      <c r="CE106" s="110"/>
      <c r="CF106" s="110"/>
    </row>
    <row r="107" spans="1:84" s="45" customFormat="1" x14ac:dyDescent="0.25">
      <c r="A107" t="str">
        <f>Funktional!A106</f>
        <v>Sitterdorf</v>
      </c>
      <c r="B107" t="str">
        <f>Funktional!B106</f>
        <v>PSG</v>
      </c>
      <c r="C107" s="365">
        <v>178902.85</v>
      </c>
      <c r="D107" s="365">
        <v>672723.9</v>
      </c>
      <c r="E107" s="365">
        <v>49722.35</v>
      </c>
      <c r="F107" s="119">
        <f t="shared" si="38"/>
        <v>722446.25</v>
      </c>
      <c r="G107" s="43"/>
      <c r="H107" s="119">
        <f t="shared" si="42"/>
        <v>901349.1</v>
      </c>
      <c r="I107" s="377"/>
      <c r="J107" s="124">
        <f t="shared" si="39"/>
        <v>0.19848341780116052</v>
      </c>
      <c r="K107" s="42">
        <f t="shared" si="40"/>
        <v>0.80151658219883948</v>
      </c>
      <c r="L107" s="372">
        <f t="shared" si="41"/>
        <v>0.80151658219883948</v>
      </c>
      <c r="M107" s="42"/>
      <c r="N107" s="43"/>
      <c r="O107" s="44"/>
      <c r="P107" s="80"/>
      <c r="Q107" s="43"/>
      <c r="R107" s="43"/>
      <c r="S107" s="43"/>
      <c r="T107" s="43"/>
      <c r="U107" s="43"/>
      <c r="V107" s="43"/>
      <c r="W107" s="43"/>
      <c r="X107" s="43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  <c r="AO107" s="110"/>
      <c r="AP107" s="110"/>
      <c r="AQ107" s="110"/>
      <c r="AR107" s="110"/>
      <c r="AS107" s="110"/>
      <c r="AT107" s="110"/>
      <c r="AU107" s="110"/>
      <c r="AV107" s="110"/>
      <c r="AW107" s="110"/>
      <c r="AX107" s="110"/>
      <c r="AY107" s="110"/>
      <c r="AZ107" s="110"/>
      <c r="BA107" s="110"/>
      <c r="BB107" s="110"/>
      <c r="BC107" s="110"/>
      <c r="BD107" s="110"/>
      <c r="BE107" s="110"/>
      <c r="BF107" s="110"/>
      <c r="BG107" s="110"/>
      <c r="BH107" s="110"/>
      <c r="BI107" s="110"/>
      <c r="BJ107" s="110"/>
      <c r="BK107" s="110"/>
      <c r="BL107" s="110"/>
      <c r="BM107" s="110"/>
      <c r="BN107" s="110"/>
      <c r="BO107" s="110"/>
      <c r="BP107" s="110"/>
      <c r="BQ107" s="110"/>
      <c r="BR107" s="110"/>
      <c r="BS107" s="110"/>
      <c r="BT107" s="110"/>
      <c r="BU107" s="110"/>
      <c r="BV107" s="110"/>
      <c r="BW107" s="110"/>
      <c r="BX107" s="110"/>
      <c r="BY107" s="110"/>
      <c r="BZ107" s="110"/>
      <c r="CA107" s="110"/>
      <c r="CB107" s="110"/>
      <c r="CC107" s="110"/>
      <c r="CD107" s="110"/>
      <c r="CE107" s="110"/>
      <c r="CF107" s="110"/>
    </row>
    <row r="108" spans="1:84" s="45" customFormat="1" x14ac:dyDescent="0.25">
      <c r="A108" t="str">
        <f>Funktional!A107</f>
        <v>Sommeri</v>
      </c>
      <c r="B108" t="str">
        <f>Funktional!B107</f>
        <v>PSG</v>
      </c>
      <c r="C108" s="365">
        <v>80224.55</v>
      </c>
      <c r="D108" s="365">
        <v>251214.25</v>
      </c>
      <c r="E108" s="365">
        <v>21100.15</v>
      </c>
      <c r="F108" s="119">
        <f t="shared" si="38"/>
        <v>272314.40000000002</v>
      </c>
      <c r="G108" s="43"/>
      <c r="H108" s="119">
        <f t="shared" si="42"/>
        <v>352538.95</v>
      </c>
      <c r="I108" s="377"/>
      <c r="J108" s="124">
        <f t="shared" si="39"/>
        <v>0.2275622310669502</v>
      </c>
      <c r="K108" s="42">
        <f t="shared" si="40"/>
        <v>0.77243776893304983</v>
      </c>
      <c r="L108" s="372">
        <f t="shared" si="41"/>
        <v>0.77243776893304983</v>
      </c>
      <c r="M108" s="42"/>
      <c r="N108" s="43"/>
      <c r="O108" s="44"/>
      <c r="P108" s="80"/>
      <c r="Q108" s="43"/>
      <c r="R108" s="43"/>
      <c r="S108" s="43"/>
      <c r="T108" s="43"/>
      <c r="U108" s="43"/>
      <c r="V108" s="43"/>
      <c r="W108" s="43"/>
      <c r="X108" s="43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  <c r="AO108" s="110"/>
      <c r="AP108" s="110"/>
      <c r="AQ108" s="110"/>
      <c r="AR108" s="110"/>
      <c r="AS108" s="110"/>
      <c r="AT108" s="110"/>
      <c r="AU108" s="110"/>
      <c r="AV108" s="110"/>
      <c r="AW108" s="110"/>
      <c r="AX108" s="110"/>
      <c r="AY108" s="110"/>
      <c r="AZ108" s="110"/>
      <c r="BA108" s="110"/>
      <c r="BB108" s="110"/>
      <c r="BC108" s="110"/>
      <c r="BD108" s="110"/>
      <c r="BE108" s="110"/>
      <c r="BF108" s="110"/>
      <c r="BG108" s="110"/>
      <c r="BH108" s="110"/>
      <c r="BI108" s="110"/>
      <c r="BJ108" s="110"/>
      <c r="BK108" s="110"/>
      <c r="BL108" s="110"/>
      <c r="BM108" s="110"/>
      <c r="BN108" s="110"/>
      <c r="BO108" s="110"/>
      <c r="BP108" s="110"/>
      <c r="BQ108" s="110"/>
      <c r="BR108" s="110"/>
      <c r="BS108" s="110"/>
      <c r="BT108" s="110"/>
      <c r="BU108" s="110"/>
      <c r="BV108" s="110"/>
      <c r="BW108" s="110"/>
      <c r="BX108" s="110"/>
      <c r="BY108" s="110"/>
      <c r="BZ108" s="110"/>
      <c r="CA108" s="110"/>
      <c r="CB108" s="110"/>
      <c r="CC108" s="110"/>
      <c r="CD108" s="110"/>
      <c r="CE108" s="110"/>
      <c r="CF108" s="110"/>
    </row>
    <row r="109" spans="1:84" s="45" customFormat="1" x14ac:dyDescent="0.25">
      <c r="A109" t="str">
        <f>Funktional!A108</f>
        <v>Sonterswil</v>
      </c>
      <c r="B109" t="str">
        <f>Funktional!B108</f>
        <v>PSG</v>
      </c>
      <c r="C109" s="365">
        <v>87396</v>
      </c>
      <c r="D109" s="365">
        <v>361778.95</v>
      </c>
      <c r="E109" s="365">
        <v>38669.300000000003</v>
      </c>
      <c r="F109" s="119">
        <f t="shared" si="38"/>
        <v>400448.25</v>
      </c>
      <c r="G109" s="43"/>
      <c r="H109" s="119">
        <f t="shared" si="42"/>
        <v>487844.25</v>
      </c>
      <c r="I109" s="377"/>
      <c r="J109" s="124">
        <f t="shared" si="39"/>
        <v>0.17914734057027423</v>
      </c>
      <c r="K109" s="42">
        <f t="shared" si="40"/>
        <v>0.82085265942972574</v>
      </c>
      <c r="L109" s="372">
        <f t="shared" si="41"/>
        <v>0.82085265942972574</v>
      </c>
      <c r="M109" s="42"/>
      <c r="N109" s="43"/>
      <c r="O109" s="44"/>
      <c r="P109" s="80"/>
      <c r="Q109" s="43"/>
      <c r="R109" s="43"/>
      <c r="S109" s="43"/>
      <c r="T109" s="43"/>
      <c r="U109" s="43"/>
      <c r="V109" s="43"/>
      <c r="W109" s="43"/>
      <c r="X109" s="43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  <c r="AU109" s="110"/>
      <c r="AV109" s="110"/>
      <c r="AW109" s="110"/>
      <c r="AX109" s="110"/>
      <c r="AY109" s="110"/>
      <c r="AZ109" s="110"/>
      <c r="BA109" s="110"/>
      <c r="BB109" s="110"/>
      <c r="BC109" s="110"/>
      <c r="BD109" s="110"/>
      <c r="BE109" s="110"/>
      <c r="BF109" s="110"/>
      <c r="BG109" s="110"/>
      <c r="BH109" s="110"/>
      <c r="BI109" s="110"/>
      <c r="BJ109" s="110"/>
      <c r="BK109" s="110"/>
      <c r="BL109" s="110"/>
      <c r="BM109" s="110"/>
      <c r="BN109" s="110"/>
      <c r="BO109" s="110"/>
      <c r="BP109" s="110"/>
      <c r="BQ109" s="110"/>
      <c r="BR109" s="110"/>
      <c r="BS109" s="110"/>
      <c r="BT109" s="110"/>
      <c r="BU109" s="110"/>
      <c r="BV109" s="110"/>
      <c r="BW109" s="110"/>
      <c r="BX109" s="110"/>
      <c r="BY109" s="110"/>
      <c r="BZ109" s="110"/>
      <c r="CA109" s="110"/>
      <c r="CB109" s="110"/>
      <c r="CC109" s="110"/>
      <c r="CD109" s="110"/>
      <c r="CE109" s="110"/>
      <c r="CF109" s="110"/>
    </row>
    <row r="110" spans="1:84" s="45" customFormat="1" x14ac:dyDescent="0.25">
      <c r="A110" t="str">
        <f>Funktional!A109</f>
        <v>Steckborn</v>
      </c>
      <c r="B110" t="str">
        <f>Funktional!B109</f>
        <v>PSG</v>
      </c>
      <c r="C110" s="365">
        <v>386641.65</v>
      </c>
      <c r="D110" s="365">
        <v>1868089.75</v>
      </c>
      <c r="E110" s="365">
        <v>135334.35</v>
      </c>
      <c r="F110" s="119">
        <f t="shared" si="38"/>
        <v>2003424.1</v>
      </c>
      <c r="G110" s="43"/>
      <c r="H110" s="119">
        <f t="shared" si="42"/>
        <v>2390065.75</v>
      </c>
      <c r="I110" s="377"/>
      <c r="J110" s="124">
        <f t="shared" si="39"/>
        <v>0.16177029857860606</v>
      </c>
      <c r="K110" s="42">
        <f t="shared" si="40"/>
        <v>0.83822970142139397</v>
      </c>
      <c r="L110" s="372">
        <f t="shared" si="41"/>
        <v>0.83822970142139397</v>
      </c>
      <c r="M110" s="42"/>
      <c r="N110" s="43"/>
      <c r="O110" s="44"/>
      <c r="P110" s="80"/>
      <c r="Q110" s="43"/>
      <c r="R110" s="43"/>
      <c r="S110" s="43"/>
      <c r="T110" s="43"/>
      <c r="U110" s="43"/>
      <c r="V110" s="43"/>
      <c r="W110" s="43"/>
      <c r="X110" s="43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  <c r="AO110" s="110"/>
      <c r="AP110" s="110"/>
      <c r="AQ110" s="110"/>
      <c r="AR110" s="110"/>
      <c r="AS110" s="110"/>
      <c r="AT110" s="110"/>
      <c r="AU110" s="110"/>
      <c r="AV110" s="110"/>
      <c r="AW110" s="110"/>
      <c r="AX110" s="110"/>
      <c r="AY110" s="110"/>
      <c r="AZ110" s="110"/>
      <c r="BA110" s="110"/>
      <c r="BB110" s="110"/>
      <c r="BC110" s="110"/>
      <c r="BD110" s="110"/>
      <c r="BE110" s="110"/>
      <c r="BF110" s="110"/>
      <c r="BG110" s="110"/>
      <c r="BH110" s="110"/>
      <c r="BI110" s="110"/>
      <c r="BJ110" s="110"/>
      <c r="BK110" s="110"/>
      <c r="BL110" s="110"/>
      <c r="BM110" s="110"/>
      <c r="BN110" s="110"/>
      <c r="BO110" s="110"/>
      <c r="BP110" s="110"/>
      <c r="BQ110" s="110"/>
      <c r="BR110" s="110"/>
      <c r="BS110" s="110"/>
      <c r="BT110" s="110"/>
      <c r="BU110" s="110"/>
      <c r="BV110" s="110"/>
      <c r="BW110" s="110"/>
      <c r="BX110" s="110"/>
      <c r="BY110" s="110"/>
      <c r="BZ110" s="110"/>
      <c r="CA110" s="110"/>
      <c r="CB110" s="110"/>
      <c r="CC110" s="110"/>
      <c r="CD110" s="110"/>
      <c r="CE110" s="110"/>
      <c r="CF110" s="110"/>
    </row>
    <row r="111" spans="1:84" s="45" customFormat="1" x14ac:dyDescent="0.25">
      <c r="A111" t="str">
        <f>Funktional!A110</f>
        <v>Steinebrunn</v>
      </c>
      <c r="B111" t="str">
        <f>Funktional!B110</f>
        <v>PSG</v>
      </c>
      <c r="C111" s="365">
        <v>89699</v>
      </c>
      <c r="D111" s="365">
        <v>388544.05</v>
      </c>
      <c r="E111" s="365">
        <v>38019.550000000003</v>
      </c>
      <c r="F111" s="119">
        <f t="shared" si="38"/>
        <v>426563.6</v>
      </c>
      <c r="G111" s="43"/>
      <c r="H111" s="119">
        <f t="shared" si="42"/>
        <v>516262.6</v>
      </c>
      <c r="I111" s="377"/>
      <c r="J111" s="124">
        <f t="shared" si="39"/>
        <v>0.17374684898731771</v>
      </c>
      <c r="K111" s="42">
        <f t="shared" si="40"/>
        <v>0.82625315101268226</v>
      </c>
      <c r="L111" s="372">
        <f t="shared" si="41"/>
        <v>0.82625315101268226</v>
      </c>
      <c r="M111" s="42"/>
      <c r="N111" s="43"/>
      <c r="O111" s="44"/>
      <c r="P111" s="80"/>
      <c r="Q111" s="43"/>
      <c r="R111" s="43"/>
      <c r="S111" s="43"/>
      <c r="T111" s="43"/>
      <c r="U111" s="43"/>
      <c r="V111" s="43"/>
      <c r="W111" s="43"/>
      <c r="X111" s="43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0"/>
      <c r="BH111" s="110"/>
      <c r="BI111" s="110"/>
      <c r="BJ111" s="110"/>
      <c r="BK111" s="110"/>
      <c r="BL111" s="110"/>
      <c r="BM111" s="110"/>
      <c r="BN111" s="110"/>
      <c r="BO111" s="110"/>
      <c r="BP111" s="110"/>
      <c r="BQ111" s="110"/>
      <c r="BR111" s="110"/>
      <c r="BS111" s="110"/>
      <c r="BT111" s="110"/>
      <c r="BU111" s="110"/>
      <c r="BV111" s="110"/>
      <c r="BW111" s="110"/>
      <c r="BX111" s="110"/>
      <c r="BY111" s="110"/>
      <c r="BZ111" s="110"/>
      <c r="CA111" s="110"/>
      <c r="CB111" s="110"/>
      <c r="CC111" s="110"/>
      <c r="CD111" s="110"/>
      <c r="CE111" s="110"/>
      <c r="CF111" s="110"/>
    </row>
    <row r="112" spans="1:84" s="45" customFormat="1" x14ac:dyDescent="0.25">
      <c r="A112" t="str">
        <f>Funktional!A111</f>
        <v>Stettfurt</v>
      </c>
      <c r="B112" t="str">
        <f>Funktional!B111</f>
        <v>PSG</v>
      </c>
      <c r="C112" s="365">
        <v>167918.3</v>
      </c>
      <c r="D112" s="365">
        <v>469288.95</v>
      </c>
      <c r="E112" s="365">
        <v>51262.05</v>
      </c>
      <c r="F112" s="119">
        <f t="shared" si="38"/>
        <v>520551</v>
      </c>
      <c r="G112" s="43"/>
      <c r="H112" s="119">
        <f t="shared" si="42"/>
        <v>688469.3</v>
      </c>
      <c r="I112" s="377"/>
      <c r="J112" s="124">
        <f t="shared" si="39"/>
        <v>0.24390092630128893</v>
      </c>
      <c r="K112" s="42">
        <f t="shared" si="40"/>
        <v>0.75609907369871099</v>
      </c>
      <c r="L112" s="372">
        <f t="shared" si="41"/>
        <v>0.75609907369871099</v>
      </c>
      <c r="M112" s="42"/>
      <c r="N112" s="43"/>
      <c r="O112" s="44"/>
      <c r="P112" s="80"/>
      <c r="Q112" s="43"/>
      <c r="R112" s="43"/>
      <c r="S112" s="43"/>
      <c r="T112" s="43"/>
      <c r="U112" s="43"/>
      <c r="V112" s="43"/>
      <c r="W112" s="43"/>
      <c r="X112" s="43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  <c r="AO112" s="110"/>
      <c r="AP112" s="110"/>
      <c r="AQ112" s="110"/>
      <c r="AR112" s="110"/>
      <c r="AS112" s="110"/>
      <c r="AT112" s="110"/>
      <c r="AU112" s="110"/>
      <c r="AV112" s="110"/>
      <c r="AW112" s="110"/>
      <c r="AX112" s="110"/>
      <c r="AY112" s="110"/>
      <c r="AZ112" s="110"/>
      <c r="BA112" s="110"/>
      <c r="BB112" s="110"/>
      <c r="BC112" s="110"/>
      <c r="BD112" s="110"/>
      <c r="BE112" s="110"/>
      <c r="BF112" s="110"/>
      <c r="BG112" s="110"/>
      <c r="BH112" s="110"/>
      <c r="BI112" s="110"/>
      <c r="BJ112" s="110"/>
      <c r="BK112" s="110"/>
      <c r="BL112" s="110"/>
      <c r="BM112" s="110"/>
      <c r="BN112" s="110"/>
      <c r="BO112" s="110"/>
      <c r="BP112" s="110"/>
      <c r="BQ112" s="110"/>
      <c r="BR112" s="110"/>
      <c r="BS112" s="110"/>
      <c r="BT112" s="110"/>
      <c r="BU112" s="110"/>
      <c r="BV112" s="110"/>
      <c r="BW112" s="110"/>
      <c r="BX112" s="110"/>
      <c r="BY112" s="110"/>
      <c r="BZ112" s="110"/>
      <c r="CA112" s="110"/>
      <c r="CB112" s="110"/>
      <c r="CC112" s="110"/>
      <c r="CD112" s="110"/>
      <c r="CE112" s="110"/>
      <c r="CF112" s="110"/>
    </row>
    <row r="113" spans="1:84" s="45" customFormat="1" x14ac:dyDescent="0.25">
      <c r="A113" t="str">
        <f>Funktional!A112</f>
        <v>Strohwilen-Wolfikon</v>
      </c>
      <c r="B113" t="str">
        <f>Funktional!B112</f>
        <v>PSG</v>
      </c>
      <c r="C113" s="365">
        <v>62438.8</v>
      </c>
      <c r="D113" s="365">
        <v>156987.20000000001</v>
      </c>
      <c r="E113" s="365">
        <v>8866.4500000000007</v>
      </c>
      <c r="F113" s="119">
        <f t="shared" si="38"/>
        <v>165853.65000000002</v>
      </c>
      <c r="G113" s="43"/>
      <c r="H113" s="119">
        <f t="shared" si="42"/>
        <v>228292.45</v>
      </c>
      <c r="I113" s="377"/>
      <c r="J113" s="124">
        <f t="shared" si="39"/>
        <v>0.27350356965374895</v>
      </c>
      <c r="K113" s="42">
        <f t="shared" si="40"/>
        <v>0.72649643034625111</v>
      </c>
      <c r="L113" s="372">
        <f t="shared" si="41"/>
        <v>0.72649643034625111</v>
      </c>
      <c r="M113" s="42"/>
      <c r="N113" s="43"/>
      <c r="O113" s="44"/>
      <c r="P113" s="80"/>
      <c r="Q113" s="43"/>
      <c r="R113" s="43"/>
      <c r="S113" s="43"/>
      <c r="T113" s="43"/>
      <c r="U113" s="43"/>
      <c r="V113" s="43"/>
      <c r="W113" s="43"/>
      <c r="X113" s="43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0"/>
      <c r="BH113" s="110"/>
      <c r="BI113" s="110"/>
      <c r="BJ113" s="110"/>
      <c r="BK113" s="110"/>
      <c r="BL113" s="110"/>
      <c r="BM113" s="110"/>
      <c r="BN113" s="110"/>
      <c r="BO113" s="110"/>
      <c r="BP113" s="110"/>
      <c r="BQ113" s="110"/>
      <c r="BR113" s="110"/>
      <c r="BS113" s="110"/>
      <c r="BT113" s="110"/>
      <c r="BU113" s="110"/>
      <c r="BV113" s="110"/>
      <c r="BW113" s="110"/>
      <c r="BX113" s="110"/>
      <c r="BY113" s="110"/>
      <c r="BZ113" s="110"/>
      <c r="CA113" s="110"/>
      <c r="CB113" s="110"/>
      <c r="CC113" s="110"/>
      <c r="CD113" s="110"/>
      <c r="CE113" s="110"/>
      <c r="CF113" s="110"/>
    </row>
    <row r="114" spans="1:84" s="45" customFormat="1" x14ac:dyDescent="0.25">
      <c r="A114" t="str">
        <f>Funktional!A113</f>
        <v>Sulgen</v>
      </c>
      <c r="B114" t="str">
        <f>Funktional!B113</f>
        <v>PSG</v>
      </c>
      <c r="C114" s="365">
        <v>357501.5</v>
      </c>
      <c r="D114" s="365">
        <v>1808899.95</v>
      </c>
      <c r="E114" s="365">
        <v>163802.95000000001</v>
      </c>
      <c r="F114" s="119">
        <f t="shared" si="38"/>
        <v>1972702.9</v>
      </c>
      <c r="G114" s="43"/>
      <c r="H114" s="119">
        <f t="shared" si="42"/>
        <v>2330204.4</v>
      </c>
      <c r="I114" s="377"/>
      <c r="J114" s="124">
        <f t="shared" si="39"/>
        <v>0.15342066129477741</v>
      </c>
      <c r="K114" s="42">
        <f t="shared" si="40"/>
        <v>0.84657933870522262</v>
      </c>
      <c r="L114" s="372">
        <f t="shared" si="41"/>
        <v>0.84657933870522262</v>
      </c>
      <c r="M114" s="42"/>
      <c r="N114" s="43"/>
      <c r="O114" s="44"/>
      <c r="P114" s="80"/>
      <c r="Q114" s="43"/>
      <c r="R114" s="43"/>
      <c r="S114" s="43"/>
      <c r="T114" s="43"/>
      <c r="U114" s="43"/>
      <c r="V114" s="43"/>
      <c r="W114" s="43"/>
      <c r="X114" s="43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  <c r="AO114" s="110"/>
      <c r="AP114" s="110"/>
      <c r="AQ114" s="110"/>
      <c r="AR114" s="110"/>
      <c r="AS114" s="110"/>
      <c r="AT114" s="110"/>
      <c r="AU114" s="110"/>
      <c r="AV114" s="110"/>
      <c r="AW114" s="110"/>
      <c r="AX114" s="110"/>
      <c r="AY114" s="110"/>
      <c r="AZ114" s="110"/>
      <c r="BA114" s="110"/>
      <c r="BB114" s="110"/>
      <c r="BC114" s="110"/>
      <c r="BD114" s="110"/>
      <c r="BE114" s="110"/>
      <c r="BF114" s="110"/>
      <c r="BG114" s="110"/>
      <c r="BH114" s="110"/>
      <c r="BI114" s="110"/>
      <c r="BJ114" s="110"/>
      <c r="BK114" s="110"/>
      <c r="BL114" s="110"/>
      <c r="BM114" s="110"/>
      <c r="BN114" s="110"/>
      <c r="BO114" s="110"/>
      <c r="BP114" s="110"/>
      <c r="BQ114" s="110"/>
      <c r="BR114" s="110"/>
      <c r="BS114" s="110"/>
      <c r="BT114" s="110"/>
      <c r="BU114" s="110"/>
      <c r="BV114" s="110"/>
      <c r="BW114" s="110"/>
      <c r="BX114" s="110"/>
      <c r="BY114" s="110"/>
      <c r="BZ114" s="110"/>
      <c r="CA114" s="110"/>
      <c r="CB114" s="110"/>
      <c r="CC114" s="110"/>
      <c r="CD114" s="110"/>
      <c r="CE114" s="110"/>
      <c r="CF114" s="110"/>
    </row>
    <row r="115" spans="1:84" s="45" customFormat="1" x14ac:dyDescent="0.25">
      <c r="A115" t="str">
        <f>Funktional!A114</f>
        <v>Tägerwilen</v>
      </c>
      <c r="B115" t="str">
        <f>Funktional!B114</f>
        <v>PSG</v>
      </c>
      <c r="C115" s="365">
        <v>488870.2</v>
      </c>
      <c r="D115" s="365">
        <v>1783715.65</v>
      </c>
      <c r="E115" s="365">
        <v>110615.15</v>
      </c>
      <c r="F115" s="119">
        <f t="shared" si="38"/>
        <v>1894330.7999999998</v>
      </c>
      <c r="G115" s="43"/>
      <c r="H115" s="119">
        <f t="shared" si="42"/>
        <v>2383201</v>
      </c>
      <c r="I115" s="377"/>
      <c r="J115" s="124">
        <f t="shared" si="39"/>
        <v>0.20513175346938844</v>
      </c>
      <c r="K115" s="42">
        <f t="shared" si="40"/>
        <v>0.7948682465306115</v>
      </c>
      <c r="L115" s="372">
        <f t="shared" si="41"/>
        <v>0.7948682465306115</v>
      </c>
      <c r="M115" s="42"/>
      <c r="N115" s="43"/>
      <c r="O115" s="44"/>
      <c r="P115" s="80"/>
      <c r="Q115" s="43"/>
      <c r="R115" s="43"/>
      <c r="S115" s="43"/>
      <c r="T115" s="43"/>
      <c r="U115" s="43"/>
      <c r="V115" s="43"/>
      <c r="W115" s="43"/>
      <c r="X115" s="43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  <c r="AO115" s="110"/>
      <c r="AP115" s="110"/>
      <c r="AQ115" s="110"/>
      <c r="AR115" s="110"/>
      <c r="AS115" s="110"/>
      <c r="AT115" s="110"/>
      <c r="AU115" s="110"/>
      <c r="AV115" s="110"/>
      <c r="AW115" s="110"/>
      <c r="AX115" s="110"/>
      <c r="AY115" s="110"/>
      <c r="AZ115" s="110"/>
      <c r="BA115" s="110"/>
      <c r="BB115" s="110"/>
      <c r="BC115" s="110"/>
      <c r="BD115" s="110"/>
      <c r="BE115" s="110"/>
      <c r="BF115" s="110"/>
      <c r="BG115" s="110"/>
      <c r="BH115" s="110"/>
      <c r="BI115" s="110"/>
      <c r="BJ115" s="110"/>
      <c r="BK115" s="110"/>
      <c r="BL115" s="110"/>
      <c r="BM115" s="110"/>
      <c r="BN115" s="110"/>
      <c r="BO115" s="110"/>
      <c r="BP115" s="110"/>
      <c r="BQ115" s="110"/>
      <c r="BR115" s="110"/>
      <c r="BS115" s="110"/>
      <c r="BT115" s="110"/>
      <c r="BU115" s="110"/>
      <c r="BV115" s="110"/>
      <c r="BW115" s="110"/>
      <c r="BX115" s="110"/>
      <c r="BY115" s="110"/>
      <c r="BZ115" s="110"/>
      <c r="CA115" s="110"/>
      <c r="CB115" s="110"/>
      <c r="CC115" s="110"/>
      <c r="CD115" s="110"/>
      <c r="CE115" s="110"/>
      <c r="CF115" s="110"/>
    </row>
    <row r="116" spans="1:84" s="45" customFormat="1" x14ac:dyDescent="0.25">
      <c r="A116" t="str">
        <f>Funktional!A115</f>
        <v>Thundorf</v>
      </c>
      <c r="B116" t="str">
        <f>Funktional!B115</f>
        <v>PSG</v>
      </c>
      <c r="C116" s="365">
        <v>135522.54999999999</v>
      </c>
      <c r="D116" s="365">
        <v>620243.55000000005</v>
      </c>
      <c r="E116" s="365">
        <v>63117.599999999999</v>
      </c>
      <c r="F116" s="119">
        <f t="shared" si="38"/>
        <v>683361.15</v>
      </c>
      <c r="G116" s="43"/>
      <c r="H116" s="119">
        <f t="shared" si="42"/>
        <v>818883.7</v>
      </c>
      <c r="I116" s="377"/>
      <c r="J116" s="124">
        <f t="shared" si="39"/>
        <v>0.1654966999587365</v>
      </c>
      <c r="K116" s="42">
        <f t="shared" si="40"/>
        <v>0.83450330004126361</v>
      </c>
      <c r="L116" s="372">
        <f t="shared" si="41"/>
        <v>0.83450330004126361</v>
      </c>
      <c r="M116" s="42"/>
      <c r="N116" s="43"/>
      <c r="O116" s="44"/>
      <c r="P116" s="80"/>
      <c r="Q116" s="43"/>
      <c r="R116" s="43"/>
      <c r="S116" s="43"/>
      <c r="T116" s="43"/>
      <c r="U116" s="43"/>
      <c r="V116" s="43"/>
      <c r="W116" s="43"/>
      <c r="X116" s="43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  <c r="AO116" s="110"/>
      <c r="AP116" s="110"/>
      <c r="AQ116" s="110"/>
      <c r="AR116" s="110"/>
      <c r="AS116" s="110"/>
      <c r="AT116" s="110"/>
      <c r="AU116" s="110"/>
      <c r="AV116" s="110"/>
      <c r="AW116" s="110"/>
      <c r="AX116" s="110"/>
      <c r="AY116" s="110"/>
      <c r="AZ116" s="110"/>
      <c r="BA116" s="110"/>
      <c r="BB116" s="110"/>
      <c r="BC116" s="110"/>
      <c r="BD116" s="110"/>
      <c r="BE116" s="110"/>
      <c r="BF116" s="110"/>
      <c r="BG116" s="110"/>
      <c r="BH116" s="110"/>
      <c r="BI116" s="110"/>
      <c r="BJ116" s="110"/>
      <c r="BK116" s="110"/>
      <c r="BL116" s="110"/>
      <c r="BM116" s="110"/>
      <c r="BN116" s="110"/>
      <c r="BO116" s="110"/>
      <c r="BP116" s="110"/>
      <c r="BQ116" s="110"/>
      <c r="BR116" s="110"/>
      <c r="BS116" s="110"/>
      <c r="BT116" s="110"/>
      <c r="BU116" s="110"/>
      <c r="BV116" s="110"/>
      <c r="BW116" s="110"/>
      <c r="BX116" s="110"/>
      <c r="BY116" s="110"/>
      <c r="BZ116" s="110"/>
      <c r="CA116" s="110"/>
      <c r="CB116" s="110"/>
      <c r="CC116" s="110"/>
      <c r="CD116" s="110"/>
      <c r="CE116" s="110"/>
      <c r="CF116" s="110"/>
    </row>
    <row r="117" spans="1:84" s="45" customFormat="1" x14ac:dyDescent="0.25">
      <c r="A117" t="str">
        <f>Funktional!A116</f>
        <v>Tobel</v>
      </c>
      <c r="B117" t="str">
        <f>Funktional!B116</f>
        <v>PSG</v>
      </c>
      <c r="C117" s="365">
        <v>80016.649999999994</v>
      </c>
      <c r="D117" s="365">
        <v>722052.38</v>
      </c>
      <c r="E117" s="365">
        <v>58534.05</v>
      </c>
      <c r="F117" s="119">
        <f t="shared" si="38"/>
        <v>780586.43</v>
      </c>
      <c r="G117" s="43"/>
      <c r="H117" s="119">
        <f t="shared" si="42"/>
        <v>860603.08000000007</v>
      </c>
      <c r="I117" s="377"/>
      <c r="J117" s="124">
        <f t="shared" si="39"/>
        <v>9.2977415326006022E-2</v>
      </c>
      <c r="K117" s="42">
        <f t="shared" si="40"/>
        <v>0.90702258467399399</v>
      </c>
      <c r="L117" s="372">
        <f t="shared" si="41"/>
        <v>0.90702258467399399</v>
      </c>
      <c r="M117" s="42"/>
      <c r="N117" s="43"/>
      <c r="O117" s="44"/>
      <c r="P117" s="80"/>
      <c r="Q117" s="43"/>
      <c r="R117" s="43"/>
      <c r="S117" s="43"/>
      <c r="T117" s="43"/>
      <c r="U117" s="43"/>
      <c r="V117" s="43"/>
      <c r="W117" s="43"/>
      <c r="X117" s="43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  <c r="AO117" s="110"/>
      <c r="AP117" s="110"/>
      <c r="AQ117" s="110"/>
      <c r="AR117" s="110"/>
      <c r="AS117" s="110"/>
      <c r="AT117" s="110"/>
      <c r="AU117" s="110"/>
      <c r="AV117" s="110"/>
      <c r="AW117" s="110"/>
      <c r="AX117" s="110"/>
      <c r="AY117" s="110"/>
      <c r="AZ117" s="110"/>
      <c r="BA117" s="110"/>
      <c r="BB117" s="110"/>
      <c r="BC117" s="110"/>
      <c r="BD117" s="110"/>
      <c r="BE117" s="110"/>
      <c r="BF117" s="110"/>
      <c r="BG117" s="110"/>
      <c r="BH117" s="110"/>
      <c r="BI117" s="110"/>
      <c r="BJ117" s="110"/>
      <c r="BK117" s="110"/>
      <c r="BL117" s="110"/>
      <c r="BM117" s="110"/>
      <c r="BN117" s="110"/>
      <c r="BO117" s="110"/>
      <c r="BP117" s="110"/>
      <c r="BQ117" s="110"/>
      <c r="BR117" s="110"/>
      <c r="BS117" s="110"/>
      <c r="BT117" s="110"/>
      <c r="BU117" s="110"/>
      <c r="BV117" s="110"/>
      <c r="BW117" s="110"/>
      <c r="BX117" s="110"/>
      <c r="BY117" s="110"/>
      <c r="BZ117" s="110"/>
      <c r="CA117" s="110"/>
      <c r="CB117" s="110"/>
      <c r="CC117" s="110"/>
      <c r="CD117" s="110"/>
      <c r="CE117" s="110"/>
      <c r="CF117" s="110"/>
    </row>
    <row r="118" spans="1:84" s="45" customFormat="1" x14ac:dyDescent="0.25">
      <c r="A118" t="str">
        <f>Funktional!A117</f>
        <v>Uesslingen</v>
      </c>
      <c r="B118" t="str">
        <f>Funktional!B117</f>
        <v>PSG</v>
      </c>
      <c r="C118" s="365">
        <v>162074.79999999999</v>
      </c>
      <c r="D118" s="365">
        <v>442419.05</v>
      </c>
      <c r="E118" s="365">
        <v>48551.9</v>
      </c>
      <c r="F118" s="119">
        <f t="shared" si="38"/>
        <v>490970.95</v>
      </c>
      <c r="G118" s="43"/>
      <c r="H118" s="119">
        <f t="shared" si="42"/>
        <v>653045.75</v>
      </c>
      <c r="I118" s="377"/>
      <c r="J118" s="124">
        <f t="shared" si="39"/>
        <v>0.24818291827180561</v>
      </c>
      <c r="K118" s="42">
        <f t="shared" si="40"/>
        <v>0.75181708172819439</v>
      </c>
      <c r="L118" s="372">
        <f t="shared" si="41"/>
        <v>0.75181708172819439</v>
      </c>
      <c r="M118" s="42"/>
      <c r="N118" s="43"/>
      <c r="O118" s="44"/>
      <c r="P118" s="80"/>
      <c r="Q118" s="43"/>
      <c r="R118" s="43"/>
      <c r="S118" s="43"/>
      <c r="T118" s="43"/>
      <c r="U118" s="43"/>
      <c r="V118" s="43"/>
      <c r="W118" s="43"/>
      <c r="X118" s="43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  <c r="AO118" s="110"/>
      <c r="AP118" s="110"/>
      <c r="AQ118" s="110"/>
      <c r="AR118" s="110"/>
      <c r="AS118" s="110"/>
      <c r="AT118" s="110"/>
      <c r="AU118" s="110"/>
      <c r="AV118" s="110"/>
      <c r="AW118" s="110"/>
      <c r="AX118" s="110"/>
      <c r="AY118" s="110"/>
      <c r="AZ118" s="110"/>
      <c r="BA118" s="110"/>
      <c r="BB118" s="110"/>
      <c r="BC118" s="110"/>
      <c r="BD118" s="110"/>
      <c r="BE118" s="110"/>
      <c r="BF118" s="110"/>
      <c r="BG118" s="110"/>
      <c r="BH118" s="110"/>
      <c r="BI118" s="110"/>
      <c r="BJ118" s="110"/>
      <c r="BK118" s="110"/>
      <c r="BL118" s="110"/>
      <c r="BM118" s="110"/>
      <c r="BN118" s="110"/>
      <c r="BO118" s="110"/>
      <c r="BP118" s="110"/>
      <c r="BQ118" s="110"/>
      <c r="BR118" s="110"/>
      <c r="BS118" s="110"/>
      <c r="BT118" s="110"/>
      <c r="BU118" s="110"/>
      <c r="BV118" s="110"/>
      <c r="BW118" s="110"/>
      <c r="BX118" s="110"/>
      <c r="BY118" s="110"/>
      <c r="BZ118" s="110"/>
      <c r="CA118" s="110"/>
      <c r="CB118" s="110"/>
      <c r="CC118" s="110"/>
      <c r="CD118" s="110"/>
      <c r="CE118" s="110"/>
      <c r="CF118" s="110"/>
    </row>
    <row r="119" spans="1:84" s="45" customFormat="1" x14ac:dyDescent="0.25">
      <c r="A119" t="str">
        <f>Funktional!A118</f>
        <v>Uttwil</v>
      </c>
      <c r="B119" t="str">
        <f>Funktional!B118</f>
        <v>PSG</v>
      </c>
      <c r="C119" s="365">
        <v>128039.55</v>
      </c>
      <c r="D119" s="365">
        <v>754564</v>
      </c>
      <c r="E119" s="365">
        <v>51527.05</v>
      </c>
      <c r="F119" s="119">
        <f t="shared" ref="F119:F130" si="43">D119+E119</f>
        <v>806091.05</v>
      </c>
      <c r="G119" s="43"/>
      <c r="H119" s="119">
        <f t="shared" si="42"/>
        <v>934130.60000000009</v>
      </c>
      <c r="I119" s="377"/>
      <c r="J119" s="124">
        <f t="shared" ref="J119:J130" si="44">C119/H119</f>
        <v>0.13706814657393729</v>
      </c>
      <c r="K119" s="42">
        <f t="shared" ref="K119:K130" si="45">F119/H119</f>
        <v>0.86293185342606271</v>
      </c>
      <c r="L119" s="372">
        <f t="shared" si="41"/>
        <v>0.86293185342606271</v>
      </c>
      <c r="M119" s="42"/>
      <c r="N119" s="43"/>
      <c r="O119" s="44"/>
      <c r="P119" s="80"/>
      <c r="Q119" s="43"/>
      <c r="R119" s="43"/>
      <c r="S119" s="43"/>
      <c r="T119" s="43"/>
      <c r="U119" s="43"/>
      <c r="V119" s="43"/>
      <c r="W119" s="43"/>
      <c r="X119" s="43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  <c r="AO119" s="110"/>
      <c r="AP119" s="110"/>
      <c r="AQ119" s="110"/>
      <c r="AR119" s="110"/>
      <c r="AS119" s="110"/>
      <c r="AT119" s="110"/>
      <c r="AU119" s="110"/>
      <c r="AV119" s="110"/>
      <c r="AW119" s="110"/>
      <c r="AX119" s="110"/>
      <c r="AY119" s="110"/>
      <c r="AZ119" s="110"/>
      <c r="BA119" s="110"/>
      <c r="BB119" s="110"/>
      <c r="BC119" s="110"/>
      <c r="BD119" s="110"/>
      <c r="BE119" s="110"/>
      <c r="BF119" s="110"/>
      <c r="BG119" s="110"/>
      <c r="BH119" s="110"/>
      <c r="BI119" s="110"/>
      <c r="BJ119" s="110"/>
      <c r="BK119" s="110"/>
      <c r="BL119" s="110"/>
      <c r="BM119" s="110"/>
      <c r="BN119" s="110"/>
      <c r="BO119" s="110"/>
      <c r="BP119" s="110"/>
      <c r="BQ119" s="110"/>
      <c r="BR119" s="110"/>
      <c r="BS119" s="110"/>
      <c r="BT119" s="110"/>
      <c r="BU119" s="110"/>
      <c r="BV119" s="110"/>
      <c r="BW119" s="110"/>
      <c r="BX119" s="110"/>
      <c r="BY119" s="110"/>
      <c r="BZ119" s="110"/>
      <c r="CA119" s="110"/>
      <c r="CB119" s="110"/>
      <c r="CC119" s="110"/>
      <c r="CD119" s="110"/>
      <c r="CE119" s="110"/>
      <c r="CF119" s="110"/>
    </row>
    <row r="120" spans="1:84" s="45" customFormat="1" x14ac:dyDescent="0.25">
      <c r="A120" t="str">
        <f>Funktional!A119</f>
        <v>Wagenhausen-Rheinklingen</v>
      </c>
      <c r="B120" t="str">
        <f>Funktional!B119</f>
        <v>PSG</v>
      </c>
      <c r="C120" s="365">
        <v>86343.85</v>
      </c>
      <c r="D120" s="365">
        <v>409634.4</v>
      </c>
      <c r="E120" s="365">
        <v>57046</v>
      </c>
      <c r="F120" s="119">
        <f t="shared" si="43"/>
        <v>466680.4</v>
      </c>
      <c r="G120" s="43"/>
      <c r="H120" s="119">
        <f t="shared" si="42"/>
        <v>553024.25</v>
      </c>
      <c r="I120" s="377"/>
      <c r="J120" s="124">
        <f t="shared" si="44"/>
        <v>0.15613031435782429</v>
      </c>
      <c r="K120" s="42">
        <f t="shared" si="45"/>
        <v>0.84386968564217579</v>
      </c>
      <c r="L120" s="372">
        <f t="shared" si="41"/>
        <v>0.84386968564217579</v>
      </c>
      <c r="M120" s="42"/>
      <c r="N120" s="43"/>
      <c r="O120" s="44"/>
      <c r="P120" s="80"/>
      <c r="Q120" s="43"/>
      <c r="R120" s="43"/>
      <c r="S120" s="43"/>
      <c r="T120" s="43"/>
      <c r="U120" s="43"/>
      <c r="V120" s="43"/>
      <c r="W120" s="43"/>
      <c r="X120" s="43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  <c r="AO120" s="110"/>
      <c r="AP120" s="110"/>
      <c r="AQ120" s="110"/>
      <c r="AR120" s="110"/>
      <c r="AS120" s="110"/>
      <c r="AT120" s="110"/>
      <c r="AU120" s="110"/>
      <c r="AV120" s="110"/>
      <c r="AW120" s="110"/>
      <c r="AX120" s="110"/>
      <c r="AY120" s="110"/>
      <c r="AZ120" s="110"/>
      <c r="BA120" s="110"/>
      <c r="BB120" s="110"/>
      <c r="BC120" s="110"/>
      <c r="BD120" s="110"/>
      <c r="BE120" s="110"/>
      <c r="BF120" s="110"/>
      <c r="BG120" s="110"/>
      <c r="BH120" s="110"/>
      <c r="BI120" s="110"/>
      <c r="BJ120" s="110"/>
      <c r="BK120" s="110"/>
      <c r="BL120" s="110"/>
      <c r="BM120" s="110"/>
      <c r="BN120" s="110"/>
      <c r="BO120" s="110"/>
      <c r="BP120" s="110"/>
      <c r="BQ120" s="110"/>
      <c r="BR120" s="110"/>
      <c r="BS120" s="110"/>
      <c r="BT120" s="110"/>
      <c r="BU120" s="110"/>
      <c r="BV120" s="110"/>
      <c r="BW120" s="110"/>
      <c r="BX120" s="110"/>
      <c r="BY120" s="110"/>
      <c r="BZ120" s="110"/>
      <c r="CA120" s="110"/>
      <c r="CB120" s="110"/>
      <c r="CC120" s="110"/>
      <c r="CD120" s="110"/>
      <c r="CE120" s="110"/>
      <c r="CF120" s="110"/>
    </row>
    <row r="121" spans="1:84" s="45" customFormat="1" x14ac:dyDescent="0.25">
      <c r="A121" t="str">
        <f>Funktional!A120</f>
        <v>Wäldi</v>
      </c>
      <c r="B121" t="str">
        <f>Funktional!B120</f>
        <v>PSG</v>
      </c>
      <c r="C121" s="365">
        <v>13720.7</v>
      </c>
      <c r="D121" s="365">
        <v>193294.55</v>
      </c>
      <c r="E121" s="365">
        <v>21625.4</v>
      </c>
      <c r="F121" s="119">
        <f t="shared" si="43"/>
        <v>214919.94999999998</v>
      </c>
      <c r="G121" s="43"/>
      <c r="H121" s="119">
        <f t="shared" ref="H121:H136" si="46">C121+F121+I121</f>
        <v>228640.65</v>
      </c>
      <c r="I121" s="377">
        <f>IF((C121&lt;Funktional!M120),0,C121-Funktional!M120)</f>
        <v>0</v>
      </c>
      <c r="J121" s="124">
        <f t="shared" si="44"/>
        <v>6.000988888021444E-2</v>
      </c>
      <c r="K121" s="42">
        <f t="shared" si="45"/>
        <v>0.93999011111978548</v>
      </c>
      <c r="L121" s="372">
        <v>1</v>
      </c>
      <c r="M121" s="42"/>
      <c r="N121" s="43"/>
      <c r="O121" s="44"/>
      <c r="P121" s="80"/>
      <c r="Q121" s="43"/>
      <c r="R121" s="43"/>
      <c r="S121" s="43"/>
      <c r="T121" s="43"/>
      <c r="U121" s="43"/>
      <c r="V121" s="43"/>
      <c r="W121" s="43"/>
      <c r="X121" s="43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  <c r="AO121" s="110"/>
      <c r="AP121" s="110"/>
      <c r="AQ121" s="110"/>
      <c r="AR121" s="110"/>
      <c r="AS121" s="110"/>
      <c r="AT121" s="110"/>
      <c r="AU121" s="110"/>
      <c r="AV121" s="110"/>
      <c r="AW121" s="110"/>
      <c r="AX121" s="110"/>
      <c r="AY121" s="110"/>
      <c r="AZ121" s="110"/>
      <c r="BA121" s="110"/>
      <c r="BB121" s="110"/>
      <c r="BC121" s="110"/>
      <c r="BD121" s="110"/>
      <c r="BE121" s="110"/>
      <c r="BF121" s="110"/>
      <c r="BG121" s="110"/>
      <c r="BH121" s="110"/>
      <c r="BI121" s="110"/>
      <c r="BJ121" s="110"/>
      <c r="BK121" s="110"/>
      <c r="BL121" s="110"/>
      <c r="BM121" s="110"/>
      <c r="BN121" s="110"/>
      <c r="BO121" s="110"/>
      <c r="BP121" s="110"/>
      <c r="BQ121" s="110"/>
      <c r="BR121" s="110"/>
      <c r="BS121" s="110"/>
      <c r="BT121" s="110"/>
      <c r="BU121" s="110"/>
      <c r="BV121" s="110"/>
      <c r="BW121" s="110"/>
      <c r="BX121" s="110"/>
      <c r="BY121" s="110"/>
      <c r="BZ121" s="110"/>
      <c r="CA121" s="110"/>
      <c r="CB121" s="110"/>
      <c r="CC121" s="110"/>
      <c r="CD121" s="110"/>
      <c r="CE121" s="110"/>
      <c r="CF121" s="110"/>
    </row>
    <row r="122" spans="1:84" s="45" customFormat="1" x14ac:dyDescent="0.25">
      <c r="A122" t="str">
        <f>Funktional!A121</f>
        <v>Warth-Weiningen</v>
      </c>
      <c r="B122" t="str">
        <f>Funktional!B121</f>
        <v>PSG</v>
      </c>
      <c r="C122" s="365">
        <v>88605.6</v>
      </c>
      <c r="D122" s="365">
        <v>584532.55000000005</v>
      </c>
      <c r="E122" s="365">
        <v>71179.899999999994</v>
      </c>
      <c r="F122" s="119">
        <f t="shared" si="43"/>
        <v>655712.45000000007</v>
      </c>
      <c r="G122" s="43"/>
      <c r="H122" s="119">
        <f t="shared" si="46"/>
        <v>744318.05</v>
      </c>
      <c r="I122" s="377"/>
      <c r="J122" s="124">
        <f t="shared" si="44"/>
        <v>0.11904265925030301</v>
      </c>
      <c r="K122" s="42">
        <f t="shared" si="45"/>
        <v>0.880957340749697</v>
      </c>
      <c r="L122" s="372">
        <f t="shared" ref="L122:L127" si="47">K122</f>
        <v>0.880957340749697</v>
      </c>
      <c r="M122" s="42"/>
      <c r="N122" s="43"/>
      <c r="O122" s="44"/>
      <c r="P122" s="80"/>
      <c r="Q122" s="43"/>
      <c r="R122" s="43"/>
      <c r="S122" s="43"/>
      <c r="T122" s="43"/>
      <c r="U122" s="43"/>
      <c r="V122" s="43"/>
      <c r="W122" s="43"/>
      <c r="X122" s="43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  <c r="AO122" s="110"/>
      <c r="AP122" s="110"/>
      <c r="AQ122" s="110"/>
      <c r="AR122" s="110"/>
      <c r="AS122" s="110"/>
      <c r="AT122" s="110"/>
      <c r="AU122" s="110"/>
      <c r="AV122" s="110"/>
      <c r="AW122" s="110"/>
      <c r="AX122" s="110"/>
      <c r="AY122" s="110"/>
      <c r="AZ122" s="110"/>
      <c r="BA122" s="110"/>
      <c r="BB122" s="110"/>
      <c r="BC122" s="110"/>
      <c r="BD122" s="110"/>
      <c r="BE122" s="110"/>
      <c r="BF122" s="110"/>
      <c r="BG122" s="110"/>
      <c r="BH122" s="110"/>
      <c r="BI122" s="110"/>
      <c r="BJ122" s="110"/>
      <c r="BK122" s="110"/>
      <c r="BL122" s="110"/>
      <c r="BM122" s="110"/>
      <c r="BN122" s="110"/>
      <c r="BO122" s="110"/>
      <c r="BP122" s="110"/>
      <c r="BQ122" s="110"/>
      <c r="BR122" s="110"/>
      <c r="BS122" s="110"/>
      <c r="BT122" s="110"/>
      <c r="BU122" s="110"/>
      <c r="BV122" s="110"/>
      <c r="BW122" s="110"/>
      <c r="BX122" s="110"/>
      <c r="BY122" s="110"/>
      <c r="BZ122" s="110"/>
      <c r="CA122" s="110"/>
      <c r="CB122" s="110"/>
      <c r="CC122" s="110"/>
      <c r="CD122" s="110"/>
      <c r="CE122" s="110"/>
      <c r="CF122" s="110"/>
    </row>
    <row r="123" spans="1:84" s="45" customFormat="1" x14ac:dyDescent="0.25">
      <c r="A123" t="str">
        <f>Funktional!A122</f>
        <v>Weinfelden</v>
      </c>
      <c r="B123" t="str">
        <f>Funktional!B122</f>
        <v>PSG</v>
      </c>
      <c r="C123" s="365">
        <v>991472.5</v>
      </c>
      <c r="D123" s="365">
        <v>4471786.05</v>
      </c>
      <c r="E123" s="365">
        <v>336346.35</v>
      </c>
      <c r="F123" s="119">
        <f t="shared" si="43"/>
        <v>4808132.3999999994</v>
      </c>
      <c r="G123" s="43"/>
      <c r="H123" s="119">
        <f t="shared" si="46"/>
        <v>5799604.8999999994</v>
      </c>
      <c r="I123" s="377"/>
      <c r="J123" s="124">
        <f t="shared" si="44"/>
        <v>0.17095518006752497</v>
      </c>
      <c r="K123" s="42">
        <f t="shared" si="45"/>
        <v>0.82904481993247503</v>
      </c>
      <c r="L123" s="372">
        <f t="shared" si="47"/>
        <v>0.82904481993247503</v>
      </c>
      <c r="M123" s="42"/>
      <c r="N123" s="43"/>
      <c r="O123" s="44"/>
      <c r="P123" s="80"/>
      <c r="Q123" s="43"/>
      <c r="R123" s="43"/>
      <c r="S123" s="43"/>
      <c r="T123" s="43"/>
      <c r="U123" s="43"/>
      <c r="V123" s="43"/>
      <c r="W123" s="43"/>
      <c r="X123" s="43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  <c r="AI123" s="110"/>
      <c r="AJ123" s="110"/>
      <c r="AK123" s="110"/>
      <c r="AL123" s="110"/>
      <c r="AM123" s="110"/>
      <c r="AN123" s="110"/>
      <c r="AO123" s="110"/>
      <c r="AP123" s="110"/>
      <c r="AQ123" s="110"/>
      <c r="AR123" s="110"/>
      <c r="AS123" s="110"/>
      <c r="AT123" s="110"/>
      <c r="AU123" s="110"/>
      <c r="AV123" s="110"/>
      <c r="AW123" s="110"/>
      <c r="AX123" s="110"/>
      <c r="AY123" s="110"/>
      <c r="AZ123" s="110"/>
      <c r="BA123" s="110"/>
      <c r="BB123" s="110"/>
      <c r="BC123" s="110"/>
      <c r="BD123" s="110"/>
      <c r="BE123" s="110"/>
      <c r="BF123" s="110"/>
      <c r="BG123" s="110"/>
      <c r="BH123" s="110"/>
      <c r="BI123" s="110"/>
      <c r="BJ123" s="110"/>
      <c r="BK123" s="110"/>
      <c r="BL123" s="110"/>
      <c r="BM123" s="110"/>
      <c r="BN123" s="110"/>
      <c r="BO123" s="110"/>
      <c r="BP123" s="110"/>
      <c r="BQ123" s="110"/>
      <c r="BR123" s="110"/>
      <c r="BS123" s="110"/>
      <c r="BT123" s="110"/>
      <c r="BU123" s="110"/>
      <c r="BV123" s="110"/>
      <c r="BW123" s="110"/>
      <c r="BX123" s="110"/>
      <c r="BY123" s="110"/>
      <c r="BZ123" s="110"/>
      <c r="CA123" s="110"/>
      <c r="CB123" s="110"/>
      <c r="CC123" s="110"/>
      <c r="CD123" s="110"/>
      <c r="CE123" s="110"/>
      <c r="CF123" s="110"/>
    </row>
    <row r="124" spans="1:84" s="45" customFormat="1" x14ac:dyDescent="0.25">
      <c r="A124" t="str">
        <f>Funktional!A123</f>
        <v>Wigoltingen</v>
      </c>
      <c r="B124" t="str">
        <f>Funktional!B123</f>
        <v>PSG</v>
      </c>
      <c r="C124" s="365">
        <v>201119.95</v>
      </c>
      <c r="D124" s="365">
        <v>1056735.3999999999</v>
      </c>
      <c r="E124" s="365">
        <v>151781.29999999999</v>
      </c>
      <c r="F124" s="119">
        <f t="shared" si="43"/>
        <v>1208516.7</v>
      </c>
      <c r="G124" s="43"/>
      <c r="H124" s="119">
        <f t="shared" si="46"/>
        <v>1409636.65</v>
      </c>
      <c r="I124" s="377"/>
      <c r="J124" s="124">
        <f t="shared" si="44"/>
        <v>0.14267502905802004</v>
      </c>
      <c r="K124" s="42">
        <f t="shared" si="45"/>
        <v>0.85732497094198001</v>
      </c>
      <c r="L124" s="372">
        <f t="shared" si="47"/>
        <v>0.85732497094198001</v>
      </c>
      <c r="M124" s="42"/>
      <c r="N124" s="43"/>
      <c r="O124" s="44"/>
      <c r="P124" s="80"/>
      <c r="Q124" s="43"/>
      <c r="R124" s="43"/>
      <c r="S124" s="43"/>
      <c r="T124" s="43"/>
      <c r="U124" s="43"/>
      <c r="V124" s="43"/>
      <c r="W124" s="43"/>
      <c r="X124" s="43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  <c r="AK124" s="110"/>
      <c r="AL124" s="110"/>
      <c r="AM124" s="110"/>
      <c r="AN124" s="110"/>
      <c r="AO124" s="110"/>
      <c r="AP124" s="110"/>
      <c r="AQ124" s="110"/>
      <c r="AR124" s="110"/>
      <c r="AS124" s="110"/>
      <c r="AT124" s="110"/>
      <c r="AU124" s="110"/>
      <c r="AV124" s="110"/>
      <c r="AW124" s="110"/>
      <c r="AX124" s="110"/>
      <c r="AY124" s="110"/>
      <c r="AZ124" s="110"/>
      <c r="BA124" s="110"/>
      <c r="BB124" s="110"/>
      <c r="BC124" s="110"/>
      <c r="BD124" s="110"/>
      <c r="BE124" s="110"/>
      <c r="BF124" s="110"/>
      <c r="BG124" s="110"/>
      <c r="BH124" s="110"/>
      <c r="BI124" s="110"/>
      <c r="BJ124" s="110"/>
      <c r="BK124" s="110"/>
      <c r="BL124" s="110"/>
      <c r="BM124" s="110"/>
      <c r="BN124" s="110"/>
      <c r="BO124" s="110"/>
      <c r="BP124" s="110"/>
      <c r="BQ124" s="110"/>
      <c r="BR124" s="110"/>
      <c r="BS124" s="110"/>
      <c r="BT124" s="110"/>
      <c r="BU124" s="110"/>
      <c r="BV124" s="110"/>
      <c r="BW124" s="110"/>
      <c r="BX124" s="110"/>
      <c r="BY124" s="110"/>
      <c r="BZ124" s="110"/>
      <c r="CA124" s="110"/>
      <c r="CB124" s="110"/>
      <c r="CC124" s="110"/>
      <c r="CD124" s="110"/>
      <c r="CE124" s="110"/>
      <c r="CF124" s="110"/>
    </row>
    <row r="125" spans="1:84" s="45" customFormat="1" x14ac:dyDescent="0.25">
      <c r="A125" t="str">
        <f>Funktional!A124</f>
        <v>Wilen bei Wil</v>
      </c>
      <c r="B125" t="str">
        <f>Funktional!B124</f>
        <v>PSG</v>
      </c>
      <c r="C125" s="365">
        <v>184479</v>
      </c>
      <c r="D125" s="365">
        <v>915519.95</v>
      </c>
      <c r="E125" s="365">
        <v>87828.1</v>
      </c>
      <c r="F125" s="119">
        <f t="shared" si="43"/>
        <v>1003348.0499999999</v>
      </c>
      <c r="G125" s="43"/>
      <c r="H125" s="119">
        <f t="shared" si="46"/>
        <v>1187827.0499999998</v>
      </c>
      <c r="I125" s="377"/>
      <c r="J125" s="124">
        <f t="shared" si="44"/>
        <v>0.15530796339416586</v>
      </c>
      <c r="K125" s="42">
        <f t="shared" si="45"/>
        <v>0.84469203660583425</v>
      </c>
      <c r="L125" s="372">
        <f t="shared" si="47"/>
        <v>0.84469203660583425</v>
      </c>
      <c r="M125" s="42"/>
      <c r="N125" s="43"/>
      <c r="O125" s="44"/>
      <c r="P125" s="80"/>
      <c r="Q125" s="43"/>
      <c r="R125" s="43"/>
      <c r="S125" s="43"/>
      <c r="T125" s="43"/>
      <c r="U125" s="43"/>
      <c r="V125" s="43"/>
      <c r="W125" s="43"/>
      <c r="X125" s="43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10"/>
      <c r="AM125" s="110"/>
      <c r="AN125" s="110"/>
      <c r="AO125" s="110"/>
      <c r="AP125" s="110"/>
      <c r="AQ125" s="110"/>
      <c r="AR125" s="110"/>
      <c r="AS125" s="110"/>
      <c r="AT125" s="110"/>
      <c r="AU125" s="110"/>
      <c r="AV125" s="110"/>
      <c r="AW125" s="110"/>
      <c r="AX125" s="110"/>
      <c r="AY125" s="110"/>
      <c r="AZ125" s="110"/>
      <c r="BA125" s="110"/>
      <c r="BB125" s="110"/>
      <c r="BC125" s="110"/>
      <c r="BD125" s="110"/>
      <c r="BE125" s="110"/>
      <c r="BF125" s="110"/>
      <c r="BG125" s="110"/>
      <c r="BH125" s="110"/>
      <c r="BI125" s="110"/>
      <c r="BJ125" s="110"/>
      <c r="BK125" s="110"/>
      <c r="BL125" s="110"/>
      <c r="BM125" s="110"/>
      <c r="BN125" s="110"/>
      <c r="BO125" s="110"/>
      <c r="BP125" s="110"/>
      <c r="BQ125" s="110"/>
      <c r="BR125" s="110"/>
      <c r="BS125" s="110"/>
      <c r="BT125" s="110"/>
      <c r="BU125" s="110"/>
      <c r="BV125" s="110"/>
      <c r="BW125" s="110"/>
      <c r="BX125" s="110"/>
      <c r="BY125" s="110"/>
      <c r="BZ125" s="110"/>
      <c r="CA125" s="110"/>
      <c r="CB125" s="110"/>
      <c r="CC125" s="110"/>
      <c r="CD125" s="110"/>
      <c r="CE125" s="110"/>
      <c r="CF125" s="110"/>
    </row>
    <row r="126" spans="1:84" s="45" customFormat="1" x14ac:dyDescent="0.25">
      <c r="A126" t="str">
        <f>Funktional!A125</f>
        <v>Wittenwil</v>
      </c>
      <c r="B126" t="str">
        <f>Funktional!B125</f>
        <v>PSG</v>
      </c>
      <c r="C126" s="365">
        <v>63137.599999999999</v>
      </c>
      <c r="D126" s="365">
        <v>232683.1</v>
      </c>
      <c r="E126" s="365">
        <v>41437.550000000003</v>
      </c>
      <c r="F126" s="119">
        <f t="shared" si="43"/>
        <v>274120.65000000002</v>
      </c>
      <c r="G126" s="43"/>
      <c r="H126" s="119">
        <f t="shared" si="46"/>
        <v>337258.25</v>
      </c>
      <c r="I126" s="377"/>
      <c r="J126" s="124">
        <f t="shared" si="44"/>
        <v>0.18720846710199082</v>
      </c>
      <c r="K126" s="42">
        <f t="shared" si="45"/>
        <v>0.81279153289800921</v>
      </c>
      <c r="L126" s="372">
        <f t="shared" si="47"/>
        <v>0.81279153289800921</v>
      </c>
      <c r="M126" s="42"/>
      <c r="N126" s="43"/>
      <c r="O126" s="44"/>
      <c r="P126" s="80"/>
      <c r="Q126" s="43"/>
      <c r="R126" s="43"/>
      <c r="S126" s="43"/>
      <c r="T126" s="43"/>
      <c r="U126" s="43"/>
      <c r="V126" s="43"/>
      <c r="W126" s="43"/>
      <c r="X126" s="43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  <c r="AU126" s="110"/>
      <c r="AV126" s="110"/>
      <c r="AW126" s="110"/>
      <c r="AX126" s="110"/>
      <c r="AY126" s="110"/>
      <c r="AZ126" s="110"/>
      <c r="BA126" s="110"/>
      <c r="BB126" s="110"/>
      <c r="BC126" s="110"/>
      <c r="BD126" s="110"/>
      <c r="BE126" s="110"/>
      <c r="BF126" s="110"/>
      <c r="BG126" s="110"/>
      <c r="BH126" s="110"/>
      <c r="BI126" s="110"/>
      <c r="BJ126" s="110"/>
      <c r="BK126" s="110"/>
      <c r="BL126" s="110"/>
      <c r="BM126" s="110"/>
      <c r="BN126" s="110"/>
      <c r="BO126" s="110"/>
      <c r="BP126" s="110"/>
      <c r="BQ126" s="110"/>
      <c r="BR126" s="110"/>
      <c r="BS126" s="110"/>
      <c r="BT126" s="110"/>
      <c r="BU126" s="110"/>
      <c r="BV126" s="110"/>
      <c r="BW126" s="110"/>
      <c r="BX126" s="110"/>
      <c r="BY126" s="110"/>
      <c r="BZ126" s="110"/>
      <c r="CA126" s="110"/>
      <c r="CB126" s="110"/>
      <c r="CC126" s="110"/>
      <c r="CD126" s="110"/>
      <c r="CE126" s="110"/>
      <c r="CF126" s="110"/>
    </row>
    <row r="127" spans="1:84" s="45" customFormat="1" x14ac:dyDescent="0.25">
      <c r="A127" t="str">
        <f>Funktional!A126</f>
        <v>Wuppenau</v>
      </c>
      <c r="B127" t="str">
        <f>Funktional!B126</f>
        <v>PSG</v>
      </c>
      <c r="C127" s="365">
        <v>67828.350000000006</v>
      </c>
      <c r="D127" s="365">
        <v>843984.45</v>
      </c>
      <c r="E127" s="365">
        <v>121020.85</v>
      </c>
      <c r="F127" s="119">
        <f t="shared" si="43"/>
        <v>965005.29999999993</v>
      </c>
      <c r="G127" s="43"/>
      <c r="H127" s="119">
        <f t="shared" si="46"/>
        <v>1032833.6499999999</v>
      </c>
      <c r="I127" s="377"/>
      <c r="J127" s="124">
        <f t="shared" si="44"/>
        <v>6.5672095404714997E-2</v>
      </c>
      <c r="K127" s="42">
        <f t="shared" si="45"/>
        <v>0.93432790459528503</v>
      </c>
      <c r="L127" s="372">
        <f t="shared" si="47"/>
        <v>0.93432790459528503</v>
      </c>
      <c r="M127" s="42"/>
      <c r="N127" s="43"/>
      <c r="O127" s="44"/>
      <c r="P127" s="80"/>
      <c r="Q127" s="43"/>
      <c r="R127" s="43"/>
      <c r="S127" s="43"/>
      <c r="T127" s="43"/>
      <c r="U127" s="43"/>
      <c r="V127" s="43"/>
      <c r="W127" s="43"/>
      <c r="X127" s="43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10"/>
      <c r="AN127" s="110"/>
      <c r="AO127" s="110"/>
      <c r="AP127" s="110"/>
      <c r="AQ127" s="110"/>
      <c r="AR127" s="110"/>
      <c r="AS127" s="110"/>
      <c r="AT127" s="110"/>
      <c r="AU127" s="110"/>
      <c r="AV127" s="110"/>
      <c r="AW127" s="110"/>
      <c r="AX127" s="110"/>
      <c r="AY127" s="110"/>
      <c r="AZ127" s="110"/>
      <c r="BA127" s="110"/>
      <c r="BB127" s="110"/>
      <c r="BC127" s="110"/>
      <c r="BD127" s="110"/>
      <c r="BE127" s="110"/>
      <c r="BF127" s="110"/>
      <c r="BG127" s="110"/>
      <c r="BH127" s="110"/>
      <c r="BI127" s="110"/>
      <c r="BJ127" s="110"/>
      <c r="BK127" s="110"/>
      <c r="BL127" s="110"/>
      <c r="BM127" s="110"/>
      <c r="BN127" s="110"/>
      <c r="BO127" s="110"/>
      <c r="BP127" s="110"/>
      <c r="BQ127" s="110"/>
      <c r="BR127" s="110"/>
      <c r="BS127" s="110"/>
      <c r="BT127" s="110"/>
      <c r="BU127" s="110"/>
      <c r="BV127" s="110"/>
      <c r="BW127" s="110"/>
      <c r="BX127" s="110"/>
      <c r="BY127" s="110"/>
      <c r="BZ127" s="110"/>
      <c r="CA127" s="110"/>
      <c r="CB127" s="110"/>
      <c r="CC127" s="110"/>
      <c r="CD127" s="110"/>
      <c r="CE127" s="110"/>
      <c r="CF127" s="110"/>
    </row>
    <row r="128" spans="1:84" s="45" customFormat="1" x14ac:dyDescent="0.25">
      <c r="A128" t="str">
        <f>Funktional!A127</f>
        <v>Zezikon</v>
      </c>
      <c r="B128" t="str">
        <f>Funktional!B127</f>
        <v>PSG</v>
      </c>
      <c r="C128" s="365">
        <v>13715.15</v>
      </c>
      <c r="D128" s="365">
        <v>233150.5</v>
      </c>
      <c r="E128" s="365">
        <v>43552.1</v>
      </c>
      <c r="F128" s="119">
        <f t="shared" si="43"/>
        <v>276702.59999999998</v>
      </c>
      <c r="G128" s="43"/>
      <c r="H128" s="119">
        <f t="shared" si="46"/>
        <v>290417.75</v>
      </c>
      <c r="I128" s="377">
        <f>IF((C128&lt;Funktional!M127),0,C128-Funktional!M127)</f>
        <v>0</v>
      </c>
      <c r="J128" s="124">
        <f t="shared" si="44"/>
        <v>4.7225591410993299E-2</v>
      </c>
      <c r="K128" s="42">
        <f t="shared" si="45"/>
        <v>0.95277440858900664</v>
      </c>
      <c r="L128" s="372">
        <v>1</v>
      </c>
      <c r="M128" s="42"/>
      <c r="N128" s="43"/>
      <c r="O128" s="44"/>
      <c r="P128" s="80"/>
      <c r="Q128" s="43"/>
      <c r="R128" s="43"/>
      <c r="S128" s="43"/>
      <c r="T128" s="43"/>
      <c r="U128" s="43"/>
      <c r="V128" s="43"/>
      <c r="W128" s="43"/>
      <c r="X128" s="43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10"/>
      <c r="AN128" s="110"/>
      <c r="AO128" s="110"/>
      <c r="AP128" s="110"/>
      <c r="AQ128" s="110"/>
      <c r="AR128" s="110"/>
      <c r="AS128" s="110"/>
      <c r="AT128" s="110"/>
      <c r="AU128" s="110"/>
      <c r="AV128" s="110"/>
      <c r="AW128" s="110"/>
      <c r="AX128" s="110"/>
      <c r="AY128" s="110"/>
      <c r="AZ128" s="110"/>
      <c r="BA128" s="110"/>
      <c r="BB128" s="110"/>
      <c r="BC128" s="110"/>
      <c r="BD128" s="110"/>
      <c r="BE128" s="110"/>
      <c r="BF128" s="110"/>
      <c r="BG128" s="110"/>
      <c r="BH128" s="110"/>
      <c r="BI128" s="110"/>
      <c r="BJ128" s="110"/>
      <c r="BK128" s="110"/>
      <c r="BL128" s="110"/>
      <c r="BM128" s="110"/>
      <c r="BN128" s="110"/>
      <c r="BO128" s="110"/>
      <c r="BP128" s="110"/>
      <c r="BQ128" s="110"/>
      <c r="BR128" s="110"/>
      <c r="BS128" s="110"/>
      <c r="BT128" s="110"/>
      <c r="BU128" s="110"/>
      <c r="BV128" s="110"/>
      <c r="BW128" s="110"/>
      <c r="BX128" s="110"/>
      <c r="BY128" s="110"/>
      <c r="BZ128" s="110"/>
      <c r="CA128" s="110"/>
      <c r="CB128" s="110"/>
      <c r="CC128" s="110"/>
      <c r="CD128" s="110"/>
      <c r="CE128" s="110"/>
      <c r="CF128" s="110"/>
    </row>
    <row r="129" spans="1:84" s="45" customFormat="1" x14ac:dyDescent="0.25">
      <c r="A129" t="str">
        <f>Funktional!A128</f>
        <v>Zihlschlacht</v>
      </c>
      <c r="B129" t="str">
        <f>Funktional!B128</f>
        <v>PSG</v>
      </c>
      <c r="C129" s="365">
        <v>114479.65</v>
      </c>
      <c r="D129" s="365">
        <v>695491.73</v>
      </c>
      <c r="E129" s="365">
        <v>63542.45</v>
      </c>
      <c r="F129" s="119">
        <f t="shared" si="43"/>
        <v>759034.17999999993</v>
      </c>
      <c r="G129" s="43"/>
      <c r="H129" s="119">
        <f t="shared" si="46"/>
        <v>873513.83</v>
      </c>
      <c r="I129" s="377"/>
      <c r="J129" s="124">
        <f t="shared" si="44"/>
        <v>0.13105648252873112</v>
      </c>
      <c r="K129" s="42">
        <f t="shared" si="45"/>
        <v>0.86894351747126886</v>
      </c>
      <c r="L129" s="372">
        <f>K129</f>
        <v>0.86894351747126886</v>
      </c>
      <c r="M129" s="42"/>
      <c r="N129" s="43"/>
      <c r="O129" s="44"/>
      <c r="P129" s="80"/>
      <c r="Q129" s="43"/>
      <c r="R129" s="43"/>
      <c r="S129" s="43"/>
      <c r="T129" s="43"/>
      <c r="U129" s="43"/>
      <c r="V129" s="43"/>
      <c r="W129" s="43"/>
      <c r="X129" s="43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110"/>
      <c r="AV129" s="110"/>
      <c r="AW129" s="110"/>
      <c r="AX129" s="110"/>
      <c r="AY129" s="110"/>
      <c r="AZ129" s="110"/>
      <c r="BA129" s="110"/>
      <c r="BB129" s="110"/>
      <c r="BC129" s="110"/>
      <c r="BD129" s="110"/>
      <c r="BE129" s="110"/>
      <c r="BF129" s="110"/>
      <c r="BG129" s="110"/>
      <c r="BH129" s="110"/>
      <c r="BI129" s="110"/>
      <c r="BJ129" s="110"/>
      <c r="BK129" s="110"/>
      <c r="BL129" s="110"/>
      <c r="BM129" s="110"/>
      <c r="BN129" s="110"/>
      <c r="BO129" s="110"/>
      <c r="BP129" s="110"/>
      <c r="BQ129" s="110"/>
      <c r="BR129" s="110"/>
      <c r="BS129" s="110"/>
      <c r="BT129" s="110"/>
      <c r="BU129" s="110"/>
      <c r="BV129" s="110"/>
      <c r="BW129" s="110"/>
      <c r="BX129" s="110"/>
      <c r="BY129" s="110"/>
      <c r="BZ129" s="110"/>
      <c r="CA129" s="110"/>
      <c r="CB129" s="110"/>
      <c r="CC129" s="110"/>
      <c r="CD129" s="110"/>
      <c r="CE129" s="110"/>
      <c r="CF129" s="110"/>
    </row>
    <row r="130" spans="1:84" s="45" customFormat="1" x14ac:dyDescent="0.25">
      <c r="A130" t="str">
        <f>Funktional!A129</f>
        <v>Zuben-Schönenbaumgarten</v>
      </c>
      <c r="B130" t="str">
        <f>Funktional!B129</f>
        <v>PSG</v>
      </c>
      <c r="C130" s="365">
        <v>17352.05</v>
      </c>
      <c r="D130" s="365">
        <v>325830.84999999998</v>
      </c>
      <c r="E130" s="365">
        <v>30521.25</v>
      </c>
      <c r="F130" s="119">
        <f t="shared" si="43"/>
        <v>356352.1</v>
      </c>
      <c r="G130" s="43"/>
      <c r="H130" s="119">
        <f t="shared" si="46"/>
        <v>373704.14999999997</v>
      </c>
      <c r="I130" s="377">
        <f>IF((C130&lt;Funktional!M129),0,C130-Funktional!M129)</f>
        <v>0</v>
      </c>
      <c r="J130" s="124">
        <f t="shared" si="44"/>
        <v>4.6432585776743453E-2</v>
      </c>
      <c r="K130" s="42">
        <f t="shared" si="45"/>
        <v>0.95356741422325653</v>
      </c>
      <c r="L130" s="372">
        <v>1</v>
      </c>
      <c r="M130" s="42"/>
      <c r="N130" s="43"/>
      <c r="O130" s="44"/>
      <c r="P130" s="80"/>
      <c r="Q130" s="43"/>
      <c r="R130" s="43"/>
      <c r="S130" s="43"/>
      <c r="T130" s="43"/>
      <c r="U130" s="43"/>
      <c r="V130" s="43"/>
      <c r="W130" s="43"/>
      <c r="X130" s="43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10"/>
      <c r="AN130" s="110"/>
      <c r="AO130" s="110"/>
      <c r="AP130" s="110"/>
      <c r="AQ130" s="110"/>
      <c r="AR130" s="110"/>
      <c r="AS130" s="110"/>
      <c r="AT130" s="110"/>
      <c r="AU130" s="110"/>
      <c r="AV130" s="110"/>
      <c r="AW130" s="110"/>
      <c r="AX130" s="110"/>
      <c r="AY130" s="110"/>
      <c r="AZ130" s="110"/>
      <c r="BA130" s="110"/>
      <c r="BB130" s="110"/>
      <c r="BC130" s="110"/>
      <c r="BD130" s="110"/>
      <c r="BE130" s="110"/>
      <c r="BF130" s="110"/>
      <c r="BG130" s="110"/>
      <c r="BH130" s="110"/>
      <c r="BI130" s="110"/>
      <c r="BJ130" s="110"/>
      <c r="BK130" s="110"/>
      <c r="BL130" s="110"/>
      <c r="BM130" s="110"/>
      <c r="BN130" s="110"/>
      <c r="BO130" s="110"/>
      <c r="BP130" s="110"/>
      <c r="BQ130" s="110"/>
      <c r="BR130" s="110"/>
      <c r="BS130" s="110"/>
      <c r="BT130" s="110"/>
      <c r="BU130" s="110"/>
      <c r="BV130" s="110"/>
      <c r="BW130" s="110"/>
      <c r="BX130" s="110"/>
      <c r="BY130" s="110"/>
      <c r="BZ130" s="110"/>
      <c r="CA130" s="110"/>
      <c r="CB130" s="110"/>
      <c r="CC130" s="110"/>
      <c r="CD130" s="110"/>
      <c r="CE130" s="110"/>
      <c r="CF130" s="110"/>
    </row>
    <row r="131" spans="1:84" s="45" customFormat="1" ht="39" customHeight="1" x14ac:dyDescent="0.25">
      <c r="A131" t="str">
        <f>Funktional!A130</f>
        <v>Aadorf</v>
      </c>
      <c r="B131" t="str">
        <f>Funktional!B130</f>
        <v>KiGa</v>
      </c>
      <c r="C131" s="365">
        <v>312312.90000000002</v>
      </c>
      <c r="D131" s="365">
        <v>1714179.2</v>
      </c>
      <c r="E131" s="365">
        <v>165867.25</v>
      </c>
      <c r="F131" s="119">
        <f>D131+E131</f>
        <v>1880046.45</v>
      </c>
      <c r="G131" s="43"/>
      <c r="H131" s="119">
        <f t="shared" si="46"/>
        <v>2192359.35</v>
      </c>
      <c r="I131" s="377"/>
      <c r="J131" s="124">
        <f>C131/H131</f>
        <v>0.14245515909606699</v>
      </c>
      <c r="K131" s="42">
        <f>F131/H131</f>
        <v>0.8575448409039329</v>
      </c>
      <c r="L131" s="372">
        <f>J131</f>
        <v>0.14245515909606699</v>
      </c>
      <c r="M131" s="372"/>
      <c r="N131" s="406"/>
      <c r="O131" s="44"/>
      <c r="P131" s="80"/>
      <c r="Q131" s="43"/>
      <c r="R131" s="43"/>
      <c r="S131" s="43"/>
      <c r="T131" s="43"/>
      <c r="U131" s="43"/>
      <c r="V131" s="43"/>
      <c r="W131" s="43"/>
      <c r="X131" s="43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10"/>
      <c r="AN131" s="110"/>
      <c r="AO131" s="110"/>
      <c r="AP131" s="110"/>
      <c r="AQ131" s="110"/>
      <c r="AR131" s="110"/>
      <c r="AS131" s="110"/>
      <c r="AT131" s="110"/>
      <c r="AU131" s="110"/>
      <c r="AV131" s="110"/>
      <c r="AW131" s="110"/>
      <c r="AX131" s="110"/>
      <c r="AY131" s="110"/>
      <c r="AZ131" s="110"/>
      <c r="BA131" s="110"/>
      <c r="BB131" s="110"/>
      <c r="BC131" s="110"/>
      <c r="BD131" s="110"/>
      <c r="BE131" s="110"/>
      <c r="BF131" s="110"/>
      <c r="BG131" s="110"/>
      <c r="BH131" s="110"/>
      <c r="BI131" s="110"/>
      <c r="BJ131" s="110"/>
      <c r="BK131" s="110"/>
      <c r="BL131" s="110"/>
      <c r="BM131" s="110"/>
      <c r="BN131" s="110"/>
      <c r="BO131" s="110"/>
      <c r="BP131" s="110"/>
      <c r="BQ131" s="110"/>
      <c r="BR131" s="110"/>
      <c r="BS131" s="110"/>
      <c r="BT131" s="110"/>
      <c r="BU131" s="110"/>
      <c r="BV131" s="110"/>
      <c r="BW131" s="110"/>
      <c r="BX131" s="110"/>
      <c r="BY131" s="110"/>
      <c r="BZ131" s="110"/>
      <c r="CA131" s="110"/>
      <c r="CB131" s="110"/>
      <c r="CC131" s="110"/>
      <c r="CD131" s="110"/>
      <c r="CE131" s="110"/>
      <c r="CF131" s="110"/>
    </row>
    <row r="132" spans="1:84" s="45" customFormat="1" x14ac:dyDescent="0.25">
      <c r="A132" t="str">
        <f>Funktional!A131</f>
        <v>Affeltrangen</v>
      </c>
      <c r="B132" t="str">
        <f>Funktional!B131</f>
        <v>KiGa</v>
      </c>
      <c r="C132" s="365">
        <v>151709.25</v>
      </c>
      <c r="D132" s="365">
        <v>419493.9</v>
      </c>
      <c r="E132" s="365">
        <v>22862.400000000001</v>
      </c>
      <c r="F132" s="119">
        <f t="shared" ref="F132:F147" si="48">D132+E132</f>
        <v>442356.30000000005</v>
      </c>
      <c r="G132" s="43"/>
      <c r="H132" s="119">
        <f t="shared" si="46"/>
        <v>594065.55000000005</v>
      </c>
      <c r="I132" s="377"/>
      <c r="J132" s="124">
        <f t="shared" ref="J132:J147" si="49">C132/H132</f>
        <v>0.25537459628823789</v>
      </c>
      <c r="K132" s="42">
        <f t="shared" ref="K132:K147" si="50">F132/H132</f>
        <v>0.74462540371176211</v>
      </c>
      <c r="L132" s="372">
        <f>J132</f>
        <v>0.25537459628823789</v>
      </c>
      <c r="M132" s="372"/>
      <c r="N132" s="406"/>
      <c r="O132" s="44"/>
      <c r="P132" s="80"/>
      <c r="Q132" s="43"/>
      <c r="R132" s="43"/>
      <c r="S132" s="43"/>
      <c r="T132" s="43"/>
      <c r="U132" s="43"/>
      <c r="V132" s="43"/>
      <c r="W132" s="43"/>
      <c r="X132" s="43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10"/>
      <c r="AN132" s="110"/>
      <c r="AO132" s="110"/>
      <c r="AP132" s="110"/>
      <c r="AQ132" s="110"/>
      <c r="AR132" s="110"/>
      <c r="AS132" s="110"/>
      <c r="AT132" s="110"/>
      <c r="AU132" s="110"/>
      <c r="AV132" s="110"/>
      <c r="AW132" s="110"/>
      <c r="AX132" s="110"/>
      <c r="AY132" s="110"/>
      <c r="AZ132" s="110"/>
      <c r="BA132" s="110"/>
      <c r="BB132" s="110"/>
      <c r="BC132" s="110"/>
      <c r="BD132" s="110"/>
      <c r="BE132" s="110"/>
      <c r="BF132" s="110"/>
      <c r="BG132" s="110"/>
      <c r="BH132" s="110"/>
      <c r="BI132" s="110"/>
      <c r="BJ132" s="110"/>
      <c r="BK132" s="110"/>
      <c r="BL132" s="110"/>
      <c r="BM132" s="110"/>
      <c r="BN132" s="110"/>
      <c r="BO132" s="110"/>
      <c r="BP132" s="110"/>
      <c r="BQ132" s="110"/>
      <c r="BR132" s="110"/>
      <c r="BS132" s="110"/>
      <c r="BT132" s="110"/>
      <c r="BU132" s="110"/>
      <c r="BV132" s="110"/>
      <c r="BW132" s="110"/>
      <c r="BX132" s="110"/>
      <c r="BY132" s="110"/>
      <c r="BZ132" s="110"/>
      <c r="CA132" s="110"/>
      <c r="CB132" s="110"/>
      <c r="CC132" s="110"/>
      <c r="CD132" s="110"/>
      <c r="CE132" s="110"/>
      <c r="CF132" s="110"/>
    </row>
    <row r="133" spans="1:84" s="45" customFormat="1" x14ac:dyDescent="0.25">
      <c r="A133" t="str">
        <f>Funktional!A132</f>
        <v>Alterswilen</v>
      </c>
      <c r="B133" t="str">
        <f>Funktional!B132</f>
        <v>KiGa</v>
      </c>
      <c r="C133" s="365">
        <v>82577.45</v>
      </c>
      <c r="D133" s="365">
        <v>425999.55</v>
      </c>
      <c r="E133" s="365">
        <v>33782.75</v>
      </c>
      <c r="F133" s="119">
        <f t="shared" si="48"/>
        <v>459782.3</v>
      </c>
      <c r="G133" s="43"/>
      <c r="H133" s="119">
        <f t="shared" si="46"/>
        <v>542359.75</v>
      </c>
      <c r="I133" s="377"/>
      <c r="J133" s="124">
        <f t="shared" si="49"/>
        <v>0.15225585969460306</v>
      </c>
      <c r="K133" s="42">
        <f t="shared" si="50"/>
        <v>0.84774414030539691</v>
      </c>
      <c r="L133" s="372">
        <f>J133</f>
        <v>0.15225585969460306</v>
      </c>
      <c r="M133" s="372"/>
      <c r="N133" s="406"/>
      <c r="O133" s="44"/>
      <c r="P133" s="80"/>
      <c r="Q133" s="43"/>
      <c r="R133" s="43"/>
      <c r="S133" s="43"/>
      <c r="T133" s="43"/>
      <c r="U133" s="43"/>
      <c r="V133" s="43"/>
      <c r="W133" s="43"/>
      <c r="X133" s="43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10"/>
      <c r="AN133" s="110"/>
      <c r="AO133" s="110"/>
      <c r="AP133" s="110"/>
      <c r="AQ133" s="110"/>
      <c r="AR133" s="110"/>
      <c r="AS133" s="110"/>
      <c r="AT133" s="110"/>
      <c r="AU133" s="110"/>
      <c r="AV133" s="110"/>
      <c r="AW133" s="110"/>
      <c r="AX133" s="110"/>
      <c r="AY133" s="110"/>
      <c r="AZ133" s="110"/>
      <c r="BA133" s="110"/>
      <c r="BB133" s="110"/>
      <c r="BC133" s="110"/>
      <c r="BD133" s="110"/>
      <c r="BE133" s="110"/>
      <c r="BF133" s="110"/>
      <c r="BG133" s="110"/>
      <c r="BH133" s="110"/>
      <c r="BI133" s="110"/>
      <c r="BJ133" s="110"/>
      <c r="BK133" s="110"/>
      <c r="BL133" s="110"/>
      <c r="BM133" s="110"/>
      <c r="BN133" s="110"/>
      <c r="BO133" s="110"/>
      <c r="BP133" s="110"/>
      <c r="BQ133" s="110"/>
      <c r="BR133" s="110"/>
      <c r="BS133" s="110"/>
      <c r="BT133" s="110"/>
      <c r="BU133" s="110"/>
      <c r="BV133" s="110"/>
      <c r="BW133" s="110"/>
      <c r="BX133" s="110"/>
      <c r="BY133" s="110"/>
      <c r="BZ133" s="110"/>
      <c r="CA133" s="110"/>
      <c r="CB133" s="110"/>
      <c r="CC133" s="110"/>
      <c r="CD133" s="110"/>
      <c r="CE133" s="110"/>
      <c r="CF133" s="110"/>
    </row>
    <row r="134" spans="1:84" s="45" customFormat="1" x14ac:dyDescent="0.25">
      <c r="A134" t="str">
        <f>Funktional!A133</f>
        <v>Altishausen-Graltshausen</v>
      </c>
      <c r="B134" t="str">
        <f>Funktional!B133</f>
        <v>KiGa</v>
      </c>
      <c r="C134" s="365">
        <v>25173.200000000001</v>
      </c>
      <c r="D134" s="365">
        <v>219873.9</v>
      </c>
      <c r="E134" s="365">
        <v>37393.300000000003</v>
      </c>
      <c r="F134" s="119">
        <f t="shared" si="48"/>
        <v>257267.20000000001</v>
      </c>
      <c r="G134" s="43"/>
      <c r="H134" s="119">
        <f t="shared" si="46"/>
        <v>282440.40000000002</v>
      </c>
      <c r="I134" s="377"/>
      <c r="J134" s="124">
        <f t="shared" si="49"/>
        <v>8.9127476097612096E-2</v>
      </c>
      <c r="K134" s="42">
        <f t="shared" si="50"/>
        <v>0.91087252390238782</v>
      </c>
      <c r="L134" s="372">
        <v>0</v>
      </c>
      <c r="M134" s="372"/>
      <c r="N134" s="406"/>
      <c r="O134" s="44"/>
      <c r="P134" s="80"/>
      <c r="Q134" s="43"/>
      <c r="R134" s="43"/>
      <c r="S134" s="43"/>
      <c r="T134" s="43"/>
      <c r="U134" s="43"/>
      <c r="V134" s="43"/>
      <c r="W134" s="43"/>
      <c r="X134" s="43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10"/>
      <c r="AN134" s="110"/>
      <c r="AO134" s="110"/>
      <c r="AP134" s="110"/>
      <c r="AQ134" s="110"/>
      <c r="AR134" s="110"/>
      <c r="AS134" s="110"/>
      <c r="AT134" s="110"/>
      <c r="AU134" s="110"/>
      <c r="AV134" s="110"/>
      <c r="AW134" s="110"/>
      <c r="AX134" s="110"/>
      <c r="AY134" s="110"/>
      <c r="AZ134" s="110"/>
      <c r="BA134" s="110"/>
      <c r="BB134" s="110"/>
      <c r="BC134" s="110"/>
      <c r="BD134" s="110"/>
      <c r="BE134" s="110"/>
      <c r="BF134" s="110"/>
      <c r="BG134" s="110"/>
      <c r="BH134" s="110"/>
      <c r="BI134" s="110"/>
      <c r="BJ134" s="110"/>
      <c r="BK134" s="110"/>
      <c r="BL134" s="110"/>
      <c r="BM134" s="110"/>
      <c r="BN134" s="110"/>
      <c r="BO134" s="110"/>
      <c r="BP134" s="110"/>
      <c r="BQ134" s="110"/>
      <c r="BR134" s="110"/>
      <c r="BS134" s="110"/>
      <c r="BT134" s="110"/>
      <c r="BU134" s="110"/>
      <c r="BV134" s="110"/>
      <c r="BW134" s="110"/>
      <c r="BX134" s="110"/>
      <c r="BY134" s="110"/>
      <c r="BZ134" s="110"/>
      <c r="CA134" s="110"/>
      <c r="CB134" s="110"/>
      <c r="CC134" s="110"/>
      <c r="CD134" s="110"/>
      <c r="CE134" s="110"/>
      <c r="CF134" s="110"/>
    </row>
    <row r="135" spans="1:84" s="45" customFormat="1" x14ac:dyDescent="0.25">
      <c r="A135" t="str">
        <f>Funktional!A134</f>
        <v>Altnau</v>
      </c>
      <c r="B135" t="str">
        <f>Funktional!B134</f>
        <v>KiGa</v>
      </c>
      <c r="C135" s="365">
        <v>204193.75</v>
      </c>
      <c r="D135" s="365">
        <v>1094523.6000000001</v>
      </c>
      <c r="E135" s="365">
        <v>73593.399999999994</v>
      </c>
      <c r="F135" s="119">
        <f t="shared" si="48"/>
        <v>1168117</v>
      </c>
      <c r="G135" s="43"/>
      <c r="H135" s="119">
        <f t="shared" si="46"/>
        <v>1372310.75</v>
      </c>
      <c r="I135" s="377"/>
      <c r="J135" s="124">
        <f t="shared" si="49"/>
        <v>0.14879556252109807</v>
      </c>
      <c r="K135" s="42">
        <f t="shared" si="50"/>
        <v>0.85120443747890195</v>
      </c>
      <c r="L135" s="372">
        <f>J135</f>
        <v>0.14879556252109807</v>
      </c>
      <c r="M135" s="372"/>
      <c r="N135" s="406"/>
      <c r="O135" s="44"/>
      <c r="P135" s="80"/>
      <c r="Q135" s="43"/>
      <c r="R135" s="43"/>
      <c r="S135" s="43"/>
      <c r="T135" s="43"/>
      <c r="U135" s="43"/>
      <c r="V135" s="43"/>
      <c r="W135" s="43"/>
      <c r="X135" s="43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10"/>
      <c r="AN135" s="110"/>
      <c r="AO135" s="110"/>
      <c r="AP135" s="110"/>
      <c r="AQ135" s="110"/>
      <c r="AR135" s="110"/>
      <c r="AS135" s="110"/>
      <c r="AT135" s="110"/>
      <c r="AU135" s="110"/>
      <c r="AV135" s="110"/>
      <c r="AW135" s="110"/>
      <c r="AX135" s="110"/>
      <c r="AY135" s="110"/>
      <c r="AZ135" s="110"/>
      <c r="BA135" s="110"/>
      <c r="BB135" s="110"/>
      <c r="BC135" s="110"/>
      <c r="BD135" s="110"/>
      <c r="BE135" s="110"/>
      <c r="BF135" s="110"/>
      <c r="BG135" s="110"/>
      <c r="BH135" s="110"/>
      <c r="BI135" s="110"/>
      <c r="BJ135" s="110"/>
      <c r="BK135" s="110"/>
      <c r="BL135" s="110"/>
      <c r="BM135" s="110"/>
      <c r="BN135" s="110"/>
      <c r="BO135" s="110"/>
      <c r="BP135" s="110"/>
      <c r="BQ135" s="110"/>
      <c r="BR135" s="110"/>
      <c r="BS135" s="110"/>
      <c r="BT135" s="110"/>
      <c r="BU135" s="110"/>
      <c r="BV135" s="110"/>
      <c r="BW135" s="110"/>
      <c r="BX135" s="110"/>
      <c r="BY135" s="110"/>
      <c r="BZ135" s="110"/>
      <c r="CA135" s="110"/>
      <c r="CB135" s="110"/>
      <c r="CC135" s="110"/>
      <c r="CD135" s="110"/>
      <c r="CE135" s="110"/>
      <c r="CF135" s="110"/>
    </row>
    <row r="136" spans="1:84" s="45" customFormat="1" x14ac:dyDescent="0.25">
      <c r="A136" t="str">
        <f>Funktional!A135</f>
        <v>Amlikon</v>
      </c>
      <c r="B136" t="str">
        <f>Funktional!B135</f>
        <v>KiGa</v>
      </c>
      <c r="C136" s="365">
        <v>101549.1</v>
      </c>
      <c r="D136" s="365">
        <v>254053.9</v>
      </c>
      <c r="E136" s="365">
        <v>30669.95</v>
      </c>
      <c r="F136" s="119">
        <f t="shared" si="48"/>
        <v>284723.84999999998</v>
      </c>
      <c r="G136" s="43"/>
      <c r="H136" s="119">
        <f t="shared" si="46"/>
        <v>386272.94999999995</v>
      </c>
      <c r="I136" s="377"/>
      <c r="J136" s="124">
        <f t="shared" si="49"/>
        <v>0.26289467072441913</v>
      </c>
      <c r="K136" s="42">
        <f t="shared" si="50"/>
        <v>0.73710532927558092</v>
      </c>
      <c r="L136" s="372">
        <f>J136</f>
        <v>0.26289467072441913</v>
      </c>
      <c r="M136" s="372"/>
      <c r="N136" s="406"/>
      <c r="O136" s="44"/>
      <c r="P136" s="80"/>
      <c r="Q136" s="43"/>
      <c r="R136" s="43"/>
      <c r="S136" s="43"/>
      <c r="T136" s="43"/>
      <c r="U136" s="43"/>
      <c r="V136" s="43"/>
      <c r="W136" s="43"/>
      <c r="X136" s="43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  <c r="AK136" s="110"/>
      <c r="AL136" s="110"/>
      <c r="AM136" s="110"/>
      <c r="AN136" s="110"/>
      <c r="AO136" s="110"/>
      <c r="AP136" s="110"/>
      <c r="AQ136" s="110"/>
      <c r="AR136" s="110"/>
      <c r="AS136" s="110"/>
      <c r="AT136" s="110"/>
      <c r="AU136" s="110"/>
      <c r="AV136" s="110"/>
      <c r="AW136" s="110"/>
      <c r="AX136" s="110"/>
      <c r="AY136" s="110"/>
      <c r="AZ136" s="110"/>
      <c r="BA136" s="110"/>
      <c r="BB136" s="110"/>
      <c r="BC136" s="110"/>
      <c r="BD136" s="110"/>
      <c r="BE136" s="110"/>
      <c r="BF136" s="110"/>
      <c r="BG136" s="110"/>
      <c r="BH136" s="110"/>
      <c r="BI136" s="110"/>
      <c r="BJ136" s="110"/>
      <c r="BK136" s="110"/>
      <c r="BL136" s="110"/>
      <c r="BM136" s="110"/>
      <c r="BN136" s="110"/>
      <c r="BO136" s="110"/>
      <c r="BP136" s="110"/>
      <c r="BQ136" s="110"/>
      <c r="BR136" s="110"/>
      <c r="BS136" s="110"/>
      <c r="BT136" s="110"/>
      <c r="BU136" s="110"/>
      <c r="BV136" s="110"/>
      <c r="BW136" s="110"/>
      <c r="BX136" s="110"/>
      <c r="BY136" s="110"/>
      <c r="BZ136" s="110"/>
      <c r="CA136" s="110"/>
      <c r="CB136" s="110"/>
      <c r="CC136" s="110"/>
      <c r="CD136" s="110"/>
      <c r="CE136" s="110"/>
      <c r="CF136" s="110"/>
    </row>
    <row r="137" spans="1:84" s="45" customFormat="1" x14ac:dyDescent="0.25">
      <c r="A137" t="str">
        <f>Funktional!A136</f>
        <v>Amriswil</v>
      </c>
      <c r="B137" t="str">
        <f>Funktional!B136</f>
        <v>KiGa</v>
      </c>
      <c r="C137" s="365">
        <v>879724.15</v>
      </c>
      <c r="D137" s="365">
        <v>5642303.2999999998</v>
      </c>
      <c r="E137" s="365">
        <v>500864.8</v>
      </c>
      <c r="F137" s="119">
        <f t="shared" si="48"/>
        <v>6143168.0999999996</v>
      </c>
      <c r="G137" s="43"/>
      <c r="H137" s="119">
        <f t="shared" ref="H137:H152" si="51">C137+F137+I137</f>
        <v>7022892.25</v>
      </c>
      <c r="I137" s="377"/>
      <c r="J137" s="124">
        <f t="shared" si="49"/>
        <v>0.12526522103482365</v>
      </c>
      <c r="K137" s="42">
        <f t="shared" si="50"/>
        <v>0.87473477896517626</v>
      </c>
      <c r="L137" s="372">
        <f>J137</f>
        <v>0.12526522103482365</v>
      </c>
      <c r="M137" s="372"/>
      <c r="N137" s="406"/>
      <c r="O137" s="44"/>
      <c r="P137" s="80"/>
      <c r="Q137" s="43"/>
      <c r="R137" s="43"/>
      <c r="S137" s="43"/>
      <c r="T137" s="43"/>
      <c r="U137" s="43"/>
      <c r="V137" s="43"/>
      <c r="W137" s="43"/>
      <c r="X137" s="43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10"/>
      <c r="AN137" s="110"/>
      <c r="AO137" s="110"/>
      <c r="AP137" s="110"/>
      <c r="AQ137" s="110"/>
      <c r="AR137" s="110"/>
      <c r="AS137" s="110"/>
      <c r="AT137" s="110"/>
      <c r="AU137" s="110"/>
      <c r="AV137" s="110"/>
      <c r="AW137" s="110"/>
      <c r="AX137" s="110"/>
      <c r="AY137" s="110"/>
      <c r="AZ137" s="110"/>
      <c r="BA137" s="110"/>
      <c r="BB137" s="110"/>
      <c r="BC137" s="110"/>
      <c r="BD137" s="110"/>
      <c r="BE137" s="110"/>
      <c r="BF137" s="110"/>
      <c r="BG137" s="110"/>
      <c r="BH137" s="110"/>
      <c r="BI137" s="110"/>
      <c r="BJ137" s="110"/>
      <c r="BK137" s="110"/>
      <c r="BL137" s="110"/>
      <c r="BM137" s="110"/>
      <c r="BN137" s="110"/>
      <c r="BO137" s="110"/>
      <c r="BP137" s="110"/>
      <c r="BQ137" s="110"/>
      <c r="BR137" s="110"/>
      <c r="BS137" s="110"/>
      <c r="BT137" s="110"/>
      <c r="BU137" s="110"/>
      <c r="BV137" s="110"/>
      <c r="BW137" s="110"/>
      <c r="BX137" s="110"/>
      <c r="BY137" s="110"/>
      <c r="BZ137" s="110"/>
      <c r="CA137" s="110"/>
      <c r="CB137" s="110"/>
      <c r="CC137" s="110"/>
      <c r="CD137" s="110"/>
      <c r="CE137" s="110"/>
      <c r="CF137" s="110"/>
    </row>
    <row r="138" spans="1:84" s="45" customFormat="1" x14ac:dyDescent="0.25">
      <c r="A138" t="str">
        <f>Funktional!A137</f>
        <v>Au</v>
      </c>
      <c r="B138" t="str">
        <f>Funktional!B137</f>
        <v>KiGa</v>
      </c>
      <c r="C138" s="365">
        <v>11000</v>
      </c>
      <c r="D138" s="365">
        <v>129632.2</v>
      </c>
      <c r="E138" s="365">
        <v>16931.8</v>
      </c>
      <c r="F138" s="119">
        <f t="shared" si="48"/>
        <v>146564</v>
      </c>
      <c r="G138" s="43"/>
      <c r="H138" s="119">
        <f t="shared" si="51"/>
        <v>157564</v>
      </c>
      <c r="I138" s="377"/>
      <c r="J138" s="124">
        <f t="shared" si="49"/>
        <v>6.9812901424183185E-2</v>
      </c>
      <c r="K138" s="42">
        <f t="shared" si="50"/>
        <v>0.93018709857581683</v>
      </c>
      <c r="L138" s="372">
        <v>0</v>
      </c>
      <c r="M138" s="372"/>
      <c r="N138" s="406"/>
      <c r="O138" s="44"/>
      <c r="P138" s="80"/>
      <c r="Q138" s="43"/>
      <c r="R138" s="43"/>
      <c r="S138" s="43"/>
      <c r="T138" s="43"/>
      <c r="U138" s="43"/>
      <c r="V138" s="43"/>
      <c r="W138" s="43"/>
      <c r="X138" s="43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10"/>
      <c r="AN138" s="110"/>
      <c r="AO138" s="110"/>
      <c r="AP138" s="110"/>
      <c r="AQ138" s="110"/>
      <c r="AR138" s="110"/>
      <c r="AS138" s="110"/>
      <c r="AT138" s="110"/>
      <c r="AU138" s="110"/>
      <c r="AV138" s="110"/>
      <c r="AW138" s="110"/>
      <c r="AX138" s="110"/>
      <c r="AY138" s="110"/>
      <c r="AZ138" s="110"/>
      <c r="BA138" s="110"/>
      <c r="BB138" s="110"/>
      <c r="BC138" s="110"/>
      <c r="BD138" s="110"/>
      <c r="BE138" s="110"/>
      <c r="BF138" s="110"/>
      <c r="BG138" s="110"/>
      <c r="BH138" s="110"/>
      <c r="BI138" s="110"/>
      <c r="BJ138" s="110"/>
      <c r="BK138" s="110"/>
      <c r="BL138" s="110"/>
      <c r="BM138" s="110"/>
      <c r="BN138" s="110"/>
      <c r="BO138" s="110"/>
      <c r="BP138" s="110"/>
      <c r="BQ138" s="110"/>
      <c r="BR138" s="110"/>
      <c r="BS138" s="110"/>
      <c r="BT138" s="110"/>
      <c r="BU138" s="110"/>
      <c r="BV138" s="110"/>
      <c r="BW138" s="110"/>
      <c r="BX138" s="110"/>
      <c r="BY138" s="110"/>
      <c r="BZ138" s="110"/>
      <c r="CA138" s="110"/>
      <c r="CB138" s="110"/>
      <c r="CC138" s="110"/>
      <c r="CD138" s="110"/>
      <c r="CE138" s="110"/>
      <c r="CF138" s="110"/>
    </row>
    <row r="139" spans="1:84" s="45" customFormat="1" x14ac:dyDescent="0.25">
      <c r="A139" t="str">
        <f>Funktional!A138</f>
        <v>Balterswil</v>
      </c>
      <c r="B139" t="str">
        <f>Funktional!B138</f>
        <v>KiGa</v>
      </c>
      <c r="C139" s="365">
        <v>159830.25</v>
      </c>
      <c r="D139" s="365">
        <v>783791.2</v>
      </c>
      <c r="E139" s="365">
        <v>70827.05</v>
      </c>
      <c r="F139" s="119">
        <f t="shared" si="48"/>
        <v>854618.25</v>
      </c>
      <c r="G139" s="43"/>
      <c r="H139" s="119">
        <f t="shared" si="51"/>
        <v>1014448.5</v>
      </c>
      <c r="I139" s="377"/>
      <c r="J139" s="124">
        <f t="shared" si="49"/>
        <v>0.15755383343757717</v>
      </c>
      <c r="K139" s="42">
        <f t="shared" si="50"/>
        <v>0.84244616656242288</v>
      </c>
      <c r="L139" s="372">
        <f t="shared" ref="L139:L148" si="52">J139</f>
        <v>0.15755383343757717</v>
      </c>
      <c r="M139" s="372"/>
      <c r="N139" s="406"/>
      <c r="O139" s="44"/>
      <c r="P139" s="80"/>
      <c r="Q139" s="43"/>
      <c r="R139" s="43"/>
      <c r="S139" s="43"/>
      <c r="T139" s="43"/>
      <c r="U139" s="43"/>
      <c r="V139" s="43"/>
      <c r="W139" s="43"/>
      <c r="X139" s="43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  <c r="AI139" s="110"/>
      <c r="AJ139" s="110"/>
      <c r="AK139" s="110"/>
      <c r="AL139" s="110"/>
      <c r="AM139" s="110"/>
      <c r="AN139" s="110"/>
      <c r="AO139" s="110"/>
      <c r="AP139" s="110"/>
      <c r="AQ139" s="110"/>
      <c r="AR139" s="110"/>
      <c r="AS139" s="110"/>
      <c r="AT139" s="110"/>
      <c r="AU139" s="110"/>
      <c r="AV139" s="110"/>
      <c r="AW139" s="110"/>
      <c r="AX139" s="110"/>
      <c r="AY139" s="110"/>
      <c r="AZ139" s="110"/>
      <c r="BA139" s="110"/>
      <c r="BB139" s="110"/>
      <c r="BC139" s="110"/>
      <c r="BD139" s="110"/>
      <c r="BE139" s="110"/>
      <c r="BF139" s="110"/>
      <c r="BG139" s="110"/>
      <c r="BH139" s="110"/>
      <c r="BI139" s="110"/>
      <c r="BJ139" s="110"/>
      <c r="BK139" s="110"/>
      <c r="BL139" s="110"/>
      <c r="BM139" s="110"/>
      <c r="BN139" s="110"/>
      <c r="BO139" s="110"/>
      <c r="BP139" s="110"/>
      <c r="BQ139" s="110"/>
      <c r="BR139" s="110"/>
      <c r="BS139" s="110"/>
      <c r="BT139" s="110"/>
      <c r="BU139" s="110"/>
      <c r="BV139" s="110"/>
      <c r="BW139" s="110"/>
      <c r="BX139" s="110"/>
      <c r="BY139" s="110"/>
      <c r="BZ139" s="110"/>
      <c r="CA139" s="110"/>
      <c r="CB139" s="110"/>
      <c r="CC139" s="110"/>
      <c r="CD139" s="110"/>
      <c r="CE139" s="110"/>
      <c r="CF139" s="110"/>
    </row>
    <row r="140" spans="1:84" s="45" customFormat="1" x14ac:dyDescent="0.25">
      <c r="A140" t="str">
        <f>Funktional!A139</f>
        <v xml:space="preserve">Basadingen-Willisdorf </v>
      </c>
      <c r="B140" t="str">
        <f>Funktional!B139</f>
        <v>KiGa</v>
      </c>
      <c r="C140" s="365">
        <v>158513</v>
      </c>
      <c r="D140" s="365">
        <v>721832.45</v>
      </c>
      <c r="E140" s="365">
        <v>55496.6</v>
      </c>
      <c r="F140" s="119">
        <f t="shared" si="48"/>
        <v>777329.04999999993</v>
      </c>
      <c r="G140" s="43"/>
      <c r="H140" s="119">
        <f t="shared" si="51"/>
        <v>935842.04999999993</v>
      </c>
      <c r="I140" s="377"/>
      <c r="J140" s="124">
        <f t="shared" si="49"/>
        <v>0.16938007861476198</v>
      </c>
      <c r="K140" s="42">
        <f t="shared" si="50"/>
        <v>0.83061992138523799</v>
      </c>
      <c r="L140" s="372">
        <f t="shared" si="52"/>
        <v>0.16938007861476198</v>
      </c>
      <c r="M140" s="372"/>
      <c r="N140" s="406"/>
      <c r="O140" s="44"/>
      <c r="P140" s="80"/>
      <c r="Q140" s="43"/>
      <c r="R140" s="43"/>
      <c r="S140" s="43"/>
      <c r="T140" s="43"/>
      <c r="U140" s="43"/>
      <c r="V140" s="43"/>
      <c r="W140" s="43"/>
      <c r="X140" s="43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  <c r="AI140" s="110"/>
      <c r="AJ140" s="110"/>
      <c r="AK140" s="110"/>
      <c r="AL140" s="110"/>
      <c r="AM140" s="110"/>
      <c r="AN140" s="110"/>
      <c r="AO140" s="110"/>
      <c r="AP140" s="110"/>
      <c r="AQ140" s="110"/>
      <c r="AR140" s="110"/>
      <c r="AS140" s="110"/>
      <c r="AT140" s="110"/>
      <c r="AU140" s="110"/>
      <c r="AV140" s="110"/>
      <c r="AW140" s="110"/>
      <c r="AX140" s="110"/>
      <c r="AY140" s="110"/>
      <c r="AZ140" s="110"/>
      <c r="BA140" s="110"/>
      <c r="BB140" s="110"/>
      <c r="BC140" s="110"/>
      <c r="BD140" s="110"/>
      <c r="BE140" s="110"/>
      <c r="BF140" s="110"/>
      <c r="BG140" s="110"/>
      <c r="BH140" s="110"/>
      <c r="BI140" s="110"/>
      <c r="BJ140" s="110"/>
      <c r="BK140" s="110"/>
      <c r="BL140" s="110"/>
      <c r="BM140" s="110"/>
      <c r="BN140" s="110"/>
      <c r="BO140" s="110"/>
      <c r="BP140" s="110"/>
      <c r="BQ140" s="110"/>
      <c r="BR140" s="110"/>
      <c r="BS140" s="110"/>
      <c r="BT140" s="110"/>
      <c r="BU140" s="110"/>
      <c r="BV140" s="110"/>
      <c r="BW140" s="110"/>
      <c r="BX140" s="110"/>
      <c r="BY140" s="110"/>
      <c r="BZ140" s="110"/>
      <c r="CA140" s="110"/>
      <c r="CB140" s="110"/>
      <c r="CC140" s="110"/>
      <c r="CD140" s="110"/>
      <c r="CE140" s="110"/>
      <c r="CF140" s="110"/>
    </row>
    <row r="141" spans="1:84" s="45" customFormat="1" x14ac:dyDescent="0.25">
      <c r="A141" t="str">
        <f>Funktional!A140</f>
        <v>Berg</v>
      </c>
      <c r="B141" t="str">
        <f>Funktional!B140</f>
        <v>KiGa</v>
      </c>
      <c r="C141" s="365">
        <v>253558.8</v>
      </c>
      <c r="D141" s="365">
        <v>1224123.2</v>
      </c>
      <c r="E141" s="365">
        <v>95765.7</v>
      </c>
      <c r="F141" s="119">
        <f t="shared" si="48"/>
        <v>1319888.8999999999</v>
      </c>
      <c r="G141" s="43"/>
      <c r="H141" s="119">
        <f t="shared" si="51"/>
        <v>1573447.7</v>
      </c>
      <c r="I141" s="377"/>
      <c r="J141" s="124">
        <f t="shared" si="49"/>
        <v>0.16114854024064479</v>
      </c>
      <c r="K141" s="42">
        <f t="shared" si="50"/>
        <v>0.83885145975935516</v>
      </c>
      <c r="L141" s="372">
        <f t="shared" si="52"/>
        <v>0.16114854024064479</v>
      </c>
      <c r="M141" s="372"/>
      <c r="N141" s="406"/>
      <c r="O141" s="44"/>
      <c r="P141" s="80"/>
      <c r="Q141" s="43"/>
      <c r="R141" s="43"/>
      <c r="S141" s="43"/>
      <c r="T141" s="43"/>
      <c r="U141" s="43"/>
      <c r="V141" s="43"/>
      <c r="W141" s="43"/>
      <c r="X141" s="43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  <c r="AI141" s="110"/>
      <c r="AJ141" s="110"/>
      <c r="AK141" s="110"/>
      <c r="AL141" s="110"/>
      <c r="AM141" s="110"/>
      <c r="AN141" s="110"/>
      <c r="AO141" s="110"/>
      <c r="AP141" s="110"/>
      <c r="AQ141" s="110"/>
      <c r="AR141" s="110"/>
      <c r="AS141" s="110"/>
      <c r="AT141" s="110"/>
      <c r="AU141" s="110"/>
      <c r="AV141" s="110"/>
      <c r="AW141" s="110"/>
      <c r="AX141" s="110"/>
      <c r="AY141" s="110"/>
      <c r="AZ141" s="110"/>
      <c r="BA141" s="110"/>
      <c r="BB141" s="110"/>
      <c r="BC141" s="110"/>
      <c r="BD141" s="110"/>
      <c r="BE141" s="110"/>
      <c r="BF141" s="110"/>
      <c r="BG141" s="110"/>
      <c r="BH141" s="110"/>
      <c r="BI141" s="110"/>
      <c r="BJ141" s="110"/>
      <c r="BK141" s="110"/>
      <c r="BL141" s="110"/>
      <c r="BM141" s="110"/>
      <c r="BN141" s="110"/>
      <c r="BO141" s="110"/>
      <c r="BP141" s="110"/>
      <c r="BQ141" s="110"/>
      <c r="BR141" s="110"/>
      <c r="BS141" s="110"/>
      <c r="BT141" s="110"/>
      <c r="BU141" s="110"/>
      <c r="BV141" s="110"/>
      <c r="BW141" s="110"/>
      <c r="BX141" s="110"/>
      <c r="BY141" s="110"/>
      <c r="BZ141" s="110"/>
      <c r="CA141" s="110"/>
      <c r="CB141" s="110"/>
      <c r="CC141" s="110"/>
      <c r="CD141" s="110"/>
      <c r="CE141" s="110"/>
      <c r="CF141" s="110"/>
    </row>
    <row r="142" spans="1:84" s="45" customFormat="1" x14ac:dyDescent="0.25">
      <c r="A142" t="str">
        <f>Funktional!A141</f>
        <v>Berlingen</v>
      </c>
      <c r="B142" t="str">
        <f>Funktional!B141</f>
        <v>KiGa</v>
      </c>
      <c r="C142" s="365">
        <v>123151.3</v>
      </c>
      <c r="D142" s="365">
        <v>505480.25</v>
      </c>
      <c r="E142" s="365">
        <v>53865.8</v>
      </c>
      <c r="F142" s="119">
        <f t="shared" si="48"/>
        <v>559346.05000000005</v>
      </c>
      <c r="G142" s="43"/>
      <c r="H142" s="119">
        <f t="shared" si="51"/>
        <v>682497.35000000009</v>
      </c>
      <c r="I142" s="377"/>
      <c r="J142" s="124">
        <f t="shared" si="49"/>
        <v>0.1804421658193984</v>
      </c>
      <c r="K142" s="42">
        <f t="shared" si="50"/>
        <v>0.81955783418060157</v>
      </c>
      <c r="L142" s="372">
        <f t="shared" si="52"/>
        <v>0.1804421658193984</v>
      </c>
      <c r="M142" s="372"/>
      <c r="N142" s="406"/>
      <c r="O142" s="44"/>
      <c r="P142" s="80"/>
      <c r="Q142" s="43"/>
      <c r="R142" s="43"/>
      <c r="S142" s="43"/>
      <c r="T142" s="43"/>
      <c r="U142" s="43"/>
      <c r="V142" s="43"/>
      <c r="W142" s="43"/>
      <c r="X142" s="43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  <c r="AK142" s="110"/>
      <c r="AL142" s="110"/>
      <c r="AM142" s="110"/>
      <c r="AN142" s="110"/>
      <c r="AO142" s="110"/>
      <c r="AP142" s="110"/>
      <c r="AQ142" s="110"/>
      <c r="AR142" s="110"/>
      <c r="AS142" s="110"/>
      <c r="AT142" s="110"/>
      <c r="AU142" s="110"/>
      <c r="AV142" s="110"/>
      <c r="AW142" s="110"/>
      <c r="AX142" s="110"/>
      <c r="AY142" s="110"/>
      <c r="AZ142" s="110"/>
      <c r="BA142" s="110"/>
      <c r="BB142" s="110"/>
      <c r="BC142" s="110"/>
      <c r="BD142" s="110"/>
      <c r="BE142" s="110"/>
      <c r="BF142" s="110"/>
      <c r="BG142" s="110"/>
      <c r="BH142" s="110"/>
      <c r="BI142" s="110"/>
      <c r="BJ142" s="110"/>
      <c r="BK142" s="110"/>
      <c r="BL142" s="110"/>
      <c r="BM142" s="110"/>
      <c r="BN142" s="110"/>
      <c r="BO142" s="110"/>
      <c r="BP142" s="110"/>
      <c r="BQ142" s="110"/>
      <c r="BR142" s="110"/>
      <c r="BS142" s="110"/>
      <c r="BT142" s="110"/>
      <c r="BU142" s="110"/>
      <c r="BV142" s="110"/>
      <c r="BW142" s="110"/>
      <c r="BX142" s="110"/>
      <c r="BY142" s="110"/>
      <c r="BZ142" s="110"/>
      <c r="CA142" s="110"/>
      <c r="CB142" s="110"/>
      <c r="CC142" s="110"/>
      <c r="CD142" s="110"/>
      <c r="CE142" s="110"/>
      <c r="CF142" s="110"/>
    </row>
    <row r="143" spans="1:84" s="45" customFormat="1" x14ac:dyDescent="0.25">
      <c r="A143" t="str">
        <f>Funktional!A142</f>
        <v>Bettwiesen</v>
      </c>
      <c r="B143" t="str">
        <f>Funktional!B142</f>
        <v>KiGa</v>
      </c>
      <c r="C143" s="365">
        <v>152372.54999999999</v>
      </c>
      <c r="D143" s="365">
        <v>630637.19999999995</v>
      </c>
      <c r="E143" s="365">
        <v>72398.25</v>
      </c>
      <c r="F143" s="119">
        <f t="shared" si="48"/>
        <v>703035.45</v>
      </c>
      <c r="G143" s="43"/>
      <c r="H143" s="119">
        <f t="shared" si="51"/>
        <v>855408</v>
      </c>
      <c r="I143" s="377"/>
      <c r="J143" s="124">
        <f t="shared" si="49"/>
        <v>0.17812850709836708</v>
      </c>
      <c r="K143" s="42">
        <f t="shared" si="50"/>
        <v>0.82187149290163286</v>
      </c>
      <c r="L143" s="372">
        <f t="shared" si="52"/>
        <v>0.17812850709836708</v>
      </c>
      <c r="M143" s="372"/>
      <c r="N143" s="406"/>
      <c r="O143" s="44"/>
      <c r="P143" s="80"/>
      <c r="Q143" s="43"/>
      <c r="R143" s="43"/>
      <c r="S143" s="43"/>
      <c r="T143" s="43"/>
      <c r="U143" s="43"/>
      <c r="V143" s="43"/>
      <c r="W143" s="43"/>
      <c r="X143" s="43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  <c r="AU143" s="110"/>
      <c r="AV143" s="110"/>
      <c r="AW143" s="110"/>
      <c r="AX143" s="110"/>
      <c r="AY143" s="110"/>
      <c r="AZ143" s="110"/>
      <c r="BA143" s="110"/>
      <c r="BB143" s="110"/>
      <c r="BC143" s="110"/>
      <c r="BD143" s="110"/>
      <c r="BE143" s="110"/>
      <c r="BF143" s="110"/>
      <c r="BG143" s="110"/>
      <c r="BH143" s="110"/>
      <c r="BI143" s="110"/>
      <c r="BJ143" s="110"/>
      <c r="BK143" s="110"/>
      <c r="BL143" s="110"/>
      <c r="BM143" s="110"/>
      <c r="BN143" s="110"/>
      <c r="BO143" s="110"/>
      <c r="BP143" s="110"/>
      <c r="BQ143" s="110"/>
      <c r="BR143" s="110"/>
      <c r="BS143" s="110"/>
      <c r="BT143" s="110"/>
      <c r="BU143" s="110"/>
      <c r="BV143" s="110"/>
      <c r="BW143" s="110"/>
      <c r="BX143" s="110"/>
      <c r="BY143" s="110"/>
      <c r="BZ143" s="110"/>
      <c r="CA143" s="110"/>
      <c r="CB143" s="110"/>
      <c r="CC143" s="110"/>
      <c r="CD143" s="110"/>
      <c r="CE143" s="110"/>
      <c r="CF143" s="110"/>
    </row>
    <row r="144" spans="1:84" s="45" customFormat="1" x14ac:dyDescent="0.25">
      <c r="A144" t="str">
        <f>Funktional!A143</f>
        <v>Bichelsee</v>
      </c>
      <c r="B144" t="str">
        <f>Funktional!B143</f>
        <v>KiGa</v>
      </c>
      <c r="C144" s="365">
        <v>186322.95</v>
      </c>
      <c r="D144" s="365">
        <v>605999.25</v>
      </c>
      <c r="E144" s="365">
        <v>52248.7</v>
      </c>
      <c r="F144" s="119">
        <f t="shared" si="48"/>
        <v>658247.94999999995</v>
      </c>
      <c r="G144" s="43"/>
      <c r="H144" s="119">
        <f t="shared" si="51"/>
        <v>844570.89999999991</v>
      </c>
      <c r="I144" s="377"/>
      <c r="J144" s="124">
        <f t="shared" si="49"/>
        <v>0.22061256195305809</v>
      </c>
      <c r="K144" s="42">
        <f t="shared" si="50"/>
        <v>0.77938743804694199</v>
      </c>
      <c r="L144" s="372">
        <f t="shared" si="52"/>
        <v>0.22061256195305809</v>
      </c>
      <c r="M144" s="372"/>
      <c r="N144" s="406"/>
      <c r="O144" s="44"/>
      <c r="P144" s="80"/>
      <c r="Q144" s="43"/>
      <c r="R144" s="43"/>
      <c r="S144" s="43"/>
      <c r="T144" s="43"/>
      <c r="U144" s="43"/>
      <c r="V144" s="43"/>
      <c r="W144" s="43"/>
      <c r="X144" s="43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110"/>
      <c r="AJ144" s="110"/>
      <c r="AK144" s="110"/>
      <c r="AL144" s="110"/>
      <c r="AM144" s="110"/>
      <c r="AN144" s="110"/>
      <c r="AO144" s="110"/>
      <c r="AP144" s="110"/>
      <c r="AQ144" s="110"/>
      <c r="AR144" s="110"/>
      <c r="AS144" s="110"/>
      <c r="AT144" s="110"/>
      <c r="AU144" s="110"/>
      <c r="AV144" s="110"/>
      <c r="AW144" s="110"/>
      <c r="AX144" s="110"/>
      <c r="AY144" s="110"/>
      <c r="AZ144" s="110"/>
      <c r="BA144" s="110"/>
      <c r="BB144" s="110"/>
      <c r="BC144" s="110"/>
      <c r="BD144" s="110"/>
      <c r="BE144" s="110"/>
      <c r="BF144" s="110"/>
      <c r="BG144" s="110"/>
      <c r="BH144" s="110"/>
      <c r="BI144" s="110"/>
      <c r="BJ144" s="110"/>
      <c r="BK144" s="110"/>
      <c r="BL144" s="110"/>
      <c r="BM144" s="110"/>
      <c r="BN144" s="110"/>
      <c r="BO144" s="110"/>
      <c r="BP144" s="110"/>
      <c r="BQ144" s="110"/>
      <c r="BR144" s="110"/>
      <c r="BS144" s="110"/>
      <c r="BT144" s="110"/>
      <c r="BU144" s="110"/>
      <c r="BV144" s="110"/>
      <c r="BW144" s="110"/>
      <c r="BX144" s="110"/>
      <c r="BY144" s="110"/>
      <c r="BZ144" s="110"/>
      <c r="CA144" s="110"/>
      <c r="CB144" s="110"/>
      <c r="CC144" s="110"/>
      <c r="CD144" s="110"/>
      <c r="CE144" s="110"/>
      <c r="CF144" s="110"/>
    </row>
    <row r="145" spans="1:84" s="45" customFormat="1" x14ac:dyDescent="0.25">
      <c r="A145" t="str">
        <f>Funktional!A144</f>
        <v>Bischofszell</v>
      </c>
      <c r="B145" t="str">
        <f>Funktional!B144</f>
        <v>KiGa</v>
      </c>
      <c r="C145" s="365">
        <v>376347.3</v>
      </c>
      <c r="D145" s="365">
        <v>2808486.7</v>
      </c>
      <c r="E145" s="365">
        <v>179284</v>
      </c>
      <c r="F145" s="119">
        <f t="shared" si="48"/>
        <v>2987770.7</v>
      </c>
      <c r="G145" s="43"/>
      <c r="H145" s="119">
        <f t="shared" si="51"/>
        <v>3364118</v>
      </c>
      <c r="I145" s="377"/>
      <c r="J145" s="124">
        <f t="shared" si="49"/>
        <v>0.1118710164150009</v>
      </c>
      <c r="K145" s="42">
        <f t="shared" si="50"/>
        <v>0.88812898358499914</v>
      </c>
      <c r="L145" s="372">
        <f t="shared" si="52"/>
        <v>0.1118710164150009</v>
      </c>
      <c r="M145" s="372"/>
      <c r="N145" s="406"/>
      <c r="O145" s="44"/>
      <c r="P145" s="80"/>
      <c r="Q145" s="43"/>
      <c r="R145" s="43"/>
      <c r="S145" s="43"/>
      <c r="T145" s="43"/>
      <c r="U145" s="43"/>
      <c r="V145" s="43"/>
      <c r="W145" s="43"/>
      <c r="X145" s="43"/>
      <c r="Y145" s="110"/>
      <c r="Z145" s="110"/>
      <c r="AA145" s="110"/>
      <c r="AB145" s="110"/>
      <c r="AC145" s="110"/>
      <c r="AD145" s="110"/>
      <c r="AE145" s="110"/>
      <c r="AF145" s="110"/>
      <c r="AG145" s="110"/>
      <c r="AH145" s="110"/>
      <c r="AI145" s="110"/>
      <c r="AJ145" s="110"/>
      <c r="AK145" s="110"/>
      <c r="AL145" s="110"/>
      <c r="AM145" s="110"/>
      <c r="AN145" s="110"/>
      <c r="AO145" s="110"/>
      <c r="AP145" s="110"/>
      <c r="AQ145" s="110"/>
      <c r="AR145" s="110"/>
      <c r="AS145" s="110"/>
      <c r="AT145" s="110"/>
      <c r="AU145" s="110"/>
      <c r="AV145" s="110"/>
      <c r="AW145" s="110"/>
      <c r="AX145" s="110"/>
      <c r="AY145" s="110"/>
      <c r="AZ145" s="110"/>
      <c r="BA145" s="110"/>
      <c r="BB145" s="110"/>
      <c r="BC145" s="110"/>
      <c r="BD145" s="110"/>
      <c r="BE145" s="110"/>
      <c r="BF145" s="110"/>
      <c r="BG145" s="110"/>
      <c r="BH145" s="110"/>
      <c r="BI145" s="110"/>
      <c r="BJ145" s="110"/>
      <c r="BK145" s="110"/>
      <c r="BL145" s="110"/>
      <c r="BM145" s="110"/>
      <c r="BN145" s="110"/>
      <c r="BO145" s="110"/>
      <c r="BP145" s="110"/>
      <c r="BQ145" s="110"/>
      <c r="BR145" s="110"/>
      <c r="BS145" s="110"/>
      <c r="BT145" s="110"/>
      <c r="BU145" s="110"/>
      <c r="BV145" s="110"/>
      <c r="BW145" s="110"/>
      <c r="BX145" s="110"/>
      <c r="BY145" s="110"/>
      <c r="BZ145" s="110"/>
      <c r="CA145" s="110"/>
      <c r="CB145" s="110"/>
      <c r="CC145" s="110"/>
      <c r="CD145" s="110"/>
      <c r="CE145" s="110"/>
      <c r="CF145" s="110"/>
    </row>
    <row r="146" spans="1:84" s="45" customFormat="1" x14ac:dyDescent="0.25">
      <c r="A146" t="str">
        <f>Funktional!A145</f>
        <v>Blidegg</v>
      </c>
      <c r="B146" t="str">
        <f>Funktional!B145</f>
        <v>KiGa</v>
      </c>
      <c r="C146" s="365">
        <v>8000</v>
      </c>
      <c r="D146" s="365">
        <v>227726.95</v>
      </c>
      <c r="E146" s="365">
        <v>18209.3</v>
      </c>
      <c r="F146" s="119">
        <f t="shared" si="48"/>
        <v>245936.25</v>
      </c>
      <c r="G146" s="43"/>
      <c r="H146" s="119">
        <f t="shared" si="51"/>
        <v>253936.25</v>
      </c>
      <c r="I146" s="377"/>
      <c r="J146" s="124">
        <f t="shared" si="49"/>
        <v>3.1503969992468579E-2</v>
      </c>
      <c r="K146" s="42">
        <f t="shared" si="50"/>
        <v>0.96849603000753137</v>
      </c>
      <c r="L146" s="372">
        <v>0</v>
      </c>
      <c r="M146" s="372"/>
      <c r="N146" s="406"/>
      <c r="O146" s="44"/>
      <c r="P146" s="80"/>
      <c r="Q146" s="43"/>
      <c r="R146" s="43"/>
      <c r="S146" s="43"/>
      <c r="T146" s="43"/>
      <c r="U146" s="43"/>
      <c r="V146" s="43"/>
      <c r="W146" s="43"/>
      <c r="X146" s="43"/>
      <c r="Y146" s="110"/>
      <c r="Z146" s="110"/>
      <c r="AA146" s="110"/>
      <c r="AB146" s="110"/>
      <c r="AC146" s="110"/>
      <c r="AD146" s="110"/>
      <c r="AE146" s="110"/>
      <c r="AF146" s="110"/>
      <c r="AG146" s="110"/>
      <c r="AH146" s="110"/>
      <c r="AI146" s="110"/>
      <c r="AJ146" s="110"/>
      <c r="AK146" s="110"/>
      <c r="AL146" s="110"/>
      <c r="AM146" s="110"/>
      <c r="AN146" s="110"/>
      <c r="AO146" s="110"/>
      <c r="AP146" s="110"/>
      <c r="AQ146" s="110"/>
      <c r="AR146" s="110"/>
      <c r="AS146" s="110"/>
      <c r="AT146" s="110"/>
      <c r="AU146" s="110"/>
      <c r="AV146" s="110"/>
      <c r="AW146" s="110"/>
      <c r="AX146" s="110"/>
      <c r="AY146" s="110"/>
      <c r="AZ146" s="110"/>
      <c r="BA146" s="110"/>
      <c r="BB146" s="110"/>
      <c r="BC146" s="110"/>
      <c r="BD146" s="110"/>
      <c r="BE146" s="110"/>
      <c r="BF146" s="110"/>
      <c r="BG146" s="110"/>
      <c r="BH146" s="110"/>
      <c r="BI146" s="110"/>
      <c r="BJ146" s="110"/>
      <c r="BK146" s="110"/>
      <c r="BL146" s="110"/>
      <c r="BM146" s="110"/>
      <c r="BN146" s="110"/>
      <c r="BO146" s="110"/>
      <c r="BP146" s="110"/>
      <c r="BQ146" s="110"/>
      <c r="BR146" s="110"/>
      <c r="BS146" s="110"/>
      <c r="BT146" s="110"/>
      <c r="BU146" s="110"/>
      <c r="BV146" s="110"/>
      <c r="BW146" s="110"/>
      <c r="BX146" s="110"/>
      <c r="BY146" s="110"/>
      <c r="BZ146" s="110"/>
      <c r="CA146" s="110"/>
      <c r="CB146" s="110"/>
      <c r="CC146" s="110"/>
      <c r="CD146" s="110"/>
      <c r="CE146" s="110"/>
      <c r="CF146" s="110"/>
    </row>
    <row r="147" spans="1:84" s="45" customFormat="1" x14ac:dyDescent="0.25">
      <c r="A147" t="str">
        <f>Funktional!A146</f>
        <v>Bottighofen</v>
      </c>
      <c r="B147" t="str">
        <f>Funktional!B146</f>
        <v>KiGa</v>
      </c>
      <c r="C147" s="365">
        <v>176649.3</v>
      </c>
      <c r="D147" s="365">
        <v>655398.55000000005</v>
      </c>
      <c r="E147" s="365">
        <v>69341.5</v>
      </c>
      <c r="F147" s="119">
        <f t="shared" si="48"/>
        <v>724740.05</v>
      </c>
      <c r="G147" s="43"/>
      <c r="H147" s="119">
        <f t="shared" si="51"/>
        <v>901389.35000000009</v>
      </c>
      <c r="I147" s="377"/>
      <c r="J147" s="124">
        <f t="shared" si="49"/>
        <v>0.1959744698558952</v>
      </c>
      <c r="K147" s="42">
        <f t="shared" si="50"/>
        <v>0.80402553014410472</v>
      </c>
      <c r="L147" s="372">
        <f t="shared" si="52"/>
        <v>0.1959744698558952</v>
      </c>
      <c r="M147" s="372"/>
      <c r="N147" s="406"/>
      <c r="O147" s="44"/>
      <c r="P147" s="80"/>
      <c r="Q147" s="43"/>
      <c r="R147" s="43"/>
      <c r="S147" s="43"/>
      <c r="T147" s="43"/>
      <c r="U147" s="43"/>
      <c r="V147" s="43"/>
      <c r="W147" s="43"/>
      <c r="X147" s="43"/>
      <c r="Y147" s="110"/>
      <c r="Z147" s="110"/>
      <c r="AA147" s="110"/>
      <c r="AB147" s="110"/>
      <c r="AC147" s="110"/>
      <c r="AD147" s="110"/>
      <c r="AE147" s="110"/>
      <c r="AF147" s="110"/>
      <c r="AG147" s="110"/>
      <c r="AH147" s="110"/>
      <c r="AI147" s="110"/>
      <c r="AJ147" s="110"/>
      <c r="AK147" s="110"/>
      <c r="AL147" s="110"/>
      <c r="AM147" s="110"/>
      <c r="AN147" s="110"/>
      <c r="AO147" s="110"/>
      <c r="AP147" s="110"/>
      <c r="AQ147" s="110"/>
      <c r="AR147" s="110"/>
      <c r="AS147" s="110"/>
      <c r="AT147" s="110"/>
      <c r="AU147" s="110"/>
      <c r="AV147" s="110"/>
      <c r="AW147" s="110"/>
      <c r="AX147" s="110"/>
      <c r="AY147" s="110"/>
      <c r="AZ147" s="110"/>
      <c r="BA147" s="110"/>
      <c r="BB147" s="110"/>
      <c r="BC147" s="110"/>
      <c r="BD147" s="110"/>
      <c r="BE147" s="110"/>
      <c r="BF147" s="110"/>
      <c r="BG147" s="110"/>
      <c r="BH147" s="110"/>
      <c r="BI147" s="110"/>
      <c r="BJ147" s="110"/>
      <c r="BK147" s="110"/>
      <c r="BL147" s="110"/>
      <c r="BM147" s="110"/>
      <c r="BN147" s="110"/>
      <c r="BO147" s="110"/>
      <c r="BP147" s="110"/>
      <c r="BQ147" s="110"/>
      <c r="BR147" s="110"/>
      <c r="BS147" s="110"/>
      <c r="BT147" s="110"/>
      <c r="BU147" s="110"/>
      <c r="BV147" s="110"/>
      <c r="BW147" s="110"/>
      <c r="BX147" s="110"/>
      <c r="BY147" s="110"/>
      <c r="BZ147" s="110"/>
      <c r="CA147" s="110"/>
      <c r="CB147" s="110"/>
      <c r="CC147" s="110"/>
      <c r="CD147" s="110"/>
      <c r="CE147" s="110"/>
      <c r="CF147" s="110"/>
    </row>
    <row r="148" spans="1:84" s="45" customFormat="1" x14ac:dyDescent="0.25">
      <c r="A148" t="str">
        <f>Funktional!A147</f>
        <v>Braunau</v>
      </c>
      <c r="B148" t="str">
        <f>Funktional!B147</f>
        <v>KiGa</v>
      </c>
      <c r="C148" s="365">
        <v>97816.6</v>
      </c>
      <c r="D148" s="365">
        <v>435843.15</v>
      </c>
      <c r="E148" s="365">
        <v>39867.550000000003</v>
      </c>
      <c r="F148" s="119">
        <f t="shared" ref="F148:F163" si="53">D148+E148</f>
        <v>475710.7</v>
      </c>
      <c r="G148" s="43"/>
      <c r="H148" s="119">
        <f t="shared" si="51"/>
        <v>573527.30000000005</v>
      </c>
      <c r="I148" s="377"/>
      <c r="J148" s="124">
        <f t="shared" ref="J148:J163" si="54">C148/H148</f>
        <v>0.17055264849641857</v>
      </c>
      <c r="K148" s="42">
        <f t="shared" ref="K148:K163" si="55">F148/H148</f>
        <v>0.8294473515035814</v>
      </c>
      <c r="L148" s="372">
        <f t="shared" si="52"/>
        <v>0.17055264849641857</v>
      </c>
      <c r="M148" s="372"/>
      <c r="N148" s="406"/>
      <c r="O148" s="44"/>
      <c r="P148" s="80"/>
      <c r="Q148" s="43"/>
      <c r="R148" s="43"/>
      <c r="S148" s="43"/>
      <c r="T148" s="43"/>
      <c r="U148" s="43"/>
      <c r="V148" s="43"/>
      <c r="W148" s="43"/>
      <c r="X148" s="43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  <c r="AI148" s="110"/>
      <c r="AJ148" s="110"/>
      <c r="AK148" s="110"/>
      <c r="AL148" s="110"/>
      <c r="AM148" s="110"/>
      <c r="AN148" s="110"/>
      <c r="AO148" s="110"/>
      <c r="AP148" s="110"/>
      <c r="AQ148" s="110"/>
      <c r="AR148" s="110"/>
      <c r="AS148" s="110"/>
      <c r="AT148" s="110"/>
      <c r="AU148" s="110"/>
      <c r="AV148" s="110"/>
      <c r="AW148" s="110"/>
      <c r="AX148" s="110"/>
      <c r="AY148" s="110"/>
      <c r="AZ148" s="110"/>
      <c r="BA148" s="110"/>
      <c r="BB148" s="110"/>
      <c r="BC148" s="110"/>
      <c r="BD148" s="110"/>
      <c r="BE148" s="110"/>
      <c r="BF148" s="110"/>
      <c r="BG148" s="110"/>
      <c r="BH148" s="110"/>
      <c r="BI148" s="110"/>
      <c r="BJ148" s="110"/>
      <c r="BK148" s="110"/>
      <c r="BL148" s="110"/>
      <c r="BM148" s="110"/>
      <c r="BN148" s="110"/>
      <c r="BO148" s="110"/>
      <c r="BP148" s="110"/>
      <c r="BQ148" s="110"/>
      <c r="BR148" s="110"/>
      <c r="BS148" s="110"/>
      <c r="BT148" s="110"/>
      <c r="BU148" s="110"/>
      <c r="BV148" s="110"/>
      <c r="BW148" s="110"/>
      <c r="BX148" s="110"/>
      <c r="BY148" s="110"/>
      <c r="BZ148" s="110"/>
      <c r="CA148" s="110"/>
      <c r="CB148" s="110"/>
      <c r="CC148" s="110"/>
      <c r="CD148" s="110"/>
      <c r="CE148" s="110"/>
      <c r="CF148" s="110"/>
    </row>
    <row r="149" spans="1:84" s="45" customFormat="1" x14ac:dyDescent="0.25">
      <c r="A149" t="str">
        <f>Funktional!A148</f>
        <v>Buch bei Frauenfeld</v>
      </c>
      <c r="B149" t="str">
        <f>Funktional!B148</f>
        <v>KiGa</v>
      </c>
      <c r="C149" s="365">
        <v>54720.5</v>
      </c>
      <c r="D149" s="365">
        <v>263381.25</v>
      </c>
      <c r="E149" s="365">
        <v>19843.650000000001</v>
      </c>
      <c r="F149" s="119">
        <f t="shared" si="53"/>
        <v>283224.90000000002</v>
      </c>
      <c r="G149" s="43"/>
      <c r="H149" s="119">
        <f t="shared" si="51"/>
        <v>337945.4</v>
      </c>
      <c r="I149" s="377"/>
      <c r="J149" s="124">
        <f t="shared" si="54"/>
        <v>0.16192112690393182</v>
      </c>
      <c r="K149" s="42">
        <f t="shared" si="55"/>
        <v>0.83807887309606821</v>
      </c>
      <c r="L149" s="372">
        <v>0</v>
      </c>
      <c r="M149" s="372"/>
      <c r="N149" s="406"/>
      <c r="O149" s="44"/>
      <c r="P149" s="80"/>
      <c r="Q149" s="43"/>
      <c r="R149" s="43"/>
      <c r="S149" s="43"/>
      <c r="T149" s="43"/>
      <c r="U149" s="43"/>
      <c r="V149" s="43"/>
      <c r="W149" s="43"/>
      <c r="X149" s="43"/>
      <c r="Y149" s="110"/>
      <c r="Z149" s="110"/>
      <c r="AA149" s="110"/>
      <c r="AB149" s="110"/>
      <c r="AC149" s="110"/>
      <c r="AD149" s="110"/>
      <c r="AE149" s="110"/>
      <c r="AF149" s="110"/>
      <c r="AG149" s="110"/>
      <c r="AH149" s="110"/>
      <c r="AI149" s="110"/>
      <c r="AJ149" s="110"/>
      <c r="AK149" s="110"/>
      <c r="AL149" s="110"/>
      <c r="AM149" s="110"/>
      <c r="AN149" s="110"/>
      <c r="AO149" s="110"/>
      <c r="AP149" s="110"/>
      <c r="AQ149" s="110"/>
      <c r="AR149" s="110"/>
      <c r="AS149" s="110"/>
      <c r="AT149" s="110"/>
      <c r="AU149" s="110"/>
      <c r="AV149" s="110"/>
      <c r="AW149" s="110"/>
      <c r="AX149" s="110"/>
      <c r="AY149" s="110"/>
      <c r="AZ149" s="110"/>
      <c r="BA149" s="110"/>
      <c r="BB149" s="110"/>
      <c r="BC149" s="110"/>
      <c r="BD149" s="110"/>
      <c r="BE149" s="110"/>
      <c r="BF149" s="110"/>
      <c r="BG149" s="110"/>
      <c r="BH149" s="110"/>
      <c r="BI149" s="110"/>
      <c r="BJ149" s="110"/>
      <c r="BK149" s="110"/>
      <c r="BL149" s="110"/>
      <c r="BM149" s="110"/>
      <c r="BN149" s="110"/>
      <c r="BO149" s="110"/>
      <c r="BP149" s="110"/>
      <c r="BQ149" s="110"/>
      <c r="BR149" s="110"/>
      <c r="BS149" s="110"/>
      <c r="BT149" s="110"/>
      <c r="BU149" s="110"/>
      <c r="BV149" s="110"/>
      <c r="BW149" s="110"/>
      <c r="BX149" s="110"/>
      <c r="BY149" s="110"/>
      <c r="BZ149" s="110"/>
      <c r="CA149" s="110"/>
      <c r="CB149" s="110"/>
      <c r="CC149" s="110"/>
      <c r="CD149" s="110"/>
      <c r="CE149" s="110"/>
      <c r="CF149" s="110"/>
    </row>
    <row r="150" spans="1:84" s="45" customFormat="1" x14ac:dyDescent="0.25">
      <c r="A150" t="str">
        <f>Funktional!A149</f>
        <v>Buhwil-Neukirch an der Thur</v>
      </c>
      <c r="B150" t="str">
        <f>Funktional!B149</f>
        <v>KiGa</v>
      </c>
      <c r="C150" s="365">
        <v>102110.39999999999</v>
      </c>
      <c r="D150" s="365">
        <v>523495.4</v>
      </c>
      <c r="E150" s="365">
        <v>48159.1</v>
      </c>
      <c r="F150" s="119">
        <f t="shared" si="53"/>
        <v>571654.5</v>
      </c>
      <c r="G150" s="43"/>
      <c r="H150" s="119">
        <f t="shared" si="51"/>
        <v>673764.9</v>
      </c>
      <c r="I150" s="377"/>
      <c r="J150" s="124">
        <f t="shared" si="54"/>
        <v>0.151551973099222</v>
      </c>
      <c r="K150" s="42">
        <f t="shared" si="55"/>
        <v>0.84844802690077792</v>
      </c>
      <c r="L150" s="372">
        <f t="shared" ref="L150:L157" si="56">J150</f>
        <v>0.151551973099222</v>
      </c>
      <c r="M150" s="372"/>
      <c r="N150" s="406"/>
      <c r="O150" s="44"/>
      <c r="P150" s="80"/>
      <c r="Q150" s="43"/>
      <c r="R150" s="43"/>
      <c r="S150" s="43"/>
      <c r="T150" s="43"/>
      <c r="U150" s="43"/>
      <c r="V150" s="43"/>
      <c r="W150" s="43"/>
      <c r="X150" s="43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  <c r="AL150" s="110"/>
      <c r="AM150" s="110"/>
      <c r="AN150" s="110"/>
      <c r="AO150" s="110"/>
      <c r="AP150" s="110"/>
      <c r="AQ150" s="110"/>
      <c r="AR150" s="110"/>
      <c r="AS150" s="110"/>
      <c r="AT150" s="110"/>
      <c r="AU150" s="110"/>
      <c r="AV150" s="110"/>
      <c r="AW150" s="110"/>
      <c r="AX150" s="110"/>
      <c r="AY150" s="110"/>
      <c r="AZ150" s="110"/>
      <c r="BA150" s="110"/>
      <c r="BB150" s="110"/>
      <c r="BC150" s="110"/>
      <c r="BD150" s="110"/>
      <c r="BE150" s="110"/>
      <c r="BF150" s="110"/>
      <c r="BG150" s="110"/>
      <c r="BH150" s="110"/>
      <c r="BI150" s="110"/>
      <c r="BJ150" s="110"/>
      <c r="BK150" s="110"/>
      <c r="BL150" s="110"/>
      <c r="BM150" s="110"/>
      <c r="BN150" s="110"/>
      <c r="BO150" s="110"/>
      <c r="BP150" s="110"/>
      <c r="BQ150" s="110"/>
      <c r="BR150" s="110"/>
      <c r="BS150" s="110"/>
      <c r="BT150" s="110"/>
      <c r="BU150" s="110"/>
      <c r="BV150" s="110"/>
      <c r="BW150" s="110"/>
      <c r="BX150" s="110"/>
      <c r="BY150" s="110"/>
      <c r="BZ150" s="110"/>
      <c r="CA150" s="110"/>
      <c r="CB150" s="110"/>
      <c r="CC150" s="110"/>
      <c r="CD150" s="110"/>
      <c r="CE150" s="110"/>
      <c r="CF150" s="110"/>
    </row>
    <row r="151" spans="1:84" s="45" customFormat="1" x14ac:dyDescent="0.25">
      <c r="A151" t="str">
        <f>Funktional!A150</f>
        <v>Bürglen</v>
      </c>
      <c r="B151" t="str">
        <f>Funktional!B150</f>
        <v>KiGa</v>
      </c>
      <c r="C151" s="365">
        <v>238769.4</v>
      </c>
      <c r="D151" s="365">
        <v>1774396.3</v>
      </c>
      <c r="E151" s="365">
        <v>173673.05</v>
      </c>
      <c r="F151" s="119">
        <f t="shared" si="53"/>
        <v>1948069.35</v>
      </c>
      <c r="G151" s="43"/>
      <c r="H151" s="119">
        <f t="shared" si="51"/>
        <v>2186838.75</v>
      </c>
      <c r="I151" s="377"/>
      <c r="J151" s="124">
        <f t="shared" si="54"/>
        <v>0.10918473069859402</v>
      </c>
      <c r="K151" s="42">
        <f t="shared" si="55"/>
        <v>0.89081526930140598</v>
      </c>
      <c r="L151" s="372">
        <f t="shared" si="56"/>
        <v>0.10918473069859402</v>
      </c>
      <c r="M151" s="372"/>
      <c r="N151" s="406"/>
      <c r="O151" s="44"/>
      <c r="P151" s="80"/>
      <c r="Q151" s="43"/>
      <c r="R151" s="43"/>
      <c r="S151" s="43"/>
      <c r="T151" s="43"/>
      <c r="U151" s="43"/>
      <c r="V151" s="43"/>
      <c r="W151" s="43"/>
      <c r="X151" s="43"/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  <c r="AI151" s="110"/>
      <c r="AJ151" s="110"/>
      <c r="AK151" s="110"/>
      <c r="AL151" s="110"/>
      <c r="AM151" s="110"/>
      <c r="AN151" s="110"/>
      <c r="AO151" s="110"/>
      <c r="AP151" s="110"/>
      <c r="AQ151" s="110"/>
      <c r="AR151" s="110"/>
      <c r="AS151" s="110"/>
      <c r="AT151" s="110"/>
      <c r="AU151" s="110"/>
      <c r="AV151" s="110"/>
      <c r="AW151" s="110"/>
      <c r="AX151" s="110"/>
      <c r="AY151" s="110"/>
      <c r="AZ151" s="110"/>
      <c r="BA151" s="110"/>
      <c r="BB151" s="110"/>
      <c r="BC151" s="110"/>
      <c r="BD151" s="110"/>
      <c r="BE151" s="110"/>
      <c r="BF151" s="110"/>
      <c r="BG151" s="110"/>
      <c r="BH151" s="110"/>
      <c r="BI151" s="110"/>
      <c r="BJ151" s="110"/>
      <c r="BK151" s="110"/>
      <c r="BL151" s="110"/>
      <c r="BM151" s="110"/>
      <c r="BN151" s="110"/>
      <c r="BO151" s="110"/>
      <c r="BP151" s="110"/>
      <c r="BQ151" s="110"/>
      <c r="BR151" s="110"/>
      <c r="BS151" s="110"/>
      <c r="BT151" s="110"/>
      <c r="BU151" s="110"/>
      <c r="BV151" s="110"/>
      <c r="BW151" s="110"/>
      <c r="BX151" s="110"/>
      <c r="BY151" s="110"/>
      <c r="BZ151" s="110"/>
      <c r="CA151" s="110"/>
      <c r="CB151" s="110"/>
      <c r="CC151" s="110"/>
      <c r="CD151" s="110"/>
      <c r="CE151" s="110"/>
      <c r="CF151" s="110"/>
    </row>
    <row r="152" spans="1:84" s="45" customFormat="1" x14ac:dyDescent="0.25">
      <c r="A152" t="str">
        <f>Funktional!A151</f>
        <v>Bussnang-Rothenhausen</v>
      </c>
      <c r="B152" t="str">
        <f>Funktional!B151</f>
        <v>KiGa</v>
      </c>
      <c r="C152" s="365">
        <v>169123.85</v>
      </c>
      <c r="D152" s="365">
        <v>624086.15</v>
      </c>
      <c r="E152" s="365">
        <v>60774.15</v>
      </c>
      <c r="F152" s="119">
        <f t="shared" si="53"/>
        <v>684860.3</v>
      </c>
      <c r="G152" s="43"/>
      <c r="H152" s="119">
        <f t="shared" si="51"/>
        <v>853984.15</v>
      </c>
      <c r="I152" s="377"/>
      <c r="J152" s="124">
        <f t="shared" si="54"/>
        <v>0.19804097066672724</v>
      </c>
      <c r="K152" s="42">
        <f t="shared" si="55"/>
        <v>0.80195902933327279</v>
      </c>
      <c r="L152" s="372">
        <f t="shared" si="56"/>
        <v>0.19804097066672724</v>
      </c>
      <c r="M152" s="372"/>
      <c r="N152" s="406"/>
      <c r="O152" s="44"/>
      <c r="P152" s="80"/>
      <c r="Q152" s="43"/>
      <c r="R152" s="43"/>
      <c r="S152" s="43"/>
      <c r="T152" s="43"/>
      <c r="U152" s="43"/>
      <c r="V152" s="43"/>
      <c r="W152" s="43"/>
      <c r="X152" s="43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  <c r="AI152" s="110"/>
      <c r="AJ152" s="110"/>
      <c r="AK152" s="110"/>
      <c r="AL152" s="110"/>
      <c r="AM152" s="110"/>
      <c r="AN152" s="110"/>
      <c r="AO152" s="110"/>
      <c r="AP152" s="110"/>
      <c r="AQ152" s="110"/>
      <c r="AR152" s="110"/>
      <c r="AS152" s="110"/>
      <c r="AT152" s="110"/>
      <c r="AU152" s="110"/>
      <c r="AV152" s="110"/>
      <c r="AW152" s="110"/>
      <c r="AX152" s="110"/>
      <c r="AY152" s="110"/>
      <c r="AZ152" s="110"/>
      <c r="BA152" s="110"/>
      <c r="BB152" s="110"/>
      <c r="BC152" s="110"/>
      <c r="BD152" s="110"/>
      <c r="BE152" s="110"/>
      <c r="BF152" s="110"/>
      <c r="BG152" s="110"/>
      <c r="BH152" s="110"/>
      <c r="BI152" s="110"/>
      <c r="BJ152" s="110"/>
      <c r="BK152" s="110"/>
      <c r="BL152" s="110"/>
      <c r="BM152" s="110"/>
      <c r="BN152" s="110"/>
      <c r="BO152" s="110"/>
      <c r="BP152" s="110"/>
      <c r="BQ152" s="110"/>
      <c r="BR152" s="110"/>
      <c r="BS152" s="110"/>
      <c r="BT152" s="110"/>
      <c r="BU152" s="110"/>
      <c r="BV152" s="110"/>
      <c r="BW152" s="110"/>
      <c r="BX152" s="110"/>
      <c r="BY152" s="110"/>
      <c r="BZ152" s="110"/>
      <c r="CA152" s="110"/>
      <c r="CB152" s="110"/>
      <c r="CC152" s="110"/>
      <c r="CD152" s="110"/>
      <c r="CE152" s="110"/>
      <c r="CF152" s="110"/>
    </row>
    <row r="153" spans="1:84" s="45" customFormat="1" x14ac:dyDescent="0.25">
      <c r="A153" t="str">
        <f>Funktional!A152</f>
        <v>Busswil</v>
      </c>
      <c r="B153" t="str">
        <f>Funktional!B152</f>
        <v>KiGa</v>
      </c>
      <c r="C153" s="365">
        <v>87131.5</v>
      </c>
      <c r="D153" s="365">
        <v>490148.7</v>
      </c>
      <c r="E153" s="365">
        <v>52830.85</v>
      </c>
      <c r="F153" s="119">
        <f t="shared" si="53"/>
        <v>542979.55000000005</v>
      </c>
      <c r="G153" s="43"/>
      <c r="H153" s="119">
        <f t="shared" ref="H153:H168" si="57">C153+F153+I153</f>
        <v>630111.05000000005</v>
      </c>
      <c r="I153" s="377"/>
      <c r="J153" s="124">
        <f t="shared" si="54"/>
        <v>0.13827959373193024</v>
      </c>
      <c r="K153" s="42">
        <f t="shared" si="55"/>
        <v>0.86172040626806978</v>
      </c>
      <c r="L153" s="372">
        <f t="shared" si="56"/>
        <v>0.13827959373193024</v>
      </c>
      <c r="M153" s="372"/>
      <c r="N153" s="406"/>
      <c r="O153" s="44"/>
      <c r="P153" s="80"/>
      <c r="Q153" s="43"/>
      <c r="R153" s="43"/>
      <c r="S153" s="43"/>
      <c r="T153" s="43"/>
      <c r="U153" s="43"/>
      <c r="V153" s="43"/>
      <c r="W153" s="43"/>
      <c r="X153" s="43"/>
      <c r="Y153" s="110"/>
      <c r="Z153" s="110"/>
      <c r="AA153" s="110"/>
      <c r="AB153" s="110"/>
      <c r="AC153" s="110"/>
      <c r="AD153" s="110"/>
      <c r="AE153" s="110"/>
      <c r="AF153" s="110"/>
      <c r="AG153" s="110"/>
      <c r="AH153" s="110"/>
      <c r="AI153" s="110"/>
      <c r="AJ153" s="110"/>
      <c r="AK153" s="110"/>
      <c r="AL153" s="110"/>
      <c r="AM153" s="110"/>
      <c r="AN153" s="110"/>
      <c r="AO153" s="110"/>
      <c r="AP153" s="110"/>
      <c r="AQ153" s="110"/>
      <c r="AR153" s="110"/>
      <c r="AS153" s="110"/>
      <c r="AT153" s="110"/>
      <c r="AU153" s="110"/>
      <c r="AV153" s="110"/>
      <c r="AW153" s="110"/>
      <c r="AX153" s="110"/>
      <c r="AY153" s="110"/>
      <c r="AZ153" s="110"/>
      <c r="BA153" s="110"/>
      <c r="BB153" s="110"/>
      <c r="BC153" s="110"/>
      <c r="BD153" s="110"/>
      <c r="BE153" s="110"/>
      <c r="BF153" s="110"/>
      <c r="BG153" s="110"/>
      <c r="BH153" s="110"/>
      <c r="BI153" s="110"/>
      <c r="BJ153" s="110"/>
      <c r="BK153" s="110"/>
      <c r="BL153" s="110"/>
      <c r="BM153" s="110"/>
      <c r="BN153" s="110"/>
      <c r="BO153" s="110"/>
      <c r="BP153" s="110"/>
      <c r="BQ153" s="110"/>
      <c r="BR153" s="110"/>
      <c r="BS153" s="110"/>
      <c r="BT153" s="110"/>
      <c r="BU153" s="110"/>
      <c r="BV153" s="110"/>
      <c r="BW153" s="110"/>
      <c r="BX153" s="110"/>
      <c r="BY153" s="110"/>
      <c r="BZ153" s="110"/>
      <c r="CA153" s="110"/>
      <c r="CB153" s="110"/>
      <c r="CC153" s="110"/>
      <c r="CD153" s="110"/>
      <c r="CE153" s="110"/>
      <c r="CF153" s="110"/>
    </row>
    <row r="154" spans="1:84" s="45" customFormat="1" x14ac:dyDescent="0.25">
      <c r="A154" t="str">
        <f>Funktional!A153</f>
        <v>Dettighofen-Lanzenneunforn</v>
      </c>
      <c r="B154" t="str">
        <f>Funktional!B153</f>
        <v>KiGa</v>
      </c>
      <c r="C154" s="365">
        <v>104964.5</v>
      </c>
      <c r="D154" s="365">
        <v>483496.9</v>
      </c>
      <c r="E154" s="365">
        <v>44820.6</v>
      </c>
      <c r="F154" s="119">
        <f t="shared" si="53"/>
        <v>528317.5</v>
      </c>
      <c r="G154" s="43"/>
      <c r="H154" s="119">
        <f t="shared" si="57"/>
        <v>633282</v>
      </c>
      <c r="I154" s="377"/>
      <c r="J154" s="124">
        <f t="shared" si="54"/>
        <v>0.16574685527142727</v>
      </c>
      <c r="K154" s="42">
        <f t="shared" si="55"/>
        <v>0.8342531447285727</v>
      </c>
      <c r="L154" s="372">
        <f t="shared" si="56"/>
        <v>0.16574685527142727</v>
      </c>
      <c r="M154" s="372"/>
      <c r="N154" s="406"/>
      <c r="O154" s="44"/>
      <c r="P154" s="80"/>
      <c r="Q154" s="43"/>
      <c r="R154" s="43"/>
      <c r="S154" s="43"/>
      <c r="T154" s="43"/>
      <c r="U154" s="43"/>
      <c r="V154" s="43"/>
      <c r="W154" s="43"/>
      <c r="X154" s="43"/>
      <c r="Y154" s="110"/>
      <c r="Z154" s="110"/>
      <c r="AA154" s="110"/>
      <c r="AB154" s="110"/>
      <c r="AC154" s="110"/>
      <c r="AD154" s="110"/>
      <c r="AE154" s="110"/>
      <c r="AF154" s="110"/>
      <c r="AG154" s="110"/>
      <c r="AH154" s="110"/>
      <c r="AI154" s="110"/>
      <c r="AJ154" s="110"/>
      <c r="AK154" s="110"/>
      <c r="AL154" s="110"/>
      <c r="AM154" s="110"/>
      <c r="AN154" s="110"/>
      <c r="AO154" s="110"/>
      <c r="AP154" s="110"/>
      <c r="AQ154" s="110"/>
      <c r="AR154" s="110"/>
      <c r="AS154" s="110"/>
      <c r="AT154" s="110"/>
      <c r="AU154" s="110"/>
      <c r="AV154" s="110"/>
      <c r="AW154" s="110"/>
      <c r="AX154" s="110"/>
      <c r="AY154" s="110"/>
      <c r="AZ154" s="110"/>
      <c r="BA154" s="110"/>
      <c r="BB154" s="110"/>
      <c r="BC154" s="110"/>
      <c r="BD154" s="110"/>
      <c r="BE154" s="110"/>
      <c r="BF154" s="110"/>
      <c r="BG154" s="110"/>
      <c r="BH154" s="110"/>
      <c r="BI154" s="110"/>
      <c r="BJ154" s="110"/>
      <c r="BK154" s="110"/>
      <c r="BL154" s="110"/>
      <c r="BM154" s="110"/>
      <c r="BN154" s="110"/>
      <c r="BO154" s="110"/>
      <c r="BP154" s="110"/>
      <c r="BQ154" s="110"/>
      <c r="BR154" s="110"/>
      <c r="BS154" s="110"/>
      <c r="BT154" s="110"/>
      <c r="BU154" s="110"/>
      <c r="BV154" s="110"/>
      <c r="BW154" s="110"/>
      <c r="BX154" s="110"/>
      <c r="BY154" s="110"/>
      <c r="BZ154" s="110"/>
      <c r="CA154" s="110"/>
      <c r="CB154" s="110"/>
      <c r="CC154" s="110"/>
      <c r="CD154" s="110"/>
      <c r="CE154" s="110"/>
      <c r="CF154" s="110"/>
    </row>
    <row r="155" spans="1:84" s="45" customFormat="1" x14ac:dyDescent="0.25">
      <c r="A155" t="str">
        <f>Funktional!A154</f>
        <v>Diessenhofen</v>
      </c>
      <c r="B155" t="str">
        <f>Funktional!B154</f>
        <v>KiGa</v>
      </c>
      <c r="C155" s="365">
        <v>313730.05</v>
      </c>
      <c r="D155" s="365">
        <v>1500191.7</v>
      </c>
      <c r="E155" s="365">
        <v>145082.1</v>
      </c>
      <c r="F155" s="119">
        <f t="shared" si="53"/>
        <v>1645273.8</v>
      </c>
      <c r="G155" s="43"/>
      <c r="H155" s="119">
        <f t="shared" si="57"/>
        <v>1959003.85</v>
      </c>
      <c r="I155" s="377"/>
      <c r="J155" s="124">
        <f t="shared" si="54"/>
        <v>0.16014774549830516</v>
      </c>
      <c r="K155" s="42">
        <f t="shared" si="55"/>
        <v>0.83985225450169476</v>
      </c>
      <c r="L155" s="372">
        <f t="shared" si="56"/>
        <v>0.16014774549830516</v>
      </c>
      <c r="M155" s="372"/>
      <c r="N155" s="406"/>
      <c r="O155" s="44"/>
      <c r="P155" s="80"/>
      <c r="Q155" s="43"/>
      <c r="R155" s="43"/>
      <c r="S155" s="43"/>
      <c r="T155" s="43"/>
      <c r="U155" s="43"/>
      <c r="V155" s="43"/>
      <c r="W155" s="43"/>
      <c r="X155" s="43"/>
      <c r="Y155" s="110"/>
      <c r="Z155" s="110"/>
      <c r="AA155" s="110"/>
      <c r="AB155" s="110"/>
      <c r="AC155" s="110"/>
      <c r="AD155" s="110"/>
      <c r="AE155" s="110"/>
      <c r="AF155" s="110"/>
      <c r="AG155" s="110"/>
      <c r="AH155" s="110"/>
      <c r="AI155" s="110"/>
      <c r="AJ155" s="110"/>
      <c r="AK155" s="110"/>
      <c r="AL155" s="110"/>
      <c r="AM155" s="110"/>
      <c r="AN155" s="110"/>
      <c r="AO155" s="110"/>
      <c r="AP155" s="110"/>
      <c r="AQ155" s="110"/>
      <c r="AR155" s="110"/>
      <c r="AS155" s="110"/>
      <c r="AT155" s="110"/>
      <c r="AU155" s="110"/>
      <c r="AV155" s="110"/>
      <c r="AW155" s="110"/>
      <c r="AX155" s="110"/>
      <c r="AY155" s="110"/>
      <c r="AZ155" s="110"/>
      <c r="BA155" s="110"/>
      <c r="BB155" s="110"/>
      <c r="BC155" s="110"/>
      <c r="BD155" s="110"/>
      <c r="BE155" s="110"/>
      <c r="BF155" s="110"/>
      <c r="BG155" s="110"/>
      <c r="BH155" s="110"/>
      <c r="BI155" s="110"/>
      <c r="BJ155" s="110"/>
      <c r="BK155" s="110"/>
      <c r="BL155" s="110"/>
      <c r="BM155" s="110"/>
      <c r="BN155" s="110"/>
      <c r="BO155" s="110"/>
      <c r="BP155" s="110"/>
      <c r="BQ155" s="110"/>
      <c r="BR155" s="110"/>
      <c r="BS155" s="110"/>
      <c r="BT155" s="110"/>
      <c r="BU155" s="110"/>
      <c r="BV155" s="110"/>
      <c r="BW155" s="110"/>
      <c r="BX155" s="110"/>
      <c r="BY155" s="110"/>
      <c r="BZ155" s="110"/>
      <c r="CA155" s="110"/>
      <c r="CB155" s="110"/>
      <c r="CC155" s="110"/>
      <c r="CD155" s="110"/>
      <c r="CE155" s="110"/>
      <c r="CF155" s="110"/>
    </row>
    <row r="156" spans="1:84" s="45" customFormat="1" x14ac:dyDescent="0.25">
      <c r="A156" t="str">
        <f>Funktional!A155</f>
        <v>Dingetswil</v>
      </c>
      <c r="B156" t="str">
        <f>Funktional!B155</f>
        <v>KiGa</v>
      </c>
      <c r="C156" s="365">
        <v>10120</v>
      </c>
      <c r="D156" s="365">
        <v>29100</v>
      </c>
      <c r="E156" s="365">
        <v>0</v>
      </c>
      <c r="F156" s="119">
        <f t="shared" si="53"/>
        <v>29100</v>
      </c>
      <c r="G156" s="43"/>
      <c r="H156" s="119">
        <f t="shared" si="57"/>
        <v>39220</v>
      </c>
      <c r="I156" s="377"/>
      <c r="J156" s="124">
        <f t="shared" si="54"/>
        <v>0.25803161652218254</v>
      </c>
      <c r="K156" s="42">
        <f t="shared" si="55"/>
        <v>0.74196838347781746</v>
      </c>
      <c r="L156" s="372">
        <v>0</v>
      </c>
      <c r="M156" s="372"/>
      <c r="N156" s="406"/>
      <c r="O156" s="44"/>
      <c r="P156" s="80"/>
      <c r="Q156" s="43"/>
      <c r="R156" s="43"/>
      <c r="S156" s="43"/>
      <c r="T156" s="43"/>
      <c r="U156" s="43"/>
      <c r="V156" s="43"/>
      <c r="W156" s="43"/>
      <c r="X156" s="43"/>
      <c r="Y156" s="110"/>
      <c r="Z156" s="110"/>
      <c r="AA156" s="110"/>
      <c r="AB156" s="110"/>
      <c r="AC156" s="110"/>
      <c r="AD156" s="110"/>
      <c r="AE156" s="110"/>
      <c r="AF156" s="110"/>
      <c r="AG156" s="110"/>
      <c r="AH156" s="110"/>
      <c r="AI156" s="110"/>
      <c r="AJ156" s="110"/>
      <c r="AK156" s="110"/>
      <c r="AL156" s="110"/>
      <c r="AM156" s="110"/>
      <c r="AN156" s="110"/>
      <c r="AO156" s="110"/>
      <c r="AP156" s="110"/>
      <c r="AQ156" s="110"/>
      <c r="AR156" s="110"/>
      <c r="AS156" s="110"/>
      <c r="AT156" s="110"/>
      <c r="AU156" s="110"/>
      <c r="AV156" s="110"/>
      <c r="AW156" s="110"/>
      <c r="AX156" s="110"/>
      <c r="AY156" s="110"/>
      <c r="AZ156" s="110"/>
      <c r="BA156" s="110"/>
      <c r="BB156" s="110"/>
      <c r="BC156" s="110"/>
      <c r="BD156" s="110"/>
      <c r="BE156" s="110"/>
      <c r="BF156" s="110"/>
      <c r="BG156" s="110"/>
      <c r="BH156" s="110"/>
      <c r="BI156" s="110"/>
      <c r="BJ156" s="110"/>
      <c r="BK156" s="110"/>
      <c r="BL156" s="110"/>
      <c r="BM156" s="110"/>
      <c r="BN156" s="110"/>
      <c r="BO156" s="110"/>
      <c r="BP156" s="110"/>
      <c r="BQ156" s="110"/>
      <c r="BR156" s="110"/>
      <c r="BS156" s="110"/>
      <c r="BT156" s="110"/>
      <c r="BU156" s="110"/>
      <c r="BV156" s="110"/>
      <c r="BW156" s="110"/>
      <c r="BX156" s="110"/>
      <c r="BY156" s="110"/>
      <c r="BZ156" s="110"/>
      <c r="CA156" s="110"/>
      <c r="CB156" s="110"/>
      <c r="CC156" s="110"/>
      <c r="CD156" s="110"/>
      <c r="CE156" s="110"/>
      <c r="CF156" s="110"/>
    </row>
    <row r="157" spans="1:84" s="45" customFormat="1" x14ac:dyDescent="0.25">
      <c r="A157" t="str">
        <f>Funktional!A156</f>
        <v>Donzhausen</v>
      </c>
      <c r="B157" t="str">
        <f>Funktional!B156</f>
        <v>KiGa</v>
      </c>
      <c r="C157" s="365">
        <v>55125.3</v>
      </c>
      <c r="D157" s="365">
        <v>267537.45</v>
      </c>
      <c r="E157" s="365">
        <v>28901.75</v>
      </c>
      <c r="F157" s="119">
        <f t="shared" si="53"/>
        <v>296439.2</v>
      </c>
      <c r="G157" s="43"/>
      <c r="H157" s="119">
        <f t="shared" si="57"/>
        <v>351564.5</v>
      </c>
      <c r="I157" s="377"/>
      <c r="J157" s="124">
        <f t="shared" si="54"/>
        <v>0.15679996131577564</v>
      </c>
      <c r="K157" s="42">
        <f t="shared" si="55"/>
        <v>0.84320003868422444</v>
      </c>
      <c r="L157" s="372">
        <f t="shared" si="56"/>
        <v>0.15679996131577564</v>
      </c>
      <c r="M157" s="372"/>
      <c r="N157" s="406"/>
      <c r="O157" s="44"/>
      <c r="P157" s="80"/>
      <c r="Q157" s="43"/>
      <c r="R157" s="43"/>
      <c r="S157" s="43"/>
      <c r="T157" s="43"/>
      <c r="U157" s="43"/>
      <c r="V157" s="43"/>
      <c r="W157" s="43"/>
      <c r="X157" s="43"/>
      <c r="Y157" s="110"/>
      <c r="Z157" s="110"/>
      <c r="AA157" s="110"/>
      <c r="AB157" s="110"/>
      <c r="AC157" s="110"/>
      <c r="AD157" s="110"/>
      <c r="AE157" s="110"/>
      <c r="AF157" s="110"/>
      <c r="AG157" s="110"/>
      <c r="AH157" s="110"/>
      <c r="AI157" s="110"/>
      <c r="AJ157" s="110"/>
      <c r="AK157" s="110"/>
      <c r="AL157" s="110"/>
      <c r="AM157" s="110"/>
      <c r="AN157" s="110"/>
      <c r="AO157" s="110"/>
      <c r="AP157" s="110"/>
      <c r="AQ157" s="110"/>
      <c r="AR157" s="110"/>
      <c r="AS157" s="110"/>
      <c r="AT157" s="110"/>
      <c r="AU157" s="110"/>
      <c r="AV157" s="110"/>
      <c r="AW157" s="110"/>
      <c r="AX157" s="110"/>
      <c r="AY157" s="110"/>
      <c r="AZ157" s="110"/>
      <c r="BA157" s="110"/>
      <c r="BB157" s="110"/>
      <c r="BC157" s="110"/>
      <c r="BD157" s="110"/>
      <c r="BE157" s="110"/>
      <c r="BF157" s="110"/>
      <c r="BG157" s="110"/>
      <c r="BH157" s="110"/>
      <c r="BI157" s="110"/>
      <c r="BJ157" s="110"/>
      <c r="BK157" s="110"/>
      <c r="BL157" s="110"/>
      <c r="BM157" s="110"/>
      <c r="BN157" s="110"/>
      <c r="BO157" s="110"/>
      <c r="BP157" s="110"/>
      <c r="BQ157" s="110"/>
      <c r="BR157" s="110"/>
      <c r="BS157" s="110"/>
      <c r="BT157" s="110"/>
      <c r="BU157" s="110"/>
      <c r="BV157" s="110"/>
      <c r="BW157" s="110"/>
      <c r="BX157" s="110"/>
      <c r="BY157" s="110"/>
      <c r="BZ157" s="110"/>
      <c r="CA157" s="110"/>
      <c r="CB157" s="110"/>
      <c r="CC157" s="110"/>
      <c r="CD157" s="110"/>
      <c r="CE157" s="110"/>
      <c r="CF157" s="110"/>
    </row>
    <row r="158" spans="1:84" s="45" customFormat="1" x14ac:dyDescent="0.25">
      <c r="A158" t="str">
        <f>Funktional!A157</f>
        <v>Dozwil</v>
      </c>
      <c r="B158" t="str">
        <f>Funktional!B157</f>
        <v>KiGa</v>
      </c>
      <c r="C158" s="365">
        <v>75315</v>
      </c>
      <c r="D158" s="365">
        <v>254421.65</v>
      </c>
      <c r="E158" s="365">
        <v>26149.3</v>
      </c>
      <c r="F158" s="119">
        <f t="shared" si="53"/>
        <v>280570.95</v>
      </c>
      <c r="G158" s="43"/>
      <c r="H158" s="119">
        <f t="shared" si="57"/>
        <v>355885.95</v>
      </c>
      <c r="I158" s="377"/>
      <c r="J158" s="124">
        <f t="shared" si="54"/>
        <v>0.21162678661520634</v>
      </c>
      <c r="K158" s="42">
        <f t="shared" si="55"/>
        <v>0.7883732133847936</v>
      </c>
      <c r="L158" s="372">
        <v>0</v>
      </c>
      <c r="M158" s="372"/>
      <c r="N158" s="406"/>
      <c r="O158" s="44"/>
      <c r="P158" s="80"/>
      <c r="Q158" s="43"/>
      <c r="R158" s="43"/>
      <c r="S158" s="43"/>
      <c r="T158" s="43"/>
      <c r="U158" s="43"/>
      <c r="V158" s="43"/>
      <c r="W158" s="43"/>
      <c r="X158" s="43"/>
      <c r="Y158" s="110"/>
      <c r="Z158" s="110"/>
      <c r="AA158" s="110"/>
      <c r="AB158" s="110"/>
      <c r="AC158" s="110"/>
      <c r="AD158" s="110"/>
      <c r="AE158" s="110"/>
      <c r="AF158" s="110"/>
      <c r="AG158" s="110"/>
      <c r="AH158" s="110"/>
      <c r="AI158" s="110"/>
      <c r="AJ158" s="110"/>
      <c r="AK158" s="110"/>
      <c r="AL158" s="110"/>
      <c r="AM158" s="110"/>
      <c r="AN158" s="110"/>
      <c r="AO158" s="110"/>
      <c r="AP158" s="110"/>
      <c r="AQ158" s="110"/>
      <c r="AR158" s="110"/>
      <c r="AS158" s="110"/>
      <c r="AT158" s="110"/>
      <c r="AU158" s="110"/>
      <c r="AV158" s="110"/>
      <c r="AW158" s="110"/>
      <c r="AX158" s="110"/>
      <c r="AY158" s="110"/>
      <c r="AZ158" s="110"/>
      <c r="BA158" s="110"/>
      <c r="BB158" s="110"/>
      <c r="BC158" s="110"/>
      <c r="BD158" s="110"/>
      <c r="BE158" s="110"/>
      <c r="BF158" s="110"/>
      <c r="BG158" s="110"/>
      <c r="BH158" s="110"/>
      <c r="BI158" s="110"/>
      <c r="BJ158" s="110"/>
      <c r="BK158" s="110"/>
      <c r="BL158" s="110"/>
      <c r="BM158" s="110"/>
      <c r="BN158" s="110"/>
      <c r="BO158" s="110"/>
      <c r="BP158" s="110"/>
      <c r="BQ158" s="110"/>
      <c r="BR158" s="110"/>
      <c r="BS158" s="110"/>
      <c r="BT158" s="110"/>
      <c r="BU158" s="110"/>
      <c r="BV158" s="110"/>
      <c r="BW158" s="110"/>
      <c r="BX158" s="110"/>
      <c r="BY158" s="110"/>
      <c r="BZ158" s="110"/>
      <c r="CA158" s="110"/>
      <c r="CB158" s="110"/>
      <c r="CC158" s="110"/>
      <c r="CD158" s="110"/>
      <c r="CE158" s="110"/>
      <c r="CF158" s="110"/>
    </row>
    <row r="159" spans="1:84" s="45" customFormat="1" x14ac:dyDescent="0.25">
      <c r="A159" t="str">
        <f>Funktional!A158</f>
        <v>Dussnang-Oberwangen</v>
      </c>
      <c r="B159" t="str">
        <f>Funktional!B158</f>
        <v>KiGa</v>
      </c>
      <c r="C159" s="365">
        <v>184168.85</v>
      </c>
      <c r="D159" s="365">
        <v>1293986.1000000001</v>
      </c>
      <c r="E159" s="365">
        <v>78582.350000000006</v>
      </c>
      <c r="F159" s="119">
        <f t="shared" si="53"/>
        <v>1372568.4500000002</v>
      </c>
      <c r="G159" s="43"/>
      <c r="H159" s="119">
        <f t="shared" si="57"/>
        <v>1556737.3000000003</v>
      </c>
      <c r="I159" s="377"/>
      <c r="J159" s="124">
        <f t="shared" si="54"/>
        <v>0.11830438571748744</v>
      </c>
      <c r="K159" s="42">
        <f t="shared" si="55"/>
        <v>0.88169561428251253</v>
      </c>
      <c r="L159" s="372">
        <f>J159</f>
        <v>0.11830438571748744</v>
      </c>
      <c r="M159" s="372"/>
      <c r="N159" s="406"/>
      <c r="O159" s="44"/>
      <c r="P159" s="80"/>
      <c r="Q159" s="43"/>
      <c r="R159" s="43"/>
      <c r="S159" s="43"/>
      <c r="T159" s="43"/>
      <c r="U159" s="43"/>
      <c r="V159" s="43"/>
      <c r="W159" s="43"/>
      <c r="X159" s="43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  <c r="AU159" s="110"/>
      <c r="AV159" s="110"/>
      <c r="AW159" s="110"/>
      <c r="AX159" s="110"/>
      <c r="AY159" s="110"/>
      <c r="AZ159" s="110"/>
      <c r="BA159" s="110"/>
      <c r="BB159" s="110"/>
      <c r="BC159" s="110"/>
      <c r="BD159" s="110"/>
      <c r="BE159" s="110"/>
      <c r="BF159" s="110"/>
      <c r="BG159" s="110"/>
      <c r="BH159" s="110"/>
      <c r="BI159" s="110"/>
      <c r="BJ159" s="110"/>
      <c r="BK159" s="110"/>
      <c r="BL159" s="110"/>
      <c r="BM159" s="110"/>
      <c r="BN159" s="110"/>
      <c r="BO159" s="110"/>
      <c r="BP159" s="110"/>
      <c r="BQ159" s="110"/>
      <c r="BR159" s="110"/>
      <c r="BS159" s="110"/>
      <c r="BT159" s="110"/>
      <c r="BU159" s="110"/>
      <c r="BV159" s="110"/>
      <c r="BW159" s="110"/>
      <c r="BX159" s="110"/>
      <c r="BY159" s="110"/>
      <c r="BZ159" s="110"/>
      <c r="CA159" s="110"/>
      <c r="CB159" s="110"/>
      <c r="CC159" s="110"/>
      <c r="CD159" s="110"/>
      <c r="CE159" s="110"/>
      <c r="CF159" s="110"/>
    </row>
    <row r="160" spans="1:84" s="45" customFormat="1" x14ac:dyDescent="0.25">
      <c r="A160" t="str">
        <f>Funktional!A159</f>
        <v>Egg</v>
      </c>
      <c r="B160" t="str">
        <f>Funktional!B159</f>
        <v>KiGa</v>
      </c>
      <c r="C160" s="365">
        <v>84702.7</v>
      </c>
      <c r="D160" s="365">
        <v>528606.4</v>
      </c>
      <c r="E160" s="365">
        <v>51583.6</v>
      </c>
      <c r="F160" s="119">
        <f t="shared" si="53"/>
        <v>580190</v>
      </c>
      <c r="G160" s="43"/>
      <c r="H160" s="119">
        <f t="shared" si="57"/>
        <v>664892.69999999995</v>
      </c>
      <c r="I160" s="377"/>
      <c r="J160" s="124">
        <f t="shared" si="54"/>
        <v>0.12739303650047595</v>
      </c>
      <c r="K160" s="42">
        <f t="shared" si="55"/>
        <v>0.87260696349952416</v>
      </c>
      <c r="L160" s="372">
        <f>J160</f>
        <v>0.12739303650047595</v>
      </c>
      <c r="M160" s="372"/>
      <c r="N160" s="406"/>
      <c r="O160" s="44"/>
      <c r="P160" s="80"/>
      <c r="Q160" s="43"/>
      <c r="R160" s="43"/>
      <c r="S160" s="43"/>
      <c r="T160" s="43"/>
      <c r="U160" s="43"/>
      <c r="V160" s="43"/>
      <c r="W160" s="43"/>
      <c r="X160" s="43"/>
      <c r="Y160" s="110"/>
      <c r="Z160" s="110"/>
      <c r="AA160" s="110"/>
      <c r="AB160" s="110"/>
      <c r="AC160" s="110"/>
      <c r="AD160" s="110"/>
      <c r="AE160" s="110"/>
      <c r="AF160" s="110"/>
      <c r="AG160" s="110"/>
      <c r="AH160" s="110"/>
      <c r="AI160" s="110"/>
      <c r="AJ160" s="110"/>
      <c r="AK160" s="110"/>
      <c r="AL160" s="110"/>
      <c r="AM160" s="110"/>
      <c r="AN160" s="110"/>
      <c r="AO160" s="110"/>
      <c r="AP160" s="110"/>
      <c r="AQ160" s="110"/>
      <c r="AR160" s="110"/>
      <c r="AS160" s="110"/>
      <c r="AT160" s="110"/>
      <c r="AU160" s="110"/>
      <c r="AV160" s="110"/>
      <c r="AW160" s="110"/>
      <c r="AX160" s="110"/>
      <c r="AY160" s="110"/>
      <c r="AZ160" s="110"/>
      <c r="BA160" s="110"/>
      <c r="BB160" s="110"/>
      <c r="BC160" s="110"/>
      <c r="BD160" s="110"/>
      <c r="BE160" s="110"/>
      <c r="BF160" s="110"/>
      <c r="BG160" s="110"/>
      <c r="BH160" s="110"/>
      <c r="BI160" s="110"/>
      <c r="BJ160" s="110"/>
      <c r="BK160" s="110"/>
      <c r="BL160" s="110"/>
      <c r="BM160" s="110"/>
      <c r="BN160" s="110"/>
      <c r="BO160" s="110"/>
      <c r="BP160" s="110"/>
      <c r="BQ160" s="110"/>
      <c r="BR160" s="110"/>
      <c r="BS160" s="110"/>
      <c r="BT160" s="110"/>
      <c r="BU160" s="110"/>
      <c r="BV160" s="110"/>
      <c r="BW160" s="110"/>
      <c r="BX160" s="110"/>
      <c r="BY160" s="110"/>
      <c r="BZ160" s="110"/>
      <c r="CA160" s="110"/>
      <c r="CB160" s="110"/>
      <c r="CC160" s="110"/>
      <c r="CD160" s="110"/>
      <c r="CE160" s="110"/>
      <c r="CF160" s="110"/>
    </row>
    <row r="161" spans="1:84" s="45" customFormat="1" x14ac:dyDescent="0.25">
      <c r="A161" t="str">
        <f>Funktional!A160</f>
        <v>Eggethof</v>
      </c>
      <c r="B161" t="str">
        <f>Funktional!B160</f>
        <v>KiGa</v>
      </c>
      <c r="C161" s="365">
        <v>14390.25</v>
      </c>
      <c r="D161" s="365">
        <v>302009.75</v>
      </c>
      <c r="E161" s="365">
        <v>17039.3</v>
      </c>
      <c r="F161" s="119">
        <f t="shared" si="53"/>
        <v>319049.05</v>
      </c>
      <c r="G161" s="43"/>
      <c r="H161" s="119">
        <f t="shared" si="57"/>
        <v>333439.3</v>
      </c>
      <c r="I161" s="377"/>
      <c r="J161" s="124">
        <f t="shared" si="54"/>
        <v>4.3157030380042184E-2</v>
      </c>
      <c r="K161" s="42">
        <f t="shared" si="55"/>
        <v>0.95684296961995785</v>
      </c>
      <c r="L161" s="372">
        <v>0</v>
      </c>
      <c r="M161" s="372"/>
      <c r="N161" s="406"/>
      <c r="O161" s="44"/>
      <c r="P161" s="80"/>
      <c r="Q161" s="43"/>
      <c r="R161" s="43"/>
      <c r="S161" s="43"/>
      <c r="T161" s="43"/>
      <c r="U161" s="43"/>
      <c r="V161" s="43"/>
      <c r="W161" s="43"/>
      <c r="X161" s="43"/>
      <c r="Y161" s="110"/>
      <c r="Z161" s="110"/>
      <c r="AA161" s="110"/>
      <c r="AB161" s="110"/>
      <c r="AC161" s="110"/>
      <c r="AD161" s="110"/>
      <c r="AE161" s="110"/>
      <c r="AF161" s="110"/>
      <c r="AG161" s="110"/>
      <c r="AH161" s="110"/>
      <c r="AI161" s="110"/>
      <c r="AJ161" s="110"/>
      <c r="AK161" s="110"/>
      <c r="AL161" s="110"/>
      <c r="AM161" s="110"/>
      <c r="AN161" s="110"/>
      <c r="AO161" s="110"/>
      <c r="AP161" s="110"/>
      <c r="AQ161" s="110"/>
      <c r="AR161" s="110"/>
      <c r="AS161" s="110"/>
      <c r="AT161" s="110"/>
      <c r="AU161" s="110"/>
      <c r="AV161" s="110"/>
      <c r="AW161" s="110"/>
      <c r="AX161" s="110"/>
      <c r="AY161" s="110"/>
      <c r="AZ161" s="110"/>
      <c r="BA161" s="110"/>
      <c r="BB161" s="110"/>
      <c r="BC161" s="110"/>
      <c r="BD161" s="110"/>
      <c r="BE161" s="110"/>
      <c r="BF161" s="110"/>
      <c r="BG161" s="110"/>
      <c r="BH161" s="110"/>
      <c r="BI161" s="110"/>
      <c r="BJ161" s="110"/>
      <c r="BK161" s="110"/>
      <c r="BL161" s="110"/>
      <c r="BM161" s="110"/>
      <c r="BN161" s="110"/>
      <c r="BO161" s="110"/>
      <c r="BP161" s="110"/>
      <c r="BQ161" s="110"/>
      <c r="BR161" s="110"/>
      <c r="BS161" s="110"/>
      <c r="BT161" s="110"/>
      <c r="BU161" s="110"/>
      <c r="BV161" s="110"/>
      <c r="BW161" s="110"/>
      <c r="BX161" s="110"/>
      <c r="BY161" s="110"/>
      <c r="BZ161" s="110"/>
      <c r="CA161" s="110"/>
      <c r="CB161" s="110"/>
      <c r="CC161" s="110"/>
      <c r="CD161" s="110"/>
      <c r="CE161" s="110"/>
      <c r="CF161" s="110"/>
    </row>
    <row r="162" spans="1:84" s="45" customFormat="1" x14ac:dyDescent="0.25">
      <c r="A162" t="str">
        <f>Funktional!A161</f>
        <v>Egnach</v>
      </c>
      <c r="B162" t="str">
        <f>Funktional!B161</f>
        <v>KiGa</v>
      </c>
      <c r="C162" s="365">
        <v>162937</v>
      </c>
      <c r="D162" s="365">
        <v>834340.85</v>
      </c>
      <c r="E162" s="365">
        <v>80419.100000000006</v>
      </c>
      <c r="F162" s="119">
        <f t="shared" si="53"/>
        <v>914759.95</v>
      </c>
      <c r="G162" s="43"/>
      <c r="H162" s="119">
        <f t="shared" si="57"/>
        <v>1077696.95</v>
      </c>
      <c r="I162" s="377"/>
      <c r="J162" s="124">
        <f t="shared" si="54"/>
        <v>0.15118999826435439</v>
      </c>
      <c r="K162" s="42">
        <f t="shared" si="55"/>
        <v>0.84881000173564558</v>
      </c>
      <c r="L162" s="372">
        <f t="shared" ref="L162:L171" si="58">J162</f>
        <v>0.15118999826435439</v>
      </c>
      <c r="M162" s="372"/>
      <c r="N162" s="406"/>
      <c r="O162" s="44"/>
      <c r="P162" s="80"/>
      <c r="Q162" s="43"/>
      <c r="R162" s="43"/>
      <c r="S162" s="43"/>
      <c r="T162" s="43"/>
      <c r="U162" s="43"/>
      <c r="V162" s="43"/>
      <c r="W162" s="43"/>
      <c r="X162" s="43"/>
      <c r="Y162" s="110"/>
      <c r="Z162" s="110"/>
      <c r="AA162" s="110"/>
      <c r="AB162" s="110"/>
      <c r="AC162" s="110"/>
      <c r="AD162" s="110"/>
      <c r="AE162" s="110"/>
      <c r="AF162" s="110"/>
      <c r="AG162" s="110"/>
      <c r="AH162" s="110"/>
      <c r="AI162" s="110"/>
      <c r="AJ162" s="110"/>
      <c r="AK162" s="110"/>
      <c r="AL162" s="110"/>
      <c r="AM162" s="110"/>
      <c r="AN162" s="110"/>
      <c r="AO162" s="110"/>
      <c r="AP162" s="110"/>
      <c r="AQ162" s="110"/>
      <c r="AR162" s="110"/>
      <c r="AS162" s="110"/>
      <c r="AT162" s="110"/>
      <c r="AU162" s="110"/>
      <c r="AV162" s="110"/>
      <c r="AW162" s="110"/>
      <c r="AX162" s="110"/>
      <c r="AY162" s="110"/>
      <c r="AZ162" s="110"/>
      <c r="BA162" s="110"/>
      <c r="BB162" s="110"/>
      <c r="BC162" s="110"/>
      <c r="BD162" s="110"/>
      <c r="BE162" s="110"/>
      <c r="BF162" s="110"/>
      <c r="BG162" s="110"/>
      <c r="BH162" s="110"/>
      <c r="BI162" s="110"/>
      <c r="BJ162" s="110"/>
      <c r="BK162" s="110"/>
      <c r="BL162" s="110"/>
      <c r="BM162" s="110"/>
      <c r="BN162" s="110"/>
      <c r="BO162" s="110"/>
      <c r="BP162" s="110"/>
      <c r="BQ162" s="110"/>
      <c r="BR162" s="110"/>
      <c r="BS162" s="110"/>
      <c r="BT162" s="110"/>
      <c r="BU162" s="110"/>
      <c r="BV162" s="110"/>
      <c r="BW162" s="110"/>
      <c r="BX162" s="110"/>
      <c r="BY162" s="110"/>
      <c r="BZ162" s="110"/>
      <c r="CA162" s="110"/>
      <c r="CB162" s="110"/>
      <c r="CC162" s="110"/>
      <c r="CD162" s="110"/>
      <c r="CE162" s="110"/>
      <c r="CF162" s="110"/>
    </row>
    <row r="163" spans="1:84" s="45" customFormat="1" x14ac:dyDescent="0.25">
      <c r="A163" t="str">
        <f>Funktional!A162</f>
        <v>Engelswilen-Dotnacht</v>
      </c>
      <c r="B163" t="str">
        <f>Funktional!B162</f>
        <v>KiGa</v>
      </c>
      <c r="C163" s="365">
        <v>0</v>
      </c>
      <c r="D163" s="365">
        <v>318477.7</v>
      </c>
      <c r="E163" s="365">
        <v>22006.7</v>
      </c>
      <c r="F163" s="119">
        <f t="shared" si="53"/>
        <v>340484.4</v>
      </c>
      <c r="G163" s="43"/>
      <c r="H163" s="119">
        <f t="shared" si="57"/>
        <v>340484.4</v>
      </c>
      <c r="I163" s="377"/>
      <c r="J163" s="124">
        <f t="shared" si="54"/>
        <v>0</v>
      </c>
      <c r="K163" s="42">
        <f t="shared" si="55"/>
        <v>1</v>
      </c>
      <c r="L163" s="372">
        <f t="shared" si="58"/>
        <v>0</v>
      </c>
      <c r="M163" s="372"/>
      <c r="N163" s="406"/>
      <c r="O163" s="44"/>
      <c r="P163" s="80"/>
      <c r="Q163" s="43"/>
      <c r="R163" s="43"/>
      <c r="S163" s="43"/>
      <c r="T163" s="43"/>
      <c r="U163" s="43"/>
      <c r="V163" s="43"/>
      <c r="W163" s="43"/>
      <c r="X163" s="43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  <c r="AI163" s="110"/>
      <c r="AJ163" s="110"/>
      <c r="AK163" s="110"/>
      <c r="AL163" s="110"/>
      <c r="AM163" s="110"/>
      <c r="AN163" s="110"/>
      <c r="AO163" s="110"/>
      <c r="AP163" s="110"/>
      <c r="AQ163" s="110"/>
      <c r="AR163" s="110"/>
      <c r="AS163" s="110"/>
      <c r="AT163" s="110"/>
      <c r="AU163" s="110"/>
      <c r="AV163" s="110"/>
      <c r="AW163" s="110"/>
      <c r="AX163" s="110"/>
      <c r="AY163" s="110"/>
      <c r="AZ163" s="110"/>
      <c r="BA163" s="110"/>
      <c r="BB163" s="110"/>
      <c r="BC163" s="110"/>
      <c r="BD163" s="110"/>
      <c r="BE163" s="110"/>
      <c r="BF163" s="110"/>
      <c r="BG163" s="110"/>
      <c r="BH163" s="110"/>
      <c r="BI163" s="110"/>
      <c r="BJ163" s="110"/>
      <c r="BK163" s="110"/>
      <c r="BL163" s="110"/>
      <c r="BM163" s="110"/>
      <c r="BN163" s="110"/>
      <c r="BO163" s="110"/>
      <c r="BP163" s="110"/>
      <c r="BQ163" s="110"/>
      <c r="BR163" s="110"/>
      <c r="BS163" s="110"/>
      <c r="BT163" s="110"/>
      <c r="BU163" s="110"/>
      <c r="BV163" s="110"/>
      <c r="BW163" s="110"/>
      <c r="BX163" s="110"/>
      <c r="BY163" s="110"/>
      <c r="BZ163" s="110"/>
      <c r="CA163" s="110"/>
      <c r="CB163" s="110"/>
      <c r="CC163" s="110"/>
      <c r="CD163" s="110"/>
      <c r="CE163" s="110"/>
      <c r="CF163" s="110"/>
    </row>
    <row r="164" spans="1:84" s="45" customFormat="1" x14ac:dyDescent="0.25">
      <c r="A164" t="str">
        <f>Funktional!A163</f>
        <v>Engwang-Wagerswil</v>
      </c>
      <c r="B164" t="str">
        <f>Funktional!B163</f>
        <v>KiGa</v>
      </c>
      <c r="C164" s="365">
        <v>0</v>
      </c>
      <c r="D164" s="365">
        <v>303233.8</v>
      </c>
      <c r="E164" s="365">
        <v>39681.599999999999</v>
      </c>
      <c r="F164" s="119">
        <f t="shared" ref="F164:F179" si="59">D164+E164</f>
        <v>342915.39999999997</v>
      </c>
      <c r="G164" s="43"/>
      <c r="H164" s="119">
        <f t="shared" si="57"/>
        <v>342915.39999999997</v>
      </c>
      <c r="I164" s="377"/>
      <c r="J164" s="124">
        <f t="shared" ref="J164:J179" si="60">C164/H164</f>
        <v>0</v>
      </c>
      <c r="K164" s="42">
        <f t="shared" ref="K164:K179" si="61">F164/H164</f>
        <v>1</v>
      </c>
      <c r="L164" s="372">
        <f t="shared" si="58"/>
        <v>0</v>
      </c>
      <c r="M164" s="372"/>
      <c r="N164" s="406"/>
      <c r="O164" s="44"/>
      <c r="P164" s="80"/>
      <c r="Q164" s="43"/>
      <c r="R164" s="43"/>
      <c r="S164" s="43"/>
      <c r="T164" s="43"/>
      <c r="U164" s="43"/>
      <c r="V164" s="43"/>
      <c r="W164" s="43"/>
      <c r="X164" s="43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  <c r="AK164" s="110"/>
      <c r="AL164" s="110"/>
      <c r="AM164" s="110"/>
      <c r="AN164" s="110"/>
      <c r="AO164" s="110"/>
      <c r="AP164" s="110"/>
      <c r="AQ164" s="110"/>
      <c r="AR164" s="110"/>
      <c r="AS164" s="110"/>
      <c r="AT164" s="110"/>
      <c r="AU164" s="110"/>
      <c r="AV164" s="110"/>
      <c r="AW164" s="110"/>
      <c r="AX164" s="110"/>
      <c r="AY164" s="110"/>
      <c r="AZ164" s="110"/>
      <c r="BA164" s="110"/>
      <c r="BB164" s="110"/>
      <c r="BC164" s="110"/>
      <c r="BD164" s="110"/>
      <c r="BE164" s="110"/>
      <c r="BF164" s="110"/>
      <c r="BG164" s="110"/>
      <c r="BH164" s="110"/>
      <c r="BI164" s="110"/>
      <c r="BJ164" s="110"/>
      <c r="BK164" s="110"/>
      <c r="BL164" s="110"/>
      <c r="BM164" s="110"/>
      <c r="BN164" s="110"/>
      <c r="BO164" s="110"/>
      <c r="BP164" s="110"/>
      <c r="BQ164" s="110"/>
      <c r="BR164" s="110"/>
      <c r="BS164" s="110"/>
      <c r="BT164" s="110"/>
      <c r="BU164" s="110"/>
      <c r="BV164" s="110"/>
      <c r="BW164" s="110"/>
      <c r="BX164" s="110"/>
      <c r="BY164" s="110"/>
      <c r="BZ164" s="110"/>
      <c r="CA164" s="110"/>
      <c r="CB164" s="110"/>
      <c r="CC164" s="110"/>
      <c r="CD164" s="110"/>
      <c r="CE164" s="110"/>
      <c r="CF164" s="110"/>
    </row>
    <row r="165" spans="1:84" s="45" customFormat="1" x14ac:dyDescent="0.25">
      <c r="A165" t="str">
        <f>Funktional!A164</f>
        <v>Ermatingen</v>
      </c>
      <c r="B165" t="str">
        <f>Funktional!B164</f>
        <v>KiGa</v>
      </c>
      <c r="C165" s="365">
        <v>262137.7</v>
      </c>
      <c r="D165" s="365">
        <v>1291988.05</v>
      </c>
      <c r="E165" s="365">
        <v>100960.4</v>
      </c>
      <c r="F165" s="119">
        <f t="shared" si="59"/>
        <v>1392948.45</v>
      </c>
      <c r="G165" s="43"/>
      <c r="H165" s="119">
        <f t="shared" si="57"/>
        <v>1655086.15</v>
      </c>
      <c r="I165" s="377"/>
      <c r="J165" s="124">
        <f t="shared" si="60"/>
        <v>0.15838311498165822</v>
      </c>
      <c r="K165" s="42">
        <f t="shared" si="61"/>
        <v>0.84161688501834186</v>
      </c>
      <c r="L165" s="372">
        <f t="shared" si="58"/>
        <v>0.15838311498165822</v>
      </c>
      <c r="M165" s="372"/>
      <c r="N165" s="406"/>
      <c r="O165" s="44"/>
      <c r="P165" s="80"/>
      <c r="Q165" s="43"/>
      <c r="R165" s="43"/>
      <c r="S165" s="43"/>
      <c r="T165" s="43"/>
      <c r="U165" s="43"/>
      <c r="V165" s="43"/>
      <c r="W165" s="43"/>
      <c r="X165" s="43"/>
      <c r="Y165" s="110"/>
      <c r="Z165" s="110"/>
      <c r="AA165" s="110"/>
      <c r="AB165" s="110"/>
      <c r="AC165" s="110"/>
      <c r="AD165" s="110"/>
      <c r="AE165" s="110"/>
      <c r="AF165" s="110"/>
      <c r="AG165" s="110"/>
      <c r="AH165" s="110"/>
      <c r="AI165" s="110"/>
      <c r="AJ165" s="110"/>
      <c r="AK165" s="110"/>
      <c r="AL165" s="110"/>
      <c r="AM165" s="110"/>
      <c r="AN165" s="110"/>
      <c r="AO165" s="110"/>
      <c r="AP165" s="110"/>
      <c r="AQ165" s="110"/>
      <c r="AR165" s="110"/>
      <c r="AS165" s="110"/>
      <c r="AT165" s="110"/>
      <c r="AU165" s="110"/>
      <c r="AV165" s="110"/>
      <c r="AW165" s="110"/>
      <c r="AX165" s="110"/>
      <c r="AY165" s="110"/>
      <c r="AZ165" s="110"/>
      <c r="BA165" s="110"/>
      <c r="BB165" s="110"/>
      <c r="BC165" s="110"/>
      <c r="BD165" s="110"/>
      <c r="BE165" s="110"/>
      <c r="BF165" s="110"/>
      <c r="BG165" s="110"/>
      <c r="BH165" s="110"/>
      <c r="BI165" s="110"/>
      <c r="BJ165" s="110"/>
      <c r="BK165" s="110"/>
      <c r="BL165" s="110"/>
      <c r="BM165" s="110"/>
      <c r="BN165" s="110"/>
      <c r="BO165" s="110"/>
      <c r="BP165" s="110"/>
      <c r="BQ165" s="110"/>
      <c r="BR165" s="110"/>
      <c r="BS165" s="110"/>
      <c r="BT165" s="110"/>
      <c r="BU165" s="110"/>
      <c r="BV165" s="110"/>
      <c r="BW165" s="110"/>
      <c r="BX165" s="110"/>
      <c r="BY165" s="110"/>
      <c r="BZ165" s="110"/>
      <c r="CA165" s="110"/>
      <c r="CB165" s="110"/>
      <c r="CC165" s="110"/>
      <c r="CD165" s="110"/>
      <c r="CE165" s="110"/>
      <c r="CF165" s="110"/>
    </row>
    <row r="166" spans="1:84" s="45" customFormat="1" x14ac:dyDescent="0.25">
      <c r="A166" t="str">
        <f>Funktional!A165</f>
        <v>Eschenz</v>
      </c>
      <c r="B166" t="str">
        <f>Funktional!B165</f>
        <v>KiGa</v>
      </c>
      <c r="C166" s="365">
        <v>181292.7</v>
      </c>
      <c r="D166" s="365">
        <v>906492.4</v>
      </c>
      <c r="E166" s="365">
        <v>59874.15</v>
      </c>
      <c r="F166" s="119">
        <f t="shared" si="59"/>
        <v>966366.55</v>
      </c>
      <c r="G166" s="43"/>
      <c r="H166" s="119">
        <f t="shared" si="57"/>
        <v>1147659.25</v>
      </c>
      <c r="I166" s="377"/>
      <c r="J166" s="124">
        <f t="shared" si="60"/>
        <v>0.15796735834264397</v>
      </c>
      <c r="K166" s="42">
        <f t="shared" si="61"/>
        <v>0.84203264165735614</v>
      </c>
      <c r="L166" s="372">
        <f t="shared" si="58"/>
        <v>0.15796735834264397</v>
      </c>
      <c r="M166" s="372"/>
      <c r="N166" s="406"/>
      <c r="O166" s="44"/>
      <c r="P166" s="80"/>
      <c r="Q166" s="43"/>
      <c r="R166" s="43"/>
      <c r="S166" s="43"/>
      <c r="T166" s="43"/>
      <c r="U166" s="43"/>
      <c r="V166" s="43"/>
      <c r="W166" s="43"/>
      <c r="X166" s="43"/>
      <c r="Y166" s="110"/>
      <c r="Z166" s="110"/>
      <c r="AA166" s="110"/>
      <c r="AB166" s="110"/>
      <c r="AC166" s="110"/>
      <c r="AD166" s="110"/>
      <c r="AE166" s="110"/>
      <c r="AF166" s="110"/>
      <c r="AG166" s="110"/>
      <c r="AH166" s="110"/>
      <c r="AI166" s="110"/>
      <c r="AJ166" s="110"/>
      <c r="AK166" s="110"/>
      <c r="AL166" s="110"/>
      <c r="AM166" s="110"/>
      <c r="AN166" s="110"/>
      <c r="AO166" s="110"/>
      <c r="AP166" s="110"/>
      <c r="AQ166" s="110"/>
      <c r="AR166" s="110"/>
      <c r="AS166" s="110"/>
      <c r="AT166" s="110"/>
      <c r="AU166" s="110"/>
      <c r="AV166" s="110"/>
      <c r="AW166" s="110"/>
      <c r="AX166" s="110"/>
      <c r="AY166" s="110"/>
      <c r="AZ166" s="110"/>
      <c r="BA166" s="110"/>
      <c r="BB166" s="110"/>
      <c r="BC166" s="110"/>
      <c r="BD166" s="110"/>
      <c r="BE166" s="110"/>
      <c r="BF166" s="110"/>
      <c r="BG166" s="110"/>
      <c r="BH166" s="110"/>
      <c r="BI166" s="110"/>
      <c r="BJ166" s="110"/>
      <c r="BK166" s="110"/>
      <c r="BL166" s="110"/>
      <c r="BM166" s="110"/>
      <c r="BN166" s="110"/>
      <c r="BO166" s="110"/>
      <c r="BP166" s="110"/>
      <c r="BQ166" s="110"/>
      <c r="BR166" s="110"/>
      <c r="BS166" s="110"/>
      <c r="BT166" s="110"/>
      <c r="BU166" s="110"/>
      <c r="BV166" s="110"/>
      <c r="BW166" s="110"/>
      <c r="BX166" s="110"/>
      <c r="BY166" s="110"/>
      <c r="BZ166" s="110"/>
      <c r="CA166" s="110"/>
      <c r="CB166" s="110"/>
      <c r="CC166" s="110"/>
      <c r="CD166" s="110"/>
      <c r="CE166" s="110"/>
      <c r="CF166" s="110"/>
    </row>
    <row r="167" spans="1:84" s="45" customFormat="1" x14ac:dyDescent="0.25">
      <c r="A167" t="str">
        <f>Funktional!A166</f>
        <v>Ettenhausen</v>
      </c>
      <c r="B167" t="str">
        <f>Funktional!B166</f>
        <v>KiGa</v>
      </c>
      <c r="C167" s="365">
        <v>117129.85</v>
      </c>
      <c r="D167" s="365">
        <v>524681</v>
      </c>
      <c r="E167" s="365">
        <v>53616.3</v>
      </c>
      <c r="F167" s="119">
        <f t="shared" si="59"/>
        <v>578297.30000000005</v>
      </c>
      <c r="G167" s="43"/>
      <c r="H167" s="119">
        <f t="shared" si="57"/>
        <v>695427.15</v>
      </c>
      <c r="I167" s="377"/>
      <c r="J167" s="124">
        <f t="shared" si="60"/>
        <v>0.16842864130340612</v>
      </c>
      <c r="K167" s="42">
        <f t="shared" si="61"/>
        <v>0.83157135869659393</v>
      </c>
      <c r="L167" s="372">
        <f t="shared" si="58"/>
        <v>0.16842864130340612</v>
      </c>
      <c r="M167" s="372"/>
      <c r="N167" s="406"/>
      <c r="O167" s="44"/>
      <c r="P167" s="80"/>
      <c r="Q167" s="43"/>
      <c r="R167" s="43"/>
      <c r="S167" s="43"/>
      <c r="T167" s="43"/>
      <c r="U167" s="43"/>
      <c r="V167" s="43"/>
      <c r="W167" s="43"/>
      <c r="X167" s="43"/>
      <c r="Y167" s="110"/>
      <c r="Z167" s="110"/>
      <c r="AA167" s="110"/>
      <c r="AB167" s="110"/>
      <c r="AC167" s="110"/>
      <c r="AD167" s="110"/>
      <c r="AE167" s="110"/>
      <c r="AF167" s="110"/>
      <c r="AG167" s="110"/>
      <c r="AH167" s="110"/>
      <c r="AI167" s="110"/>
      <c r="AJ167" s="110"/>
      <c r="AK167" s="110"/>
      <c r="AL167" s="110"/>
      <c r="AM167" s="110"/>
      <c r="AN167" s="110"/>
      <c r="AO167" s="110"/>
      <c r="AP167" s="110"/>
      <c r="AQ167" s="110"/>
      <c r="AR167" s="110"/>
      <c r="AS167" s="110"/>
      <c r="AT167" s="110"/>
      <c r="AU167" s="110"/>
      <c r="AV167" s="110"/>
      <c r="AW167" s="110"/>
      <c r="AX167" s="110"/>
      <c r="AY167" s="110"/>
      <c r="AZ167" s="110"/>
      <c r="BA167" s="110"/>
      <c r="BB167" s="110"/>
      <c r="BC167" s="110"/>
      <c r="BD167" s="110"/>
      <c r="BE167" s="110"/>
      <c r="BF167" s="110"/>
      <c r="BG167" s="110"/>
      <c r="BH167" s="110"/>
      <c r="BI167" s="110"/>
      <c r="BJ167" s="110"/>
      <c r="BK167" s="110"/>
      <c r="BL167" s="110"/>
      <c r="BM167" s="110"/>
      <c r="BN167" s="110"/>
      <c r="BO167" s="110"/>
      <c r="BP167" s="110"/>
      <c r="BQ167" s="110"/>
      <c r="BR167" s="110"/>
      <c r="BS167" s="110"/>
      <c r="BT167" s="110"/>
      <c r="BU167" s="110"/>
      <c r="BV167" s="110"/>
      <c r="BW167" s="110"/>
      <c r="BX167" s="110"/>
      <c r="BY167" s="110"/>
      <c r="BZ167" s="110"/>
      <c r="CA167" s="110"/>
      <c r="CB167" s="110"/>
      <c r="CC167" s="110"/>
      <c r="CD167" s="110"/>
      <c r="CE167" s="110"/>
      <c r="CF167" s="110"/>
    </row>
    <row r="168" spans="1:84" s="45" customFormat="1" x14ac:dyDescent="0.25">
      <c r="A168" t="str">
        <f>Funktional!A167</f>
        <v>Felben-Wellhausen</v>
      </c>
      <c r="B168" t="str">
        <f>Funktional!B167</f>
        <v>KiGa</v>
      </c>
      <c r="C168" s="365">
        <v>232820.4</v>
      </c>
      <c r="D168" s="365">
        <v>1218277.1000000001</v>
      </c>
      <c r="E168" s="365">
        <v>86962</v>
      </c>
      <c r="F168" s="119">
        <f t="shared" si="59"/>
        <v>1305239.1000000001</v>
      </c>
      <c r="G168" s="43"/>
      <c r="H168" s="119">
        <f t="shared" si="57"/>
        <v>1538059.5</v>
      </c>
      <c r="I168" s="377"/>
      <c r="J168" s="124">
        <f t="shared" si="60"/>
        <v>0.15137281750153359</v>
      </c>
      <c r="K168" s="42">
        <f t="shared" si="61"/>
        <v>0.84862718249846647</v>
      </c>
      <c r="L168" s="372">
        <f t="shared" si="58"/>
        <v>0.15137281750153359</v>
      </c>
      <c r="M168" s="372"/>
      <c r="N168" s="406"/>
      <c r="O168" s="44"/>
      <c r="P168" s="80"/>
      <c r="Q168" s="43"/>
      <c r="R168" s="43"/>
      <c r="S168" s="43"/>
      <c r="T168" s="43"/>
      <c r="U168" s="43"/>
      <c r="V168" s="43"/>
      <c r="W168" s="43"/>
      <c r="X168" s="43"/>
      <c r="Y168" s="110"/>
      <c r="Z168" s="110"/>
      <c r="AA168" s="110"/>
      <c r="AB168" s="110"/>
      <c r="AC168" s="110"/>
      <c r="AD168" s="110"/>
      <c r="AE168" s="110"/>
      <c r="AF168" s="110"/>
      <c r="AG168" s="110"/>
      <c r="AH168" s="110"/>
      <c r="AI168" s="110"/>
      <c r="AJ168" s="110"/>
      <c r="AK168" s="110"/>
      <c r="AL168" s="110"/>
      <c r="AM168" s="110"/>
      <c r="AN168" s="110"/>
      <c r="AO168" s="110"/>
      <c r="AP168" s="110"/>
      <c r="AQ168" s="110"/>
      <c r="AR168" s="110"/>
      <c r="AS168" s="110"/>
      <c r="AT168" s="110"/>
      <c r="AU168" s="110"/>
      <c r="AV168" s="110"/>
      <c r="AW168" s="110"/>
      <c r="AX168" s="110"/>
      <c r="AY168" s="110"/>
      <c r="AZ168" s="110"/>
      <c r="BA168" s="110"/>
      <c r="BB168" s="110"/>
      <c r="BC168" s="110"/>
      <c r="BD168" s="110"/>
      <c r="BE168" s="110"/>
      <c r="BF168" s="110"/>
      <c r="BG168" s="110"/>
      <c r="BH168" s="110"/>
      <c r="BI168" s="110"/>
      <c r="BJ168" s="110"/>
      <c r="BK168" s="110"/>
      <c r="BL168" s="110"/>
      <c r="BM168" s="110"/>
      <c r="BN168" s="110"/>
      <c r="BO168" s="110"/>
      <c r="BP168" s="110"/>
      <c r="BQ168" s="110"/>
      <c r="BR168" s="110"/>
      <c r="BS168" s="110"/>
      <c r="BT168" s="110"/>
      <c r="BU168" s="110"/>
      <c r="BV168" s="110"/>
      <c r="BW168" s="110"/>
      <c r="BX168" s="110"/>
      <c r="BY168" s="110"/>
      <c r="BZ168" s="110"/>
      <c r="CA168" s="110"/>
      <c r="CB168" s="110"/>
      <c r="CC168" s="110"/>
      <c r="CD168" s="110"/>
      <c r="CE168" s="110"/>
      <c r="CF168" s="110"/>
    </row>
    <row r="169" spans="1:84" s="45" customFormat="1" x14ac:dyDescent="0.25">
      <c r="A169" t="str">
        <f>Funktional!A168</f>
        <v>Fimmelsberg-Holzhäusern</v>
      </c>
      <c r="B169" t="str">
        <f>Funktional!B168</f>
        <v>KiGa</v>
      </c>
      <c r="C169" s="365">
        <v>108619.7</v>
      </c>
      <c r="D169" s="365">
        <v>392868.25</v>
      </c>
      <c r="E169" s="365">
        <v>30784</v>
      </c>
      <c r="F169" s="119">
        <f t="shared" si="59"/>
        <v>423652.25</v>
      </c>
      <c r="G169" s="43"/>
      <c r="H169" s="119">
        <f t="shared" ref="H169:H184" si="62">C169+F169+I169</f>
        <v>532271.94999999995</v>
      </c>
      <c r="I169" s="377"/>
      <c r="J169" s="124">
        <f t="shared" si="60"/>
        <v>0.20406805205496928</v>
      </c>
      <c r="K169" s="42">
        <f t="shared" si="61"/>
        <v>0.79593194794503075</v>
      </c>
      <c r="L169" s="372">
        <f t="shared" si="58"/>
        <v>0.20406805205496928</v>
      </c>
      <c r="M169" s="372"/>
      <c r="N169" s="406"/>
      <c r="O169" s="44"/>
      <c r="P169" s="80"/>
      <c r="Q169" s="43"/>
      <c r="R169" s="43"/>
      <c r="S169" s="43"/>
      <c r="T169" s="43"/>
      <c r="U169" s="43"/>
      <c r="V169" s="43"/>
      <c r="W169" s="43"/>
      <c r="X169" s="43"/>
      <c r="Y169" s="110"/>
      <c r="Z169" s="110"/>
      <c r="AA169" s="110"/>
      <c r="AB169" s="110"/>
      <c r="AC169" s="110"/>
      <c r="AD169" s="110"/>
      <c r="AE169" s="110"/>
      <c r="AF169" s="110"/>
      <c r="AG169" s="110"/>
      <c r="AH169" s="110"/>
      <c r="AI169" s="110"/>
      <c r="AJ169" s="110"/>
      <c r="AK169" s="110"/>
      <c r="AL169" s="110"/>
      <c r="AM169" s="110"/>
      <c r="AN169" s="110"/>
      <c r="AO169" s="110"/>
      <c r="AP169" s="110"/>
      <c r="AQ169" s="110"/>
      <c r="AR169" s="110"/>
      <c r="AS169" s="110"/>
      <c r="AT169" s="110"/>
      <c r="AU169" s="110"/>
      <c r="AV169" s="110"/>
      <c r="AW169" s="110"/>
      <c r="AX169" s="110"/>
      <c r="AY169" s="110"/>
      <c r="AZ169" s="110"/>
      <c r="BA169" s="110"/>
      <c r="BB169" s="110"/>
      <c r="BC169" s="110"/>
      <c r="BD169" s="110"/>
      <c r="BE169" s="110"/>
      <c r="BF169" s="110"/>
      <c r="BG169" s="110"/>
      <c r="BH169" s="110"/>
      <c r="BI169" s="110"/>
      <c r="BJ169" s="110"/>
      <c r="BK169" s="110"/>
      <c r="BL169" s="110"/>
      <c r="BM169" s="110"/>
      <c r="BN169" s="110"/>
      <c r="BO169" s="110"/>
      <c r="BP169" s="110"/>
      <c r="BQ169" s="110"/>
      <c r="BR169" s="110"/>
      <c r="BS169" s="110"/>
      <c r="BT169" s="110"/>
      <c r="BU169" s="110"/>
      <c r="BV169" s="110"/>
      <c r="BW169" s="110"/>
      <c r="BX169" s="110"/>
      <c r="BY169" s="110"/>
      <c r="BZ169" s="110"/>
      <c r="CA169" s="110"/>
      <c r="CB169" s="110"/>
      <c r="CC169" s="110"/>
      <c r="CD169" s="110"/>
      <c r="CE169" s="110"/>
      <c r="CF169" s="110"/>
    </row>
    <row r="170" spans="1:84" s="45" customFormat="1" x14ac:dyDescent="0.25">
      <c r="A170" t="str">
        <f>Funktional!A169</f>
        <v>Fischingen</v>
      </c>
      <c r="B170" t="str">
        <f>Funktional!B169</f>
        <v>KiGa</v>
      </c>
      <c r="C170" s="365">
        <v>107266.6</v>
      </c>
      <c r="D170" s="365">
        <v>301240.65000000002</v>
      </c>
      <c r="E170" s="365">
        <v>29153.4</v>
      </c>
      <c r="F170" s="119">
        <f t="shared" si="59"/>
        <v>330394.05000000005</v>
      </c>
      <c r="G170" s="43"/>
      <c r="H170" s="119">
        <f t="shared" si="62"/>
        <v>437660.65</v>
      </c>
      <c r="I170" s="377"/>
      <c r="J170" s="124">
        <f t="shared" si="60"/>
        <v>0.24509080265726424</v>
      </c>
      <c r="K170" s="42">
        <f t="shared" si="61"/>
        <v>0.75490919734273576</v>
      </c>
      <c r="L170" s="372">
        <f t="shared" si="58"/>
        <v>0.24509080265726424</v>
      </c>
      <c r="M170" s="372"/>
      <c r="N170" s="406"/>
      <c r="O170" s="44"/>
      <c r="P170" s="80"/>
      <c r="Q170" s="43"/>
      <c r="R170" s="43"/>
      <c r="S170" s="43"/>
      <c r="T170" s="43"/>
      <c r="U170" s="43"/>
      <c r="V170" s="43"/>
      <c r="W170" s="43"/>
      <c r="X170" s="43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  <c r="AK170" s="110"/>
      <c r="AL170" s="110"/>
      <c r="AM170" s="110"/>
      <c r="AN170" s="110"/>
      <c r="AO170" s="110"/>
      <c r="AP170" s="110"/>
      <c r="AQ170" s="110"/>
      <c r="AR170" s="110"/>
      <c r="AS170" s="110"/>
      <c r="AT170" s="110"/>
      <c r="AU170" s="110"/>
      <c r="AV170" s="110"/>
      <c r="AW170" s="110"/>
      <c r="AX170" s="110"/>
      <c r="AY170" s="110"/>
      <c r="AZ170" s="110"/>
      <c r="BA170" s="110"/>
      <c r="BB170" s="110"/>
      <c r="BC170" s="110"/>
      <c r="BD170" s="110"/>
      <c r="BE170" s="110"/>
      <c r="BF170" s="110"/>
      <c r="BG170" s="110"/>
      <c r="BH170" s="110"/>
      <c r="BI170" s="110"/>
      <c r="BJ170" s="110"/>
      <c r="BK170" s="110"/>
      <c r="BL170" s="110"/>
      <c r="BM170" s="110"/>
      <c r="BN170" s="110"/>
      <c r="BO170" s="110"/>
      <c r="BP170" s="110"/>
      <c r="BQ170" s="110"/>
      <c r="BR170" s="110"/>
      <c r="BS170" s="110"/>
      <c r="BT170" s="110"/>
      <c r="BU170" s="110"/>
      <c r="BV170" s="110"/>
      <c r="BW170" s="110"/>
      <c r="BX170" s="110"/>
      <c r="BY170" s="110"/>
      <c r="BZ170" s="110"/>
      <c r="CA170" s="110"/>
      <c r="CB170" s="110"/>
      <c r="CC170" s="110"/>
      <c r="CD170" s="110"/>
      <c r="CE170" s="110"/>
      <c r="CF170" s="110"/>
    </row>
    <row r="171" spans="1:84" s="45" customFormat="1" x14ac:dyDescent="0.25">
      <c r="A171" t="str">
        <f>Funktional!A170</f>
        <v>Frauenfeld</v>
      </c>
      <c r="B171" t="str">
        <f>Funktional!B170</f>
        <v>KiGa</v>
      </c>
      <c r="C171" s="365">
        <v>2167359.5499999998</v>
      </c>
      <c r="D171" s="365">
        <v>10066849.9</v>
      </c>
      <c r="E171" s="365">
        <v>865152.8</v>
      </c>
      <c r="F171" s="119">
        <f t="shared" si="59"/>
        <v>10932002.700000001</v>
      </c>
      <c r="G171" s="43"/>
      <c r="H171" s="119">
        <f t="shared" si="62"/>
        <v>13099362.25</v>
      </c>
      <c r="I171" s="377"/>
      <c r="J171" s="124">
        <f t="shared" si="60"/>
        <v>0.16545534878997639</v>
      </c>
      <c r="K171" s="42">
        <f t="shared" si="61"/>
        <v>0.83454465121002364</v>
      </c>
      <c r="L171" s="372">
        <f t="shared" si="58"/>
        <v>0.16545534878997639</v>
      </c>
      <c r="M171" s="372"/>
      <c r="N171" s="406"/>
      <c r="O171" s="44"/>
      <c r="P171" s="80"/>
      <c r="Q171" s="43"/>
      <c r="R171" s="43"/>
      <c r="S171" s="43"/>
      <c r="T171" s="43"/>
      <c r="U171" s="43"/>
      <c r="V171" s="43"/>
      <c r="W171" s="43"/>
      <c r="X171" s="43"/>
      <c r="Y171" s="110"/>
      <c r="Z171" s="110"/>
      <c r="AA171" s="110"/>
      <c r="AB171" s="110"/>
      <c r="AC171" s="110"/>
      <c r="AD171" s="110"/>
      <c r="AE171" s="110"/>
      <c r="AF171" s="110"/>
      <c r="AG171" s="110"/>
      <c r="AH171" s="110"/>
      <c r="AI171" s="110"/>
      <c r="AJ171" s="110"/>
      <c r="AK171" s="110"/>
      <c r="AL171" s="110"/>
      <c r="AM171" s="110"/>
      <c r="AN171" s="110"/>
      <c r="AO171" s="110"/>
      <c r="AP171" s="110"/>
      <c r="AQ171" s="110"/>
      <c r="AR171" s="110"/>
      <c r="AS171" s="110"/>
      <c r="AT171" s="110"/>
      <c r="AU171" s="110"/>
      <c r="AV171" s="110"/>
      <c r="AW171" s="110"/>
      <c r="AX171" s="110"/>
      <c r="AY171" s="110"/>
      <c r="AZ171" s="110"/>
      <c r="BA171" s="110"/>
      <c r="BB171" s="110"/>
      <c r="BC171" s="110"/>
      <c r="BD171" s="110"/>
      <c r="BE171" s="110"/>
      <c r="BF171" s="110"/>
      <c r="BG171" s="110"/>
      <c r="BH171" s="110"/>
      <c r="BI171" s="110"/>
      <c r="BJ171" s="110"/>
      <c r="BK171" s="110"/>
      <c r="BL171" s="110"/>
      <c r="BM171" s="110"/>
      <c r="BN171" s="110"/>
      <c r="BO171" s="110"/>
      <c r="BP171" s="110"/>
      <c r="BQ171" s="110"/>
      <c r="BR171" s="110"/>
      <c r="BS171" s="110"/>
      <c r="BT171" s="110"/>
      <c r="BU171" s="110"/>
      <c r="BV171" s="110"/>
      <c r="BW171" s="110"/>
      <c r="BX171" s="110"/>
      <c r="BY171" s="110"/>
      <c r="BZ171" s="110"/>
      <c r="CA171" s="110"/>
      <c r="CB171" s="110"/>
      <c r="CC171" s="110"/>
      <c r="CD171" s="110"/>
      <c r="CE171" s="110"/>
      <c r="CF171" s="110"/>
    </row>
    <row r="172" spans="1:84" s="45" customFormat="1" x14ac:dyDescent="0.25">
      <c r="A172" t="str">
        <f>Funktional!A171</f>
        <v>Friltschen</v>
      </c>
      <c r="B172" t="str">
        <f>Funktional!B171</f>
        <v>KiGa</v>
      </c>
      <c r="C172" s="365">
        <v>13542.6</v>
      </c>
      <c r="D172" s="365">
        <v>220594.2</v>
      </c>
      <c r="E172" s="365">
        <v>45067.1</v>
      </c>
      <c r="F172" s="119">
        <f t="shared" si="59"/>
        <v>265661.3</v>
      </c>
      <c r="G172" s="43"/>
      <c r="H172" s="119">
        <f t="shared" si="62"/>
        <v>279203.89999999997</v>
      </c>
      <c r="I172" s="377"/>
      <c r="J172" s="124">
        <f t="shared" si="60"/>
        <v>4.8504336794722429E-2</v>
      </c>
      <c r="K172" s="42">
        <f t="shared" si="61"/>
        <v>0.95149566320527768</v>
      </c>
      <c r="L172" s="372">
        <v>0</v>
      </c>
      <c r="M172" s="372"/>
      <c r="N172" s="406"/>
      <c r="O172" s="44"/>
      <c r="P172" s="80"/>
      <c r="Q172" s="43"/>
      <c r="R172" s="43"/>
      <c r="S172" s="43"/>
      <c r="T172" s="43"/>
      <c r="U172" s="43"/>
      <c r="V172" s="43"/>
      <c r="W172" s="43"/>
      <c r="X172" s="43"/>
      <c r="Y172" s="110"/>
      <c r="Z172" s="110"/>
      <c r="AA172" s="110"/>
      <c r="AB172" s="110"/>
      <c r="AC172" s="110"/>
      <c r="AD172" s="110"/>
      <c r="AE172" s="110"/>
      <c r="AF172" s="110"/>
      <c r="AG172" s="110"/>
      <c r="AH172" s="110"/>
      <c r="AI172" s="110"/>
      <c r="AJ172" s="110"/>
      <c r="AK172" s="110"/>
      <c r="AL172" s="110"/>
      <c r="AM172" s="110"/>
      <c r="AN172" s="110"/>
      <c r="AO172" s="110"/>
      <c r="AP172" s="110"/>
      <c r="AQ172" s="110"/>
      <c r="AR172" s="110"/>
      <c r="AS172" s="110"/>
      <c r="AT172" s="110"/>
      <c r="AU172" s="110"/>
      <c r="AV172" s="110"/>
      <c r="AW172" s="110"/>
      <c r="AX172" s="110"/>
      <c r="AY172" s="110"/>
      <c r="AZ172" s="110"/>
      <c r="BA172" s="110"/>
      <c r="BB172" s="110"/>
      <c r="BC172" s="110"/>
      <c r="BD172" s="110"/>
      <c r="BE172" s="110"/>
      <c r="BF172" s="110"/>
      <c r="BG172" s="110"/>
      <c r="BH172" s="110"/>
      <c r="BI172" s="110"/>
      <c r="BJ172" s="110"/>
      <c r="BK172" s="110"/>
      <c r="BL172" s="110"/>
      <c r="BM172" s="110"/>
      <c r="BN172" s="110"/>
      <c r="BO172" s="110"/>
      <c r="BP172" s="110"/>
      <c r="BQ172" s="110"/>
      <c r="BR172" s="110"/>
      <c r="BS172" s="110"/>
      <c r="BT172" s="110"/>
      <c r="BU172" s="110"/>
      <c r="BV172" s="110"/>
      <c r="BW172" s="110"/>
      <c r="BX172" s="110"/>
      <c r="BY172" s="110"/>
      <c r="BZ172" s="110"/>
      <c r="CA172" s="110"/>
      <c r="CB172" s="110"/>
      <c r="CC172" s="110"/>
      <c r="CD172" s="110"/>
      <c r="CE172" s="110"/>
      <c r="CF172" s="110"/>
    </row>
    <row r="173" spans="1:84" s="45" customFormat="1" x14ac:dyDescent="0.25">
      <c r="A173" t="str">
        <f>Funktional!A172</f>
        <v>Gachnang</v>
      </c>
      <c r="B173" t="str">
        <f>Funktional!B172</f>
        <v>KiGa</v>
      </c>
      <c r="C173" s="365">
        <v>353275.55</v>
      </c>
      <c r="D173" s="365">
        <v>1581742.9</v>
      </c>
      <c r="E173" s="365">
        <v>166749.79999999999</v>
      </c>
      <c r="F173" s="119">
        <f t="shared" si="59"/>
        <v>1748492.7</v>
      </c>
      <c r="G173" s="43"/>
      <c r="H173" s="119">
        <f t="shared" si="62"/>
        <v>2101768.25</v>
      </c>
      <c r="I173" s="377"/>
      <c r="J173" s="124">
        <f t="shared" si="60"/>
        <v>0.16808492087555324</v>
      </c>
      <c r="K173" s="42">
        <f t="shared" si="61"/>
        <v>0.83191507912444673</v>
      </c>
      <c r="L173" s="372">
        <f>J173</f>
        <v>0.16808492087555324</v>
      </c>
      <c r="M173" s="372"/>
      <c r="N173" s="406"/>
      <c r="O173" s="44"/>
      <c r="P173" s="80"/>
      <c r="Q173" s="43"/>
      <c r="R173" s="43"/>
      <c r="S173" s="43"/>
      <c r="T173" s="43"/>
      <c r="U173" s="43"/>
      <c r="V173" s="43"/>
      <c r="W173" s="43"/>
      <c r="X173" s="43"/>
      <c r="Y173" s="110"/>
      <c r="Z173" s="110"/>
      <c r="AA173" s="110"/>
      <c r="AB173" s="110"/>
      <c r="AC173" s="110"/>
      <c r="AD173" s="110"/>
      <c r="AE173" s="110"/>
      <c r="AF173" s="110"/>
      <c r="AG173" s="110"/>
      <c r="AH173" s="110"/>
      <c r="AI173" s="110"/>
      <c r="AJ173" s="110"/>
      <c r="AK173" s="110"/>
      <c r="AL173" s="110"/>
      <c r="AM173" s="110"/>
      <c r="AN173" s="110"/>
      <c r="AO173" s="110"/>
      <c r="AP173" s="110"/>
      <c r="AQ173" s="110"/>
      <c r="AR173" s="110"/>
      <c r="AS173" s="110"/>
      <c r="AT173" s="110"/>
      <c r="AU173" s="110"/>
      <c r="AV173" s="110"/>
      <c r="AW173" s="110"/>
      <c r="AX173" s="110"/>
      <c r="AY173" s="110"/>
      <c r="AZ173" s="110"/>
      <c r="BA173" s="110"/>
      <c r="BB173" s="110"/>
      <c r="BC173" s="110"/>
      <c r="BD173" s="110"/>
      <c r="BE173" s="110"/>
      <c r="BF173" s="110"/>
      <c r="BG173" s="110"/>
      <c r="BH173" s="110"/>
      <c r="BI173" s="110"/>
      <c r="BJ173" s="110"/>
      <c r="BK173" s="110"/>
      <c r="BL173" s="110"/>
      <c r="BM173" s="110"/>
      <c r="BN173" s="110"/>
      <c r="BO173" s="110"/>
      <c r="BP173" s="110"/>
      <c r="BQ173" s="110"/>
      <c r="BR173" s="110"/>
      <c r="BS173" s="110"/>
      <c r="BT173" s="110"/>
      <c r="BU173" s="110"/>
      <c r="BV173" s="110"/>
      <c r="BW173" s="110"/>
      <c r="BX173" s="110"/>
      <c r="BY173" s="110"/>
      <c r="BZ173" s="110"/>
      <c r="CA173" s="110"/>
      <c r="CB173" s="110"/>
      <c r="CC173" s="110"/>
      <c r="CD173" s="110"/>
      <c r="CE173" s="110"/>
      <c r="CF173" s="110"/>
    </row>
    <row r="174" spans="1:84" s="45" customFormat="1" x14ac:dyDescent="0.25">
      <c r="A174" t="str">
        <f>Funktional!A173</f>
        <v>Götighofen</v>
      </c>
      <c r="B174" t="str">
        <f>Funktional!B173</f>
        <v>KiGa</v>
      </c>
      <c r="C174" s="365">
        <v>108619.6</v>
      </c>
      <c r="D174" s="365">
        <v>375128.6</v>
      </c>
      <c r="E174" s="365">
        <v>52457</v>
      </c>
      <c r="F174" s="119">
        <f t="shared" si="59"/>
        <v>427585.6</v>
      </c>
      <c r="G174" s="43"/>
      <c r="H174" s="119">
        <f t="shared" si="62"/>
        <v>536205.19999999995</v>
      </c>
      <c r="I174" s="377"/>
      <c r="J174" s="124">
        <f t="shared" si="60"/>
        <v>0.20257095604443973</v>
      </c>
      <c r="K174" s="42">
        <f t="shared" si="61"/>
        <v>0.79742904395556036</v>
      </c>
      <c r="L174" s="372">
        <f>J174</f>
        <v>0.20257095604443973</v>
      </c>
      <c r="M174" s="372"/>
      <c r="N174" s="406"/>
      <c r="O174" s="44"/>
      <c r="P174" s="80"/>
      <c r="Q174" s="43"/>
      <c r="R174" s="43"/>
      <c r="S174" s="43"/>
      <c r="T174" s="43"/>
      <c r="U174" s="43"/>
      <c r="V174" s="43"/>
      <c r="W174" s="43"/>
      <c r="X174" s="43"/>
      <c r="Y174" s="110"/>
      <c r="Z174" s="110"/>
      <c r="AA174" s="110"/>
      <c r="AB174" s="110"/>
      <c r="AC174" s="110"/>
      <c r="AD174" s="110"/>
      <c r="AE174" s="110"/>
      <c r="AF174" s="110"/>
      <c r="AG174" s="110"/>
      <c r="AH174" s="110"/>
      <c r="AI174" s="110"/>
      <c r="AJ174" s="110"/>
      <c r="AK174" s="110"/>
      <c r="AL174" s="110"/>
      <c r="AM174" s="110"/>
      <c r="AN174" s="110"/>
      <c r="AO174" s="110"/>
      <c r="AP174" s="110"/>
      <c r="AQ174" s="110"/>
      <c r="AR174" s="110"/>
      <c r="AS174" s="110"/>
      <c r="AT174" s="110"/>
      <c r="AU174" s="110"/>
      <c r="AV174" s="110"/>
      <c r="AW174" s="110"/>
      <c r="AX174" s="110"/>
      <c r="AY174" s="110"/>
      <c r="AZ174" s="110"/>
      <c r="BA174" s="110"/>
      <c r="BB174" s="110"/>
      <c r="BC174" s="110"/>
      <c r="BD174" s="110"/>
      <c r="BE174" s="110"/>
      <c r="BF174" s="110"/>
      <c r="BG174" s="110"/>
      <c r="BH174" s="110"/>
      <c r="BI174" s="110"/>
      <c r="BJ174" s="110"/>
      <c r="BK174" s="110"/>
      <c r="BL174" s="110"/>
      <c r="BM174" s="110"/>
      <c r="BN174" s="110"/>
      <c r="BO174" s="110"/>
      <c r="BP174" s="110"/>
      <c r="BQ174" s="110"/>
      <c r="BR174" s="110"/>
      <c r="BS174" s="110"/>
      <c r="BT174" s="110"/>
      <c r="BU174" s="110"/>
      <c r="BV174" s="110"/>
      <c r="BW174" s="110"/>
      <c r="BX174" s="110"/>
      <c r="BY174" s="110"/>
      <c r="BZ174" s="110"/>
      <c r="CA174" s="110"/>
      <c r="CB174" s="110"/>
      <c r="CC174" s="110"/>
      <c r="CD174" s="110"/>
      <c r="CE174" s="110"/>
      <c r="CF174" s="110"/>
    </row>
    <row r="175" spans="1:84" s="45" customFormat="1" x14ac:dyDescent="0.25">
      <c r="A175" t="str">
        <f>Funktional!A174</f>
        <v>Gottlieben</v>
      </c>
      <c r="B175" t="str">
        <f>Funktional!B174</f>
        <v>KiGa</v>
      </c>
      <c r="C175" s="365">
        <v>31570</v>
      </c>
      <c r="D175" s="365">
        <v>153905.4</v>
      </c>
      <c r="E175" s="365">
        <v>18233.2</v>
      </c>
      <c r="F175" s="119">
        <f t="shared" si="59"/>
        <v>172138.6</v>
      </c>
      <c r="G175" s="43"/>
      <c r="H175" s="119">
        <f t="shared" si="62"/>
        <v>203708.6</v>
      </c>
      <c r="I175" s="377"/>
      <c r="J175" s="124">
        <f t="shared" si="60"/>
        <v>0.15497627493390068</v>
      </c>
      <c r="K175" s="42">
        <f t="shared" si="61"/>
        <v>0.84502372506609935</v>
      </c>
      <c r="L175" s="372">
        <v>0</v>
      </c>
      <c r="M175" s="372"/>
      <c r="N175" s="406"/>
      <c r="O175" s="44"/>
      <c r="P175" s="80"/>
      <c r="Q175" s="43"/>
      <c r="R175" s="43"/>
      <c r="S175" s="43"/>
      <c r="T175" s="43"/>
      <c r="U175" s="43"/>
      <c r="V175" s="43"/>
      <c r="W175" s="43"/>
      <c r="X175" s="43"/>
      <c r="Y175" s="110"/>
      <c r="Z175" s="110"/>
      <c r="AA175" s="110"/>
      <c r="AB175" s="110"/>
      <c r="AC175" s="110"/>
      <c r="AD175" s="110"/>
      <c r="AE175" s="110"/>
      <c r="AF175" s="110"/>
      <c r="AG175" s="110"/>
      <c r="AH175" s="110"/>
      <c r="AI175" s="110"/>
      <c r="AJ175" s="110"/>
      <c r="AK175" s="110"/>
      <c r="AL175" s="110"/>
      <c r="AM175" s="110"/>
      <c r="AN175" s="110"/>
      <c r="AO175" s="110"/>
      <c r="AP175" s="110"/>
      <c r="AQ175" s="110"/>
      <c r="AR175" s="110"/>
      <c r="AS175" s="110"/>
      <c r="AT175" s="110"/>
      <c r="AU175" s="110"/>
      <c r="AV175" s="110"/>
      <c r="AW175" s="110"/>
      <c r="AX175" s="110"/>
      <c r="AY175" s="110"/>
      <c r="AZ175" s="110"/>
      <c r="BA175" s="110"/>
      <c r="BB175" s="110"/>
      <c r="BC175" s="110"/>
      <c r="BD175" s="110"/>
      <c r="BE175" s="110"/>
      <c r="BF175" s="110"/>
      <c r="BG175" s="110"/>
      <c r="BH175" s="110"/>
      <c r="BI175" s="110"/>
      <c r="BJ175" s="110"/>
      <c r="BK175" s="110"/>
      <c r="BL175" s="110"/>
      <c r="BM175" s="110"/>
      <c r="BN175" s="110"/>
      <c r="BO175" s="110"/>
      <c r="BP175" s="110"/>
      <c r="BQ175" s="110"/>
      <c r="BR175" s="110"/>
      <c r="BS175" s="110"/>
      <c r="BT175" s="110"/>
      <c r="BU175" s="110"/>
      <c r="BV175" s="110"/>
      <c r="BW175" s="110"/>
      <c r="BX175" s="110"/>
      <c r="BY175" s="110"/>
      <c r="BZ175" s="110"/>
      <c r="CA175" s="110"/>
      <c r="CB175" s="110"/>
      <c r="CC175" s="110"/>
      <c r="CD175" s="110"/>
      <c r="CE175" s="110"/>
      <c r="CF175" s="110"/>
    </row>
    <row r="176" spans="1:84" s="45" customFormat="1" x14ac:dyDescent="0.25">
      <c r="A176" t="str">
        <f>Funktional!A175</f>
        <v>Gottshaus</v>
      </c>
      <c r="B176" t="str">
        <f>Funktional!B175</f>
        <v>KiGa</v>
      </c>
      <c r="C176" s="365">
        <v>72772.399999999994</v>
      </c>
      <c r="D176" s="365">
        <v>429649.65</v>
      </c>
      <c r="E176" s="365">
        <v>46104.05</v>
      </c>
      <c r="F176" s="119">
        <f t="shared" si="59"/>
        <v>475753.7</v>
      </c>
      <c r="G176" s="43"/>
      <c r="H176" s="119">
        <f t="shared" si="62"/>
        <v>548526.1</v>
      </c>
      <c r="I176" s="377"/>
      <c r="J176" s="124">
        <f t="shared" si="60"/>
        <v>0.13266898329906271</v>
      </c>
      <c r="K176" s="42">
        <f t="shared" si="61"/>
        <v>0.86733101670093737</v>
      </c>
      <c r="L176" s="372">
        <f t="shared" ref="L176:L199" si="63">J176</f>
        <v>0.13266898329906271</v>
      </c>
      <c r="M176" s="372"/>
      <c r="N176" s="406"/>
      <c r="O176" s="44"/>
      <c r="P176" s="80"/>
      <c r="Q176" s="43"/>
      <c r="R176" s="43"/>
      <c r="S176" s="43"/>
      <c r="T176" s="43"/>
      <c r="U176" s="43"/>
      <c r="V176" s="43"/>
      <c r="W176" s="43"/>
      <c r="X176" s="43"/>
      <c r="Y176" s="110"/>
      <c r="Z176" s="110"/>
      <c r="AA176" s="110"/>
      <c r="AB176" s="110"/>
      <c r="AC176" s="110"/>
      <c r="AD176" s="110"/>
      <c r="AE176" s="110"/>
      <c r="AF176" s="110"/>
      <c r="AG176" s="110"/>
      <c r="AH176" s="110"/>
      <c r="AI176" s="110"/>
      <c r="AJ176" s="110"/>
      <c r="AK176" s="110"/>
      <c r="AL176" s="110"/>
      <c r="AM176" s="110"/>
      <c r="AN176" s="110"/>
      <c r="AO176" s="110"/>
      <c r="AP176" s="110"/>
      <c r="AQ176" s="110"/>
      <c r="AR176" s="110"/>
      <c r="AS176" s="110"/>
      <c r="AT176" s="110"/>
      <c r="AU176" s="110"/>
      <c r="AV176" s="110"/>
      <c r="AW176" s="110"/>
      <c r="AX176" s="110"/>
      <c r="AY176" s="110"/>
      <c r="AZ176" s="110"/>
      <c r="BA176" s="110"/>
      <c r="BB176" s="110"/>
      <c r="BC176" s="110"/>
      <c r="BD176" s="110"/>
      <c r="BE176" s="110"/>
      <c r="BF176" s="110"/>
      <c r="BG176" s="110"/>
      <c r="BH176" s="110"/>
      <c r="BI176" s="110"/>
      <c r="BJ176" s="110"/>
      <c r="BK176" s="110"/>
      <c r="BL176" s="110"/>
      <c r="BM176" s="110"/>
      <c r="BN176" s="110"/>
      <c r="BO176" s="110"/>
      <c r="BP176" s="110"/>
      <c r="BQ176" s="110"/>
      <c r="BR176" s="110"/>
      <c r="BS176" s="110"/>
      <c r="BT176" s="110"/>
      <c r="BU176" s="110"/>
      <c r="BV176" s="110"/>
      <c r="BW176" s="110"/>
      <c r="BX176" s="110"/>
      <c r="BY176" s="110"/>
      <c r="BZ176" s="110"/>
      <c r="CA176" s="110"/>
      <c r="CB176" s="110"/>
      <c r="CC176" s="110"/>
      <c r="CD176" s="110"/>
      <c r="CE176" s="110"/>
      <c r="CF176" s="110"/>
    </row>
    <row r="177" spans="1:84" s="45" customFormat="1" x14ac:dyDescent="0.25">
      <c r="A177" t="str">
        <f>Funktional!A176</f>
        <v>Gündelhart-Hörhausen</v>
      </c>
      <c r="B177" t="str">
        <f>Funktional!B176</f>
        <v>KiGa</v>
      </c>
      <c r="C177" s="365">
        <v>73076.600000000006</v>
      </c>
      <c r="D177" s="365">
        <v>477162.15</v>
      </c>
      <c r="E177" s="365">
        <v>42926.25</v>
      </c>
      <c r="F177" s="119">
        <f t="shared" si="59"/>
        <v>520088.4</v>
      </c>
      <c r="G177" s="43"/>
      <c r="H177" s="119">
        <f t="shared" si="62"/>
        <v>593165</v>
      </c>
      <c r="I177" s="377"/>
      <c r="J177" s="124">
        <f t="shared" si="60"/>
        <v>0.12319776116257704</v>
      </c>
      <c r="K177" s="42">
        <f t="shared" si="61"/>
        <v>0.87680223883742303</v>
      </c>
      <c r="L177" s="372">
        <f t="shared" si="63"/>
        <v>0.12319776116257704</v>
      </c>
      <c r="M177" s="372"/>
      <c r="N177" s="406"/>
      <c r="O177" s="44"/>
      <c r="P177" s="80"/>
      <c r="Q177" s="43"/>
      <c r="R177" s="43"/>
      <c r="S177" s="43"/>
      <c r="T177" s="43"/>
      <c r="U177" s="43"/>
      <c r="V177" s="43"/>
      <c r="W177" s="43"/>
      <c r="X177" s="43"/>
      <c r="Y177" s="110"/>
      <c r="Z177" s="110"/>
      <c r="AA177" s="110"/>
      <c r="AB177" s="110"/>
      <c r="AC177" s="110"/>
      <c r="AD177" s="110"/>
      <c r="AE177" s="110"/>
      <c r="AF177" s="110"/>
      <c r="AG177" s="110"/>
      <c r="AH177" s="110"/>
      <c r="AI177" s="110"/>
      <c r="AJ177" s="110"/>
      <c r="AK177" s="110"/>
      <c r="AL177" s="110"/>
      <c r="AM177" s="110"/>
      <c r="AN177" s="110"/>
      <c r="AO177" s="110"/>
      <c r="AP177" s="110"/>
      <c r="AQ177" s="110"/>
      <c r="AR177" s="110"/>
      <c r="AS177" s="110"/>
      <c r="AT177" s="110"/>
      <c r="AU177" s="110"/>
      <c r="AV177" s="110"/>
      <c r="AW177" s="110"/>
      <c r="AX177" s="110"/>
      <c r="AY177" s="110"/>
      <c r="AZ177" s="110"/>
      <c r="BA177" s="110"/>
      <c r="BB177" s="110"/>
      <c r="BC177" s="110"/>
      <c r="BD177" s="110"/>
      <c r="BE177" s="110"/>
      <c r="BF177" s="110"/>
      <c r="BG177" s="110"/>
      <c r="BH177" s="110"/>
      <c r="BI177" s="110"/>
      <c r="BJ177" s="110"/>
      <c r="BK177" s="110"/>
      <c r="BL177" s="110"/>
      <c r="BM177" s="110"/>
      <c r="BN177" s="110"/>
      <c r="BO177" s="110"/>
      <c r="BP177" s="110"/>
      <c r="BQ177" s="110"/>
      <c r="BR177" s="110"/>
      <c r="BS177" s="110"/>
      <c r="BT177" s="110"/>
      <c r="BU177" s="110"/>
      <c r="BV177" s="110"/>
      <c r="BW177" s="110"/>
      <c r="BX177" s="110"/>
      <c r="BY177" s="110"/>
      <c r="BZ177" s="110"/>
      <c r="CA177" s="110"/>
      <c r="CB177" s="110"/>
      <c r="CC177" s="110"/>
      <c r="CD177" s="110"/>
      <c r="CE177" s="110"/>
      <c r="CF177" s="110"/>
    </row>
    <row r="178" spans="1:84" s="45" customFormat="1" x14ac:dyDescent="0.25">
      <c r="A178" t="str">
        <f>Funktional!A177</f>
        <v>Guntershausen</v>
      </c>
      <c r="B178" t="str">
        <f>Funktional!B177</f>
        <v>KiGa</v>
      </c>
      <c r="C178" s="365">
        <v>97019.15</v>
      </c>
      <c r="D178" s="365">
        <v>671256.9</v>
      </c>
      <c r="E178" s="365">
        <v>84288.85</v>
      </c>
      <c r="F178" s="119">
        <f t="shared" si="59"/>
        <v>755545.75</v>
      </c>
      <c r="G178" s="43"/>
      <c r="H178" s="119">
        <f t="shared" si="62"/>
        <v>852564.9</v>
      </c>
      <c r="I178" s="377"/>
      <c r="J178" s="124">
        <f t="shared" si="60"/>
        <v>0.11379679130585835</v>
      </c>
      <c r="K178" s="42">
        <f t="shared" si="61"/>
        <v>0.8862032086941416</v>
      </c>
      <c r="L178" s="372">
        <f t="shared" si="63"/>
        <v>0.11379679130585835</v>
      </c>
      <c r="M178" s="372"/>
      <c r="N178" s="406"/>
      <c r="O178" s="44"/>
      <c r="P178" s="80"/>
      <c r="Q178" s="43"/>
      <c r="R178" s="43"/>
      <c r="S178" s="43"/>
      <c r="T178" s="43"/>
      <c r="U178" s="43"/>
      <c r="V178" s="43"/>
      <c r="W178" s="43"/>
      <c r="X178" s="43"/>
      <c r="Y178" s="110"/>
      <c r="Z178" s="110"/>
      <c r="AA178" s="110"/>
      <c r="AB178" s="110"/>
      <c r="AC178" s="110"/>
      <c r="AD178" s="110"/>
      <c r="AE178" s="110"/>
      <c r="AF178" s="110"/>
      <c r="AG178" s="110"/>
      <c r="AH178" s="110"/>
      <c r="AI178" s="110"/>
      <c r="AJ178" s="110"/>
      <c r="AK178" s="110"/>
      <c r="AL178" s="110"/>
      <c r="AM178" s="110"/>
      <c r="AN178" s="110"/>
      <c r="AO178" s="110"/>
      <c r="AP178" s="110"/>
      <c r="AQ178" s="110"/>
      <c r="AR178" s="110"/>
      <c r="AS178" s="110"/>
      <c r="AT178" s="110"/>
      <c r="AU178" s="110"/>
      <c r="AV178" s="110"/>
      <c r="AW178" s="110"/>
      <c r="AX178" s="110"/>
      <c r="AY178" s="110"/>
      <c r="AZ178" s="110"/>
      <c r="BA178" s="110"/>
      <c r="BB178" s="110"/>
      <c r="BC178" s="110"/>
      <c r="BD178" s="110"/>
      <c r="BE178" s="110"/>
      <c r="BF178" s="110"/>
      <c r="BG178" s="110"/>
      <c r="BH178" s="110"/>
      <c r="BI178" s="110"/>
      <c r="BJ178" s="110"/>
      <c r="BK178" s="110"/>
      <c r="BL178" s="110"/>
      <c r="BM178" s="110"/>
      <c r="BN178" s="110"/>
      <c r="BO178" s="110"/>
      <c r="BP178" s="110"/>
      <c r="BQ178" s="110"/>
      <c r="BR178" s="110"/>
      <c r="BS178" s="110"/>
      <c r="BT178" s="110"/>
      <c r="BU178" s="110"/>
      <c r="BV178" s="110"/>
      <c r="BW178" s="110"/>
      <c r="BX178" s="110"/>
      <c r="BY178" s="110"/>
      <c r="BZ178" s="110"/>
      <c r="CA178" s="110"/>
      <c r="CB178" s="110"/>
      <c r="CC178" s="110"/>
      <c r="CD178" s="110"/>
      <c r="CE178" s="110"/>
      <c r="CF178" s="110"/>
    </row>
    <row r="179" spans="1:84" s="45" customFormat="1" x14ac:dyDescent="0.25">
      <c r="A179" t="str">
        <f>Funktional!A178</f>
        <v>Güttingen</v>
      </c>
      <c r="B179" t="str">
        <f>Funktional!B178</f>
        <v>KiGa</v>
      </c>
      <c r="C179" s="365">
        <v>132165.20000000001</v>
      </c>
      <c r="D179" s="365">
        <v>788482.35</v>
      </c>
      <c r="E179" s="365">
        <v>43031.35</v>
      </c>
      <c r="F179" s="119">
        <f t="shared" si="59"/>
        <v>831513.7</v>
      </c>
      <c r="G179" s="43"/>
      <c r="H179" s="119">
        <f t="shared" si="62"/>
        <v>963678.89999999991</v>
      </c>
      <c r="I179" s="377"/>
      <c r="J179" s="124">
        <f t="shared" si="60"/>
        <v>0.13714651218367449</v>
      </c>
      <c r="K179" s="42">
        <f t="shared" si="61"/>
        <v>0.86285348781632554</v>
      </c>
      <c r="L179" s="372">
        <f t="shared" si="63"/>
        <v>0.13714651218367449</v>
      </c>
      <c r="M179" s="372"/>
      <c r="N179" s="406"/>
      <c r="O179" s="44"/>
      <c r="P179" s="80"/>
      <c r="Q179" s="43"/>
      <c r="R179" s="43"/>
      <c r="S179" s="43"/>
      <c r="T179" s="43"/>
      <c r="U179" s="43"/>
      <c r="V179" s="43"/>
      <c r="W179" s="43"/>
      <c r="X179" s="43"/>
      <c r="Y179" s="110"/>
      <c r="Z179" s="110"/>
      <c r="AA179" s="110"/>
      <c r="AB179" s="110"/>
      <c r="AC179" s="110"/>
      <c r="AD179" s="110"/>
      <c r="AE179" s="110"/>
      <c r="AF179" s="110"/>
      <c r="AG179" s="110"/>
      <c r="AH179" s="110"/>
      <c r="AI179" s="110"/>
      <c r="AJ179" s="110"/>
      <c r="AK179" s="110"/>
      <c r="AL179" s="110"/>
      <c r="AM179" s="110"/>
      <c r="AN179" s="110"/>
      <c r="AO179" s="110"/>
      <c r="AP179" s="110"/>
      <c r="AQ179" s="110"/>
      <c r="AR179" s="110"/>
      <c r="AS179" s="110"/>
      <c r="AT179" s="110"/>
      <c r="AU179" s="110"/>
      <c r="AV179" s="110"/>
      <c r="AW179" s="110"/>
      <c r="AX179" s="110"/>
      <c r="AY179" s="110"/>
      <c r="AZ179" s="110"/>
      <c r="BA179" s="110"/>
      <c r="BB179" s="110"/>
      <c r="BC179" s="110"/>
      <c r="BD179" s="110"/>
      <c r="BE179" s="110"/>
      <c r="BF179" s="110"/>
      <c r="BG179" s="110"/>
      <c r="BH179" s="110"/>
      <c r="BI179" s="110"/>
      <c r="BJ179" s="110"/>
      <c r="BK179" s="110"/>
      <c r="BL179" s="110"/>
      <c r="BM179" s="110"/>
      <c r="BN179" s="110"/>
      <c r="BO179" s="110"/>
      <c r="BP179" s="110"/>
      <c r="BQ179" s="110"/>
      <c r="BR179" s="110"/>
      <c r="BS179" s="110"/>
      <c r="BT179" s="110"/>
      <c r="BU179" s="110"/>
      <c r="BV179" s="110"/>
      <c r="BW179" s="110"/>
      <c r="BX179" s="110"/>
      <c r="BY179" s="110"/>
      <c r="BZ179" s="110"/>
      <c r="CA179" s="110"/>
      <c r="CB179" s="110"/>
      <c r="CC179" s="110"/>
      <c r="CD179" s="110"/>
      <c r="CE179" s="110"/>
      <c r="CF179" s="110"/>
    </row>
    <row r="180" spans="1:84" s="45" customFormat="1" x14ac:dyDescent="0.25">
      <c r="A180" t="str">
        <f>Funktional!A179</f>
        <v>Halden-Kenzenau</v>
      </c>
      <c r="B180" t="str">
        <f>Funktional!B179</f>
        <v>KiGa</v>
      </c>
      <c r="C180" s="365">
        <v>71913.2</v>
      </c>
      <c r="D180" s="365">
        <v>440275.55</v>
      </c>
      <c r="E180" s="365">
        <v>43449.55</v>
      </c>
      <c r="F180" s="119">
        <f t="shared" ref="F180:F187" si="64">D180+E180</f>
        <v>483725.1</v>
      </c>
      <c r="G180" s="43"/>
      <c r="H180" s="119">
        <f t="shared" si="62"/>
        <v>555638.29999999993</v>
      </c>
      <c r="I180" s="377"/>
      <c r="J180" s="124">
        <f t="shared" ref="J180:J195" si="65">C180/H180</f>
        <v>0.12942448351742492</v>
      </c>
      <c r="K180" s="42">
        <f t="shared" ref="K180:K187" si="66">F180/H180</f>
        <v>0.87057551648257514</v>
      </c>
      <c r="L180" s="372">
        <f t="shared" si="63"/>
        <v>0.12942448351742492</v>
      </c>
      <c r="M180" s="372"/>
      <c r="N180" s="406"/>
      <c r="O180" s="44"/>
      <c r="P180" s="80"/>
      <c r="Q180" s="43"/>
      <c r="R180" s="43"/>
      <c r="S180" s="43"/>
      <c r="T180" s="43"/>
      <c r="U180" s="43"/>
      <c r="V180" s="43"/>
      <c r="W180" s="43"/>
      <c r="X180" s="43"/>
      <c r="Y180" s="110"/>
      <c r="Z180" s="110"/>
      <c r="AA180" s="110"/>
      <c r="AB180" s="110"/>
      <c r="AC180" s="110"/>
      <c r="AD180" s="110"/>
      <c r="AE180" s="110"/>
      <c r="AF180" s="110"/>
      <c r="AG180" s="110"/>
      <c r="AH180" s="110"/>
      <c r="AI180" s="110"/>
      <c r="AJ180" s="110"/>
      <c r="AK180" s="110"/>
      <c r="AL180" s="110"/>
      <c r="AM180" s="110"/>
      <c r="AN180" s="110"/>
      <c r="AO180" s="110"/>
      <c r="AP180" s="110"/>
      <c r="AQ180" s="110"/>
      <c r="AR180" s="110"/>
      <c r="AS180" s="110"/>
      <c r="AT180" s="110"/>
      <c r="AU180" s="110"/>
      <c r="AV180" s="110"/>
      <c r="AW180" s="110"/>
      <c r="AX180" s="110"/>
      <c r="AY180" s="110"/>
      <c r="AZ180" s="110"/>
      <c r="BA180" s="110"/>
      <c r="BB180" s="110"/>
      <c r="BC180" s="110"/>
      <c r="BD180" s="110"/>
      <c r="BE180" s="110"/>
      <c r="BF180" s="110"/>
      <c r="BG180" s="110"/>
      <c r="BH180" s="110"/>
      <c r="BI180" s="110"/>
      <c r="BJ180" s="110"/>
      <c r="BK180" s="110"/>
      <c r="BL180" s="110"/>
      <c r="BM180" s="110"/>
      <c r="BN180" s="110"/>
      <c r="BO180" s="110"/>
      <c r="BP180" s="110"/>
      <c r="BQ180" s="110"/>
      <c r="BR180" s="110"/>
      <c r="BS180" s="110"/>
      <c r="BT180" s="110"/>
      <c r="BU180" s="110"/>
      <c r="BV180" s="110"/>
      <c r="BW180" s="110"/>
      <c r="BX180" s="110"/>
      <c r="BY180" s="110"/>
      <c r="BZ180" s="110"/>
      <c r="CA180" s="110"/>
      <c r="CB180" s="110"/>
      <c r="CC180" s="110"/>
      <c r="CD180" s="110"/>
      <c r="CE180" s="110"/>
      <c r="CF180" s="110"/>
    </row>
    <row r="181" spans="1:84" s="45" customFormat="1" x14ac:dyDescent="0.25">
      <c r="A181" t="str">
        <f>Funktional!A180</f>
        <v>Hauptwil</v>
      </c>
      <c r="B181" t="str">
        <f>Funktional!B180</f>
        <v>KiGa</v>
      </c>
      <c r="C181" s="365">
        <v>112990.2</v>
      </c>
      <c r="D181" s="365">
        <v>793489.5</v>
      </c>
      <c r="E181" s="365">
        <v>49356.95</v>
      </c>
      <c r="F181" s="119">
        <f t="shared" si="64"/>
        <v>842846.45</v>
      </c>
      <c r="G181" s="43"/>
      <c r="H181" s="119">
        <f t="shared" si="62"/>
        <v>955836.64999999991</v>
      </c>
      <c r="I181" s="377"/>
      <c r="J181" s="124">
        <f t="shared" si="65"/>
        <v>0.11821078423808086</v>
      </c>
      <c r="K181" s="42">
        <f t="shared" si="66"/>
        <v>0.88178921576191915</v>
      </c>
      <c r="L181" s="372">
        <f t="shared" si="63"/>
        <v>0.11821078423808086</v>
      </c>
      <c r="M181" s="372"/>
      <c r="N181" s="406"/>
      <c r="O181" s="44"/>
      <c r="P181" s="80"/>
      <c r="Q181" s="43"/>
      <c r="R181" s="43"/>
      <c r="S181" s="43"/>
      <c r="T181" s="43"/>
      <c r="U181" s="43"/>
      <c r="V181" s="43"/>
      <c r="W181" s="43"/>
      <c r="X181" s="43"/>
      <c r="Y181" s="110"/>
      <c r="Z181" s="110"/>
      <c r="AA181" s="110"/>
      <c r="AB181" s="110"/>
      <c r="AC181" s="110"/>
      <c r="AD181" s="110"/>
      <c r="AE181" s="110"/>
      <c r="AF181" s="110"/>
      <c r="AG181" s="110"/>
      <c r="AH181" s="110"/>
      <c r="AI181" s="110"/>
      <c r="AJ181" s="110"/>
      <c r="AK181" s="110"/>
      <c r="AL181" s="110"/>
      <c r="AM181" s="110"/>
      <c r="AN181" s="110"/>
      <c r="AO181" s="110"/>
      <c r="AP181" s="110"/>
      <c r="AQ181" s="110"/>
      <c r="AR181" s="110"/>
      <c r="AS181" s="110"/>
      <c r="AT181" s="110"/>
      <c r="AU181" s="110"/>
      <c r="AV181" s="110"/>
      <c r="AW181" s="110"/>
      <c r="AX181" s="110"/>
      <c r="AY181" s="110"/>
      <c r="AZ181" s="110"/>
      <c r="BA181" s="110"/>
      <c r="BB181" s="110"/>
      <c r="BC181" s="110"/>
      <c r="BD181" s="110"/>
      <c r="BE181" s="110"/>
      <c r="BF181" s="110"/>
      <c r="BG181" s="110"/>
      <c r="BH181" s="110"/>
      <c r="BI181" s="110"/>
      <c r="BJ181" s="110"/>
      <c r="BK181" s="110"/>
      <c r="BL181" s="110"/>
      <c r="BM181" s="110"/>
      <c r="BN181" s="110"/>
      <c r="BO181" s="110"/>
      <c r="BP181" s="110"/>
      <c r="BQ181" s="110"/>
      <c r="BR181" s="110"/>
      <c r="BS181" s="110"/>
      <c r="BT181" s="110"/>
      <c r="BU181" s="110"/>
      <c r="BV181" s="110"/>
      <c r="BW181" s="110"/>
      <c r="BX181" s="110"/>
      <c r="BY181" s="110"/>
      <c r="BZ181" s="110"/>
      <c r="CA181" s="110"/>
      <c r="CB181" s="110"/>
      <c r="CC181" s="110"/>
      <c r="CD181" s="110"/>
      <c r="CE181" s="110"/>
      <c r="CF181" s="110"/>
    </row>
    <row r="182" spans="1:84" s="45" customFormat="1" x14ac:dyDescent="0.25">
      <c r="A182" t="str">
        <f>Funktional!A181</f>
        <v>Häuslenen-Aawangen</v>
      </c>
      <c r="B182" t="str">
        <f>Funktional!B181</f>
        <v>KiGa</v>
      </c>
      <c r="C182" s="365">
        <v>73392.3</v>
      </c>
      <c r="D182" s="365">
        <v>347515.3</v>
      </c>
      <c r="E182" s="365">
        <v>38738.699999999997</v>
      </c>
      <c r="F182" s="119">
        <f t="shared" si="64"/>
        <v>386254</v>
      </c>
      <c r="G182" s="43"/>
      <c r="H182" s="119">
        <f t="shared" si="62"/>
        <v>459646.3</v>
      </c>
      <c r="I182" s="377"/>
      <c r="J182" s="124">
        <f t="shared" si="65"/>
        <v>0.15967125156886938</v>
      </c>
      <c r="K182" s="42">
        <f t="shared" si="66"/>
        <v>0.8403287484311307</v>
      </c>
      <c r="L182" s="372">
        <f t="shared" si="63"/>
        <v>0.15967125156886938</v>
      </c>
      <c r="M182" s="372"/>
      <c r="N182" s="406"/>
      <c r="O182" s="44"/>
      <c r="P182" s="80"/>
      <c r="Q182" s="43"/>
      <c r="R182" s="43"/>
      <c r="S182" s="43"/>
      <c r="T182" s="43"/>
      <c r="U182" s="43"/>
      <c r="V182" s="43"/>
      <c r="W182" s="43"/>
      <c r="X182" s="43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  <c r="AI182" s="110"/>
      <c r="AJ182" s="110"/>
      <c r="AK182" s="110"/>
      <c r="AL182" s="110"/>
      <c r="AM182" s="110"/>
      <c r="AN182" s="110"/>
      <c r="AO182" s="110"/>
      <c r="AP182" s="110"/>
      <c r="AQ182" s="110"/>
      <c r="AR182" s="110"/>
      <c r="AS182" s="110"/>
      <c r="AT182" s="110"/>
      <c r="AU182" s="110"/>
      <c r="AV182" s="110"/>
      <c r="AW182" s="110"/>
      <c r="AX182" s="110"/>
      <c r="AY182" s="110"/>
      <c r="AZ182" s="110"/>
      <c r="BA182" s="110"/>
      <c r="BB182" s="110"/>
      <c r="BC182" s="110"/>
      <c r="BD182" s="110"/>
      <c r="BE182" s="110"/>
      <c r="BF182" s="110"/>
      <c r="BG182" s="110"/>
      <c r="BH182" s="110"/>
      <c r="BI182" s="110"/>
      <c r="BJ182" s="110"/>
      <c r="BK182" s="110"/>
      <c r="BL182" s="110"/>
      <c r="BM182" s="110"/>
      <c r="BN182" s="110"/>
      <c r="BO182" s="110"/>
      <c r="BP182" s="110"/>
      <c r="BQ182" s="110"/>
      <c r="BR182" s="110"/>
      <c r="BS182" s="110"/>
      <c r="BT182" s="110"/>
      <c r="BU182" s="110"/>
      <c r="BV182" s="110"/>
      <c r="BW182" s="110"/>
      <c r="BX182" s="110"/>
      <c r="BY182" s="110"/>
      <c r="BZ182" s="110"/>
      <c r="CA182" s="110"/>
      <c r="CB182" s="110"/>
      <c r="CC182" s="110"/>
      <c r="CD182" s="110"/>
      <c r="CE182" s="110"/>
      <c r="CF182" s="110"/>
    </row>
    <row r="183" spans="1:84" s="45" customFormat="1" x14ac:dyDescent="0.25">
      <c r="A183" t="str">
        <f>Funktional!A182</f>
        <v>Hefenhofen</v>
      </c>
      <c r="B183" t="str">
        <f>Funktional!B182</f>
        <v>KiGa</v>
      </c>
      <c r="C183" s="365">
        <v>136277.35</v>
      </c>
      <c r="D183" s="365">
        <v>784300</v>
      </c>
      <c r="E183" s="365">
        <v>64487.7</v>
      </c>
      <c r="F183" s="119">
        <f t="shared" si="64"/>
        <v>848787.7</v>
      </c>
      <c r="G183" s="43"/>
      <c r="H183" s="119">
        <f t="shared" si="62"/>
        <v>985065.04999999993</v>
      </c>
      <c r="I183" s="377"/>
      <c r="J183" s="124">
        <f t="shared" si="65"/>
        <v>0.13834350330468026</v>
      </c>
      <c r="K183" s="42">
        <f t="shared" si="66"/>
        <v>0.86165649669531974</v>
      </c>
      <c r="L183" s="372">
        <f t="shared" si="63"/>
        <v>0.13834350330468026</v>
      </c>
      <c r="M183" s="372"/>
      <c r="N183" s="406"/>
      <c r="O183" s="44"/>
      <c r="P183" s="80"/>
      <c r="Q183" s="43"/>
      <c r="R183" s="43"/>
      <c r="S183" s="43"/>
      <c r="T183" s="43"/>
      <c r="U183" s="43"/>
      <c r="V183" s="43"/>
      <c r="W183" s="43"/>
      <c r="X183" s="43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  <c r="AI183" s="110"/>
      <c r="AJ183" s="110"/>
      <c r="AK183" s="110"/>
      <c r="AL183" s="110"/>
      <c r="AM183" s="110"/>
      <c r="AN183" s="110"/>
      <c r="AO183" s="110"/>
      <c r="AP183" s="110"/>
      <c r="AQ183" s="110"/>
      <c r="AR183" s="110"/>
      <c r="AS183" s="110"/>
      <c r="AT183" s="110"/>
      <c r="AU183" s="110"/>
      <c r="AV183" s="110"/>
      <c r="AW183" s="110"/>
      <c r="AX183" s="110"/>
      <c r="AY183" s="110"/>
      <c r="AZ183" s="110"/>
      <c r="BA183" s="110"/>
      <c r="BB183" s="110"/>
      <c r="BC183" s="110"/>
      <c r="BD183" s="110"/>
      <c r="BE183" s="110"/>
      <c r="BF183" s="110"/>
      <c r="BG183" s="110"/>
      <c r="BH183" s="110"/>
      <c r="BI183" s="110"/>
      <c r="BJ183" s="110"/>
      <c r="BK183" s="110"/>
      <c r="BL183" s="110"/>
      <c r="BM183" s="110"/>
      <c r="BN183" s="110"/>
      <c r="BO183" s="110"/>
      <c r="BP183" s="110"/>
      <c r="BQ183" s="110"/>
      <c r="BR183" s="110"/>
      <c r="BS183" s="110"/>
      <c r="BT183" s="110"/>
      <c r="BU183" s="110"/>
      <c r="BV183" s="110"/>
      <c r="BW183" s="110"/>
      <c r="BX183" s="110"/>
      <c r="BY183" s="110"/>
      <c r="BZ183" s="110"/>
      <c r="CA183" s="110"/>
      <c r="CB183" s="110"/>
      <c r="CC183" s="110"/>
      <c r="CD183" s="110"/>
      <c r="CE183" s="110"/>
      <c r="CF183" s="110"/>
    </row>
    <row r="184" spans="1:84" s="45" customFormat="1" x14ac:dyDescent="0.25">
      <c r="A184" t="str">
        <f>Funktional!A183</f>
        <v>Hegi-Winden</v>
      </c>
      <c r="B184" t="str">
        <f>Funktional!B183</f>
        <v>KiGa</v>
      </c>
      <c r="C184" s="365">
        <v>85824.65</v>
      </c>
      <c r="D184" s="365">
        <v>272225.55</v>
      </c>
      <c r="E184" s="365">
        <v>40384.300000000003</v>
      </c>
      <c r="F184" s="119">
        <f t="shared" si="64"/>
        <v>312609.84999999998</v>
      </c>
      <c r="G184" s="43"/>
      <c r="H184" s="119">
        <f t="shared" si="62"/>
        <v>398434.5</v>
      </c>
      <c r="I184" s="377"/>
      <c r="J184" s="124">
        <f t="shared" si="65"/>
        <v>0.21540466500767377</v>
      </c>
      <c r="K184" s="42">
        <f t="shared" si="66"/>
        <v>0.78459533499232614</v>
      </c>
      <c r="L184" s="372">
        <f t="shared" si="63"/>
        <v>0.21540466500767377</v>
      </c>
      <c r="M184" s="372"/>
      <c r="N184" s="406"/>
      <c r="O184" s="44"/>
      <c r="P184" s="80"/>
      <c r="Q184" s="43"/>
      <c r="R184" s="43"/>
      <c r="S184" s="43"/>
      <c r="T184" s="43"/>
      <c r="U184" s="43"/>
      <c r="V184" s="43"/>
      <c r="W184" s="43"/>
      <c r="X184" s="43"/>
      <c r="Y184" s="110"/>
      <c r="Z184" s="110"/>
      <c r="AA184" s="110"/>
      <c r="AB184" s="110"/>
      <c r="AC184" s="110"/>
      <c r="AD184" s="110"/>
      <c r="AE184" s="110"/>
      <c r="AF184" s="110"/>
      <c r="AG184" s="110"/>
      <c r="AH184" s="110"/>
      <c r="AI184" s="110"/>
      <c r="AJ184" s="110"/>
      <c r="AK184" s="110"/>
      <c r="AL184" s="110"/>
      <c r="AM184" s="110"/>
      <c r="AN184" s="110"/>
      <c r="AO184" s="110"/>
      <c r="AP184" s="110"/>
      <c r="AQ184" s="110"/>
      <c r="AR184" s="110"/>
      <c r="AS184" s="110"/>
      <c r="AT184" s="110"/>
      <c r="AU184" s="110"/>
      <c r="AV184" s="110"/>
      <c r="AW184" s="110"/>
      <c r="AX184" s="110"/>
      <c r="AY184" s="110"/>
      <c r="AZ184" s="110"/>
      <c r="BA184" s="110"/>
      <c r="BB184" s="110"/>
      <c r="BC184" s="110"/>
      <c r="BD184" s="110"/>
      <c r="BE184" s="110"/>
      <c r="BF184" s="110"/>
      <c r="BG184" s="110"/>
      <c r="BH184" s="110"/>
      <c r="BI184" s="110"/>
      <c r="BJ184" s="110"/>
      <c r="BK184" s="110"/>
      <c r="BL184" s="110"/>
      <c r="BM184" s="110"/>
      <c r="BN184" s="110"/>
      <c r="BO184" s="110"/>
      <c r="BP184" s="110"/>
      <c r="BQ184" s="110"/>
      <c r="BR184" s="110"/>
      <c r="BS184" s="110"/>
      <c r="BT184" s="110"/>
      <c r="BU184" s="110"/>
      <c r="BV184" s="110"/>
      <c r="BW184" s="110"/>
      <c r="BX184" s="110"/>
      <c r="BY184" s="110"/>
      <c r="BZ184" s="110"/>
      <c r="CA184" s="110"/>
      <c r="CB184" s="110"/>
      <c r="CC184" s="110"/>
      <c r="CD184" s="110"/>
      <c r="CE184" s="110"/>
      <c r="CF184" s="110"/>
    </row>
    <row r="185" spans="1:84" s="45" customFormat="1" x14ac:dyDescent="0.25">
      <c r="A185" t="str">
        <f>Funktional!A184</f>
        <v>Herdern</v>
      </c>
      <c r="B185" t="str">
        <f>Funktional!B184</f>
        <v>KiGa</v>
      </c>
      <c r="C185" s="365">
        <v>69165.399999999994</v>
      </c>
      <c r="D185" s="365">
        <v>370497.45</v>
      </c>
      <c r="E185" s="365">
        <v>34782.550000000003</v>
      </c>
      <c r="F185" s="119">
        <f t="shared" si="64"/>
        <v>405280</v>
      </c>
      <c r="G185" s="43"/>
      <c r="H185" s="119">
        <f t="shared" ref="H185:H200" si="67">C185+F185+I185</f>
        <v>474445.4</v>
      </c>
      <c r="I185" s="377"/>
      <c r="J185" s="124">
        <f t="shared" si="65"/>
        <v>0.14578157992468679</v>
      </c>
      <c r="K185" s="42">
        <f t="shared" si="66"/>
        <v>0.85421842007531312</v>
      </c>
      <c r="L185" s="372">
        <f t="shared" si="63"/>
        <v>0.14578157992468679</v>
      </c>
      <c r="M185" s="372"/>
      <c r="N185" s="406"/>
      <c r="O185" s="44"/>
      <c r="P185" s="80"/>
      <c r="Q185" s="43"/>
      <c r="R185" s="43"/>
      <c r="S185" s="43"/>
      <c r="T185" s="43"/>
      <c r="U185" s="43"/>
      <c r="V185" s="43"/>
      <c r="W185" s="43"/>
      <c r="X185" s="43"/>
      <c r="Y185" s="110"/>
      <c r="Z185" s="110"/>
      <c r="AA185" s="110"/>
      <c r="AB185" s="110"/>
      <c r="AC185" s="110"/>
      <c r="AD185" s="110"/>
      <c r="AE185" s="110"/>
      <c r="AF185" s="110"/>
      <c r="AG185" s="110"/>
      <c r="AH185" s="110"/>
      <c r="AI185" s="110"/>
      <c r="AJ185" s="110"/>
      <c r="AK185" s="110"/>
      <c r="AL185" s="110"/>
      <c r="AM185" s="110"/>
      <c r="AN185" s="110"/>
      <c r="AO185" s="110"/>
      <c r="AP185" s="110"/>
      <c r="AQ185" s="110"/>
      <c r="AR185" s="110"/>
      <c r="AS185" s="110"/>
      <c r="AT185" s="110"/>
      <c r="AU185" s="110"/>
      <c r="AV185" s="110"/>
      <c r="AW185" s="110"/>
      <c r="AX185" s="110"/>
      <c r="AY185" s="110"/>
      <c r="AZ185" s="110"/>
      <c r="BA185" s="110"/>
      <c r="BB185" s="110"/>
      <c r="BC185" s="110"/>
      <c r="BD185" s="110"/>
      <c r="BE185" s="110"/>
      <c r="BF185" s="110"/>
      <c r="BG185" s="110"/>
      <c r="BH185" s="110"/>
      <c r="BI185" s="110"/>
      <c r="BJ185" s="110"/>
      <c r="BK185" s="110"/>
      <c r="BL185" s="110"/>
      <c r="BM185" s="110"/>
      <c r="BN185" s="110"/>
      <c r="BO185" s="110"/>
      <c r="BP185" s="110"/>
      <c r="BQ185" s="110"/>
      <c r="BR185" s="110"/>
      <c r="BS185" s="110"/>
      <c r="BT185" s="110"/>
      <c r="BU185" s="110"/>
      <c r="BV185" s="110"/>
      <c r="BW185" s="110"/>
      <c r="BX185" s="110"/>
      <c r="BY185" s="110"/>
      <c r="BZ185" s="110"/>
      <c r="CA185" s="110"/>
      <c r="CB185" s="110"/>
      <c r="CC185" s="110"/>
      <c r="CD185" s="110"/>
      <c r="CE185" s="110"/>
      <c r="CF185" s="110"/>
    </row>
    <row r="186" spans="1:84" s="45" customFormat="1" x14ac:dyDescent="0.25">
      <c r="A186" t="str">
        <f>Funktional!A185</f>
        <v>Herrenhof-Langrickenbach</v>
      </c>
      <c r="B186" t="str">
        <f>Funktional!B185</f>
        <v>KiGa</v>
      </c>
      <c r="C186" s="365">
        <v>86633.1</v>
      </c>
      <c r="D186" s="365">
        <v>298451.20000000001</v>
      </c>
      <c r="E186" s="365">
        <v>5855.35</v>
      </c>
      <c r="F186" s="119">
        <f t="shared" si="64"/>
        <v>304306.55</v>
      </c>
      <c r="G186" s="43"/>
      <c r="H186" s="119">
        <f t="shared" si="67"/>
        <v>390939.65</v>
      </c>
      <c r="I186" s="377"/>
      <c r="J186" s="124">
        <f t="shared" si="65"/>
        <v>0.22160223451369029</v>
      </c>
      <c r="K186" s="42">
        <f t="shared" si="66"/>
        <v>0.77839776548630968</v>
      </c>
      <c r="L186" s="372">
        <f t="shared" si="63"/>
        <v>0.22160223451369029</v>
      </c>
      <c r="M186" s="372"/>
      <c r="N186" s="406"/>
      <c r="O186" s="44"/>
      <c r="P186" s="80"/>
      <c r="Q186" s="43"/>
      <c r="R186" s="43"/>
      <c r="S186" s="43"/>
      <c r="T186" s="43"/>
      <c r="U186" s="43"/>
      <c r="V186" s="43"/>
      <c r="W186" s="43"/>
      <c r="X186" s="43"/>
      <c r="Y186" s="110"/>
      <c r="Z186" s="110"/>
      <c r="AA186" s="110"/>
      <c r="AB186" s="110"/>
      <c r="AC186" s="110"/>
      <c r="AD186" s="110"/>
      <c r="AE186" s="110"/>
      <c r="AF186" s="110"/>
      <c r="AG186" s="110"/>
      <c r="AH186" s="110"/>
      <c r="AI186" s="110"/>
      <c r="AJ186" s="110"/>
      <c r="AK186" s="110"/>
      <c r="AL186" s="110"/>
      <c r="AM186" s="110"/>
      <c r="AN186" s="110"/>
      <c r="AO186" s="110"/>
      <c r="AP186" s="110"/>
      <c r="AQ186" s="110"/>
      <c r="AR186" s="110"/>
      <c r="AS186" s="110"/>
      <c r="AT186" s="110"/>
      <c r="AU186" s="110"/>
      <c r="AV186" s="110"/>
      <c r="AW186" s="110"/>
      <c r="AX186" s="110"/>
      <c r="AY186" s="110"/>
      <c r="AZ186" s="110"/>
      <c r="BA186" s="110"/>
      <c r="BB186" s="110"/>
      <c r="BC186" s="110"/>
      <c r="BD186" s="110"/>
      <c r="BE186" s="110"/>
      <c r="BF186" s="110"/>
      <c r="BG186" s="110"/>
      <c r="BH186" s="110"/>
      <c r="BI186" s="110"/>
      <c r="BJ186" s="110"/>
      <c r="BK186" s="110"/>
      <c r="BL186" s="110"/>
      <c r="BM186" s="110"/>
      <c r="BN186" s="110"/>
      <c r="BO186" s="110"/>
      <c r="BP186" s="110"/>
      <c r="BQ186" s="110"/>
      <c r="BR186" s="110"/>
      <c r="BS186" s="110"/>
      <c r="BT186" s="110"/>
      <c r="BU186" s="110"/>
      <c r="BV186" s="110"/>
      <c r="BW186" s="110"/>
      <c r="BX186" s="110"/>
      <c r="BY186" s="110"/>
      <c r="BZ186" s="110"/>
      <c r="CA186" s="110"/>
      <c r="CB186" s="110"/>
      <c r="CC186" s="110"/>
      <c r="CD186" s="110"/>
      <c r="CE186" s="110"/>
      <c r="CF186" s="110"/>
    </row>
    <row r="187" spans="1:84" s="45" customFormat="1" x14ac:dyDescent="0.25">
      <c r="A187" t="str">
        <f>Funktional!A186</f>
        <v>Hohentannen</v>
      </c>
      <c r="B187" t="str">
        <f>Funktional!B186</f>
        <v>KiGa</v>
      </c>
      <c r="C187" s="365">
        <v>100606.8</v>
      </c>
      <c r="D187" s="365">
        <v>233671.35</v>
      </c>
      <c r="E187" s="365">
        <v>24988.55</v>
      </c>
      <c r="F187" s="119">
        <f t="shared" si="64"/>
        <v>258659.9</v>
      </c>
      <c r="G187" s="43"/>
      <c r="H187" s="119">
        <f t="shared" si="67"/>
        <v>359266.7</v>
      </c>
      <c r="I187" s="377"/>
      <c r="J187" s="124">
        <f t="shared" si="65"/>
        <v>0.28003374651755925</v>
      </c>
      <c r="K187" s="42">
        <f t="shared" si="66"/>
        <v>0.7199662534824407</v>
      </c>
      <c r="L187" s="372">
        <f t="shared" si="63"/>
        <v>0.28003374651755925</v>
      </c>
      <c r="M187" s="372"/>
      <c r="N187" s="406"/>
      <c r="O187" s="44"/>
      <c r="P187" s="80"/>
      <c r="Q187" s="43"/>
      <c r="R187" s="43"/>
      <c r="S187" s="43"/>
      <c r="T187" s="43"/>
      <c r="U187" s="43"/>
      <c r="V187" s="43"/>
      <c r="W187" s="43"/>
      <c r="X187" s="43"/>
      <c r="Y187" s="110"/>
      <c r="Z187" s="110"/>
      <c r="AA187" s="110"/>
      <c r="AB187" s="110"/>
      <c r="AC187" s="110"/>
      <c r="AD187" s="110"/>
      <c r="AE187" s="110"/>
      <c r="AF187" s="110"/>
      <c r="AG187" s="110"/>
      <c r="AH187" s="110"/>
      <c r="AI187" s="110"/>
      <c r="AJ187" s="110"/>
      <c r="AK187" s="110"/>
      <c r="AL187" s="110"/>
      <c r="AM187" s="110"/>
      <c r="AN187" s="110"/>
      <c r="AO187" s="110"/>
      <c r="AP187" s="110"/>
      <c r="AQ187" s="110"/>
      <c r="AR187" s="110"/>
      <c r="AS187" s="110"/>
      <c r="AT187" s="110"/>
      <c r="AU187" s="110"/>
      <c r="AV187" s="110"/>
      <c r="AW187" s="110"/>
      <c r="AX187" s="110"/>
      <c r="AY187" s="110"/>
      <c r="AZ187" s="110"/>
      <c r="BA187" s="110"/>
      <c r="BB187" s="110"/>
      <c r="BC187" s="110"/>
      <c r="BD187" s="110"/>
      <c r="BE187" s="110"/>
      <c r="BF187" s="110"/>
      <c r="BG187" s="110"/>
      <c r="BH187" s="110"/>
      <c r="BI187" s="110"/>
      <c r="BJ187" s="110"/>
      <c r="BK187" s="110"/>
      <c r="BL187" s="110"/>
      <c r="BM187" s="110"/>
      <c r="BN187" s="110"/>
      <c r="BO187" s="110"/>
      <c r="BP187" s="110"/>
      <c r="BQ187" s="110"/>
      <c r="BR187" s="110"/>
      <c r="BS187" s="110"/>
      <c r="BT187" s="110"/>
      <c r="BU187" s="110"/>
      <c r="BV187" s="110"/>
      <c r="BW187" s="110"/>
      <c r="BX187" s="110"/>
      <c r="BY187" s="110"/>
      <c r="BZ187" s="110"/>
      <c r="CA187" s="110"/>
      <c r="CB187" s="110"/>
      <c r="CC187" s="110"/>
      <c r="CD187" s="110"/>
      <c r="CE187" s="110"/>
      <c r="CF187" s="110"/>
    </row>
    <row r="188" spans="1:84" s="45" customFormat="1" x14ac:dyDescent="0.25">
      <c r="A188" t="str">
        <f>Funktional!A187</f>
        <v>Homburg-Hörstetten</v>
      </c>
      <c r="B188" t="str">
        <f>Funktional!B187</f>
        <v>KiGa</v>
      </c>
      <c r="C188" s="365">
        <v>79995.45</v>
      </c>
      <c r="D188" s="365">
        <v>458965.5</v>
      </c>
      <c r="E188" s="365">
        <v>40614</v>
      </c>
      <c r="F188" s="119">
        <f t="shared" ref="F188:F194" si="68">D188+E188</f>
        <v>499579.5</v>
      </c>
      <c r="G188" s="43"/>
      <c r="H188" s="119">
        <f t="shared" si="67"/>
        <v>579574.94999999995</v>
      </c>
      <c r="I188" s="377"/>
      <c r="J188" s="124">
        <f t="shared" si="65"/>
        <v>0.13802434007888023</v>
      </c>
      <c r="K188" s="42">
        <f t="shared" ref="K188:K194" si="69">F188/H188</f>
        <v>0.8619756599211198</v>
      </c>
      <c r="L188" s="372">
        <f t="shared" si="63"/>
        <v>0.13802434007888023</v>
      </c>
      <c r="M188" s="372"/>
      <c r="N188" s="406"/>
      <c r="O188" s="44"/>
      <c r="P188" s="80"/>
      <c r="Q188" s="43"/>
      <c r="R188" s="43"/>
      <c r="S188" s="43"/>
      <c r="T188" s="43"/>
      <c r="U188" s="43"/>
      <c r="V188" s="43"/>
      <c r="W188" s="43"/>
      <c r="X188" s="43"/>
      <c r="Y188" s="110"/>
      <c r="Z188" s="110"/>
      <c r="AA188" s="110"/>
      <c r="AB188" s="110"/>
      <c r="AC188" s="110"/>
      <c r="AD188" s="110"/>
      <c r="AE188" s="110"/>
      <c r="AF188" s="110"/>
      <c r="AG188" s="110"/>
      <c r="AH188" s="110"/>
      <c r="AI188" s="110"/>
      <c r="AJ188" s="110"/>
      <c r="AK188" s="110"/>
      <c r="AL188" s="110"/>
      <c r="AM188" s="110"/>
      <c r="AN188" s="110"/>
      <c r="AO188" s="110"/>
      <c r="AP188" s="110"/>
      <c r="AQ188" s="110"/>
      <c r="AR188" s="110"/>
      <c r="AS188" s="110"/>
      <c r="AT188" s="110"/>
      <c r="AU188" s="110"/>
      <c r="AV188" s="110"/>
      <c r="AW188" s="110"/>
      <c r="AX188" s="110"/>
      <c r="AY188" s="110"/>
      <c r="AZ188" s="110"/>
      <c r="BA188" s="110"/>
      <c r="BB188" s="110"/>
      <c r="BC188" s="110"/>
      <c r="BD188" s="110"/>
      <c r="BE188" s="110"/>
      <c r="BF188" s="110"/>
      <c r="BG188" s="110"/>
      <c r="BH188" s="110"/>
      <c r="BI188" s="110"/>
      <c r="BJ188" s="110"/>
      <c r="BK188" s="110"/>
      <c r="BL188" s="110"/>
      <c r="BM188" s="110"/>
      <c r="BN188" s="110"/>
      <c r="BO188" s="110"/>
      <c r="BP188" s="110"/>
      <c r="BQ188" s="110"/>
      <c r="BR188" s="110"/>
      <c r="BS188" s="110"/>
      <c r="BT188" s="110"/>
      <c r="BU188" s="110"/>
      <c r="BV188" s="110"/>
      <c r="BW188" s="110"/>
      <c r="BX188" s="110"/>
      <c r="BY188" s="110"/>
      <c r="BZ188" s="110"/>
      <c r="CA188" s="110"/>
      <c r="CB188" s="110"/>
      <c r="CC188" s="110"/>
      <c r="CD188" s="110"/>
      <c r="CE188" s="110"/>
      <c r="CF188" s="110"/>
    </row>
    <row r="189" spans="1:84" s="45" customFormat="1" x14ac:dyDescent="0.25">
      <c r="A189" t="str">
        <f>Funktional!A188</f>
        <v>Hugelshofen-Lippoldswilen</v>
      </c>
      <c r="B189" t="str">
        <f>Funktional!B188</f>
        <v>KiGa</v>
      </c>
      <c r="C189" s="365">
        <v>126742.39999999999</v>
      </c>
      <c r="D189" s="365">
        <v>345205.75</v>
      </c>
      <c r="E189" s="365">
        <v>37354.800000000003</v>
      </c>
      <c r="F189" s="119">
        <f t="shared" si="68"/>
        <v>382560.55</v>
      </c>
      <c r="G189" s="43"/>
      <c r="H189" s="119">
        <f t="shared" si="67"/>
        <v>509302.94999999995</v>
      </c>
      <c r="I189" s="377"/>
      <c r="J189" s="124">
        <f t="shared" si="65"/>
        <v>0.24885463553666831</v>
      </c>
      <c r="K189" s="42">
        <f t="shared" si="69"/>
        <v>0.75114536446333169</v>
      </c>
      <c r="L189" s="372">
        <f t="shared" si="63"/>
        <v>0.24885463553666831</v>
      </c>
      <c r="M189" s="372"/>
      <c r="N189" s="406"/>
      <c r="O189" s="44"/>
      <c r="P189" s="80"/>
      <c r="Q189" s="43"/>
      <c r="R189" s="43"/>
      <c r="S189" s="43"/>
      <c r="T189" s="43"/>
      <c r="U189" s="43"/>
      <c r="V189" s="43"/>
      <c r="W189" s="43"/>
      <c r="X189" s="43"/>
      <c r="Y189" s="110"/>
      <c r="Z189" s="110"/>
      <c r="AA189" s="110"/>
      <c r="AB189" s="110"/>
      <c r="AC189" s="110"/>
      <c r="AD189" s="110"/>
      <c r="AE189" s="110"/>
      <c r="AF189" s="110"/>
      <c r="AG189" s="110"/>
      <c r="AH189" s="110"/>
      <c r="AI189" s="110"/>
      <c r="AJ189" s="110"/>
      <c r="AK189" s="110"/>
      <c r="AL189" s="110"/>
      <c r="AM189" s="110"/>
      <c r="AN189" s="110"/>
      <c r="AO189" s="110"/>
      <c r="AP189" s="110"/>
      <c r="AQ189" s="110"/>
      <c r="AR189" s="110"/>
      <c r="AS189" s="110"/>
      <c r="AT189" s="110"/>
      <c r="AU189" s="110"/>
      <c r="AV189" s="110"/>
      <c r="AW189" s="110"/>
      <c r="AX189" s="110"/>
      <c r="AY189" s="110"/>
      <c r="AZ189" s="110"/>
      <c r="BA189" s="110"/>
      <c r="BB189" s="110"/>
      <c r="BC189" s="110"/>
      <c r="BD189" s="110"/>
      <c r="BE189" s="110"/>
      <c r="BF189" s="110"/>
      <c r="BG189" s="110"/>
      <c r="BH189" s="110"/>
      <c r="BI189" s="110"/>
      <c r="BJ189" s="110"/>
      <c r="BK189" s="110"/>
      <c r="BL189" s="110"/>
      <c r="BM189" s="110"/>
      <c r="BN189" s="110"/>
      <c r="BO189" s="110"/>
      <c r="BP189" s="110"/>
      <c r="BQ189" s="110"/>
      <c r="BR189" s="110"/>
      <c r="BS189" s="110"/>
      <c r="BT189" s="110"/>
      <c r="BU189" s="110"/>
      <c r="BV189" s="110"/>
      <c r="BW189" s="110"/>
      <c r="BX189" s="110"/>
      <c r="BY189" s="110"/>
      <c r="BZ189" s="110"/>
      <c r="CA189" s="110"/>
      <c r="CB189" s="110"/>
      <c r="CC189" s="110"/>
      <c r="CD189" s="110"/>
      <c r="CE189" s="110"/>
      <c r="CF189" s="110"/>
    </row>
    <row r="190" spans="1:84" s="45" customFormat="1" x14ac:dyDescent="0.25">
      <c r="A190" t="str">
        <f>Funktional!A189</f>
        <v>Hüttlingen</v>
      </c>
      <c r="B190" t="str">
        <f>Funktional!B189</f>
        <v>KiGa</v>
      </c>
      <c r="C190" s="365">
        <v>150919.1</v>
      </c>
      <c r="D190" s="365">
        <v>546574.73</v>
      </c>
      <c r="E190" s="365">
        <v>50603.65</v>
      </c>
      <c r="F190" s="119">
        <f t="shared" si="68"/>
        <v>597178.38</v>
      </c>
      <c r="G190" s="43"/>
      <c r="H190" s="119">
        <f t="shared" si="67"/>
        <v>748097.48</v>
      </c>
      <c r="I190" s="377"/>
      <c r="J190" s="124">
        <f t="shared" si="65"/>
        <v>0.20173721210770554</v>
      </c>
      <c r="K190" s="42">
        <f t="shared" si="69"/>
        <v>0.79826278789229455</v>
      </c>
      <c r="L190" s="372">
        <f t="shared" si="63"/>
        <v>0.20173721210770554</v>
      </c>
      <c r="M190" s="372"/>
      <c r="N190" s="406"/>
      <c r="O190" s="44"/>
      <c r="P190" s="80"/>
      <c r="Q190" s="43"/>
      <c r="R190" s="43"/>
      <c r="S190" s="43"/>
      <c r="T190" s="43"/>
      <c r="U190" s="43"/>
      <c r="V190" s="43"/>
      <c r="W190" s="43"/>
      <c r="X190" s="43"/>
      <c r="Y190" s="110"/>
      <c r="Z190" s="110"/>
      <c r="AA190" s="110"/>
      <c r="AB190" s="110"/>
      <c r="AC190" s="110"/>
      <c r="AD190" s="110"/>
      <c r="AE190" s="110"/>
      <c r="AF190" s="110"/>
      <c r="AG190" s="110"/>
      <c r="AH190" s="110"/>
      <c r="AI190" s="110"/>
      <c r="AJ190" s="110"/>
      <c r="AK190" s="110"/>
      <c r="AL190" s="110"/>
      <c r="AM190" s="110"/>
      <c r="AN190" s="110"/>
      <c r="AO190" s="110"/>
      <c r="AP190" s="110"/>
      <c r="AQ190" s="110"/>
      <c r="AR190" s="110"/>
      <c r="AS190" s="110"/>
      <c r="AT190" s="110"/>
      <c r="AU190" s="110"/>
      <c r="AV190" s="110"/>
      <c r="AW190" s="110"/>
      <c r="AX190" s="110"/>
      <c r="AY190" s="110"/>
      <c r="AZ190" s="110"/>
      <c r="BA190" s="110"/>
      <c r="BB190" s="110"/>
      <c r="BC190" s="110"/>
      <c r="BD190" s="110"/>
      <c r="BE190" s="110"/>
      <c r="BF190" s="110"/>
      <c r="BG190" s="110"/>
      <c r="BH190" s="110"/>
      <c r="BI190" s="110"/>
      <c r="BJ190" s="110"/>
      <c r="BK190" s="110"/>
      <c r="BL190" s="110"/>
      <c r="BM190" s="110"/>
      <c r="BN190" s="110"/>
      <c r="BO190" s="110"/>
      <c r="BP190" s="110"/>
      <c r="BQ190" s="110"/>
      <c r="BR190" s="110"/>
      <c r="BS190" s="110"/>
      <c r="BT190" s="110"/>
      <c r="BU190" s="110"/>
      <c r="BV190" s="110"/>
      <c r="BW190" s="110"/>
      <c r="BX190" s="110"/>
      <c r="BY190" s="110"/>
      <c r="BZ190" s="110"/>
      <c r="CA190" s="110"/>
      <c r="CB190" s="110"/>
      <c r="CC190" s="110"/>
      <c r="CD190" s="110"/>
      <c r="CE190" s="110"/>
      <c r="CF190" s="110"/>
    </row>
    <row r="191" spans="1:84" s="45" customFormat="1" x14ac:dyDescent="0.25">
      <c r="A191" t="str">
        <f>Funktional!A190</f>
        <v>Hüttwilen</v>
      </c>
      <c r="B191" t="str">
        <f>Funktional!B190</f>
        <v>KiGa</v>
      </c>
      <c r="C191" s="365">
        <v>69975.350000000006</v>
      </c>
      <c r="D191" s="365">
        <v>495641.9</v>
      </c>
      <c r="E191" s="365">
        <v>52877.7</v>
      </c>
      <c r="F191" s="119">
        <f t="shared" si="68"/>
        <v>548519.6</v>
      </c>
      <c r="G191" s="43"/>
      <c r="H191" s="119">
        <f t="shared" si="67"/>
        <v>618494.94999999995</v>
      </c>
      <c r="I191" s="377"/>
      <c r="J191" s="124">
        <f t="shared" si="65"/>
        <v>0.11313811050518684</v>
      </c>
      <c r="K191" s="42">
        <f t="shared" si="69"/>
        <v>0.88686188949481315</v>
      </c>
      <c r="L191" s="372">
        <f t="shared" si="63"/>
        <v>0.11313811050518684</v>
      </c>
      <c r="M191" s="372"/>
      <c r="N191" s="406"/>
      <c r="O191" s="44"/>
      <c r="P191" s="80"/>
      <c r="Q191" s="43"/>
      <c r="R191" s="43"/>
      <c r="S191" s="43"/>
      <c r="T191" s="43"/>
      <c r="U191" s="43"/>
      <c r="V191" s="43"/>
      <c r="W191" s="43"/>
      <c r="X191" s="43"/>
      <c r="Y191" s="110"/>
      <c r="Z191" s="110"/>
      <c r="AA191" s="110"/>
      <c r="AB191" s="110"/>
      <c r="AC191" s="110"/>
      <c r="AD191" s="110"/>
      <c r="AE191" s="110"/>
      <c r="AF191" s="110"/>
      <c r="AG191" s="110"/>
      <c r="AH191" s="110"/>
      <c r="AI191" s="110"/>
      <c r="AJ191" s="110"/>
      <c r="AK191" s="110"/>
      <c r="AL191" s="110"/>
      <c r="AM191" s="110"/>
      <c r="AN191" s="110"/>
      <c r="AO191" s="110"/>
      <c r="AP191" s="110"/>
      <c r="AQ191" s="110"/>
      <c r="AR191" s="110"/>
      <c r="AS191" s="110"/>
      <c r="AT191" s="110"/>
      <c r="AU191" s="110"/>
      <c r="AV191" s="110"/>
      <c r="AW191" s="110"/>
      <c r="AX191" s="110"/>
      <c r="AY191" s="110"/>
      <c r="AZ191" s="110"/>
      <c r="BA191" s="110"/>
      <c r="BB191" s="110"/>
      <c r="BC191" s="110"/>
      <c r="BD191" s="110"/>
      <c r="BE191" s="110"/>
      <c r="BF191" s="110"/>
      <c r="BG191" s="110"/>
      <c r="BH191" s="110"/>
      <c r="BI191" s="110"/>
      <c r="BJ191" s="110"/>
      <c r="BK191" s="110"/>
      <c r="BL191" s="110"/>
      <c r="BM191" s="110"/>
      <c r="BN191" s="110"/>
      <c r="BO191" s="110"/>
      <c r="BP191" s="110"/>
      <c r="BQ191" s="110"/>
      <c r="BR191" s="110"/>
      <c r="BS191" s="110"/>
      <c r="BT191" s="110"/>
      <c r="BU191" s="110"/>
      <c r="BV191" s="110"/>
      <c r="BW191" s="110"/>
      <c r="BX191" s="110"/>
      <c r="BY191" s="110"/>
      <c r="BZ191" s="110"/>
      <c r="CA191" s="110"/>
      <c r="CB191" s="110"/>
      <c r="CC191" s="110"/>
      <c r="CD191" s="110"/>
      <c r="CE191" s="110"/>
      <c r="CF191" s="110"/>
    </row>
    <row r="192" spans="1:84" s="45" customFormat="1" x14ac:dyDescent="0.25">
      <c r="A192" t="str">
        <f>Funktional!A191</f>
        <v>Illighausen</v>
      </c>
      <c r="B192" t="str">
        <f>Funktional!B191</f>
        <v>KiGa</v>
      </c>
      <c r="C192" s="365">
        <v>0</v>
      </c>
      <c r="D192" s="365">
        <v>220616.69</v>
      </c>
      <c r="E192" s="365">
        <v>25828.95</v>
      </c>
      <c r="F192" s="119">
        <f t="shared" si="68"/>
        <v>246445.64</v>
      </c>
      <c r="G192" s="43"/>
      <c r="H192" s="119">
        <f t="shared" si="67"/>
        <v>246445.64</v>
      </c>
      <c r="I192" s="377"/>
      <c r="J192" s="124">
        <f t="shared" si="65"/>
        <v>0</v>
      </c>
      <c r="K192" s="42">
        <f t="shared" si="69"/>
        <v>1</v>
      </c>
      <c r="L192" s="372">
        <f t="shared" si="63"/>
        <v>0</v>
      </c>
      <c r="M192" s="372"/>
      <c r="N192" s="406"/>
      <c r="O192" s="44"/>
      <c r="P192" s="80"/>
      <c r="Q192" s="43"/>
      <c r="R192" s="43"/>
      <c r="S192" s="43"/>
      <c r="T192" s="43"/>
      <c r="U192" s="43"/>
      <c r="V192" s="43"/>
      <c r="W192" s="43"/>
      <c r="X192" s="43"/>
      <c r="Y192" s="110"/>
      <c r="Z192" s="110"/>
      <c r="AA192" s="110"/>
      <c r="AB192" s="110"/>
      <c r="AC192" s="110"/>
      <c r="AD192" s="110"/>
      <c r="AE192" s="110"/>
      <c r="AF192" s="110"/>
      <c r="AG192" s="110"/>
      <c r="AH192" s="110"/>
      <c r="AI192" s="110"/>
      <c r="AJ192" s="110"/>
      <c r="AK192" s="110"/>
      <c r="AL192" s="110"/>
      <c r="AM192" s="110"/>
      <c r="AN192" s="110"/>
      <c r="AO192" s="110"/>
      <c r="AP192" s="110"/>
      <c r="AQ192" s="110"/>
      <c r="AR192" s="110"/>
      <c r="AS192" s="110"/>
      <c r="AT192" s="110"/>
      <c r="AU192" s="110"/>
      <c r="AV192" s="110"/>
      <c r="AW192" s="110"/>
      <c r="AX192" s="110"/>
      <c r="AY192" s="110"/>
      <c r="AZ192" s="110"/>
      <c r="BA192" s="110"/>
      <c r="BB192" s="110"/>
      <c r="BC192" s="110"/>
      <c r="BD192" s="110"/>
      <c r="BE192" s="110"/>
      <c r="BF192" s="110"/>
      <c r="BG192" s="110"/>
      <c r="BH192" s="110"/>
      <c r="BI192" s="110"/>
      <c r="BJ192" s="110"/>
      <c r="BK192" s="110"/>
      <c r="BL192" s="110"/>
      <c r="BM192" s="110"/>
      <c r="BN192" s="110"/>
      <c r="BO192" s="110"/>
      <c r="BP192" s="110"/>
      <c r="BQ192" s="110"/>
      <c r="BR192" s="110"/>
      <c r="BS192" s="110"/>
      <c r="BT192" s="110"/>
      <c r="BU192" s="110"/>
      <c r="BV192" s="110"/>
      <c r="BW192" s="110"/>
      <c r="BX192" s="110"/>
      <c r="BY192" s="110"/>
      <c r="BZ192" s="110"/>
      <c r="CA192" s="110"/>
      <c r="CB192" s="110"/>
      <c r="CC192" s="110"/>
      <c r="CD192" s="110"/>
      <c r="CE192" s="110"/>
      <c r="CF192" s="110"/>
    </row>
    <row r="193" spans="1:84" s="45" customFormat="1" x14ac:dyDescent="0.25">
      <c r="A193" t="str">
        <f>Funktional!A192</f>
        <v>Istighofen</v>
      </c>
      <c r="B193" t="str">
        <f>Funktional!B192</f>
        <v>KiGa</v>
      </c>
      <c r="C193" s="365">
        <v>112918.9</v>
      </c>
      <c r="D193" s="365">
        <v>399019.6</v>
      </c>
      <c r="E193" s="365">
        <v>55267.9</v>
      </c>
      <c r="F193" s="119">
        <f t="shared" si="68"/>
        <v>454287.5</v>
      </c>
      <c r="G193" s="43"/>
      <c r="H193" s="119">
        <f t="shared" si="67"/>
        <v>567206.40000000002</v>
      </c>
      <c r="I193" s="377"/>
      <c r="J193" s="124">
        <f t="shared" si="65"/>
        <v>0.19907903013788278</v>
      </c>
      <c r="K193" s="42">
        <f t="shared" si="69"/>
        <v>0.80092096986211714</v>
      </c>
      <c r="L193" s="372">
        <f t="shared" si="63"/>
        <v>0.19907903013788278</v>
      </c>
      <c r="M193" s="372"/>
      <c r="N193" s="406"/>
      <c r="O193" s="44"/>
      <c r="P193" s="80"/>
      <c r="Q193" s="43"/>
      <c r="R193" s="43"/>
      <c r="S193" s="43"/>
      <c r="T193" s="43"/>
      <c r="U193" s="43"/>
      <c r="V193" s="43"/>
      <c r="W193" s="43"/>
      <c r="X193" s="43"/>
      <c r="Y193" s="110"/>
      <c r="Z193" s="110"/>
      <c r="AA193" s="110"/>
      <c r="AB193" s="110"/>
      <c r="AC193" s="110"/>
      <c r="AD193" s="110"/>
      <c r="AE193" s="110"/>
      <c r="AF193" s="110"/>
      <c r="AG193" s="110"/>
      <c r="AH193" s="110"/>
      <c r="AI193" s="110"/>
      <c r="AJ193" s="110"/>
      <c r="AK193" s="110"/>
      <c r="AL193" s="110"/>
      <c r="AM193" s="110"/>
      <c r="AN193" s="110"/>
      <c r="AO193" s="110"/>
      <c r="AP193" s="110"/>
      <c r="AQ193" s="110"/>
      <c r="AR193" s="110"/>
      <c r="AS193" s="110"/>
      <c r="AT193" s="110"/>
      <c r="AU193" s="110"/>
      <c r="AV193" s="110"/>
      <c r="AW193" s="110"/>
      <c r="AX193" s="110"/>
      <c r="AY193" s="110"/>
      <c r="AZ193" s="110"/>
      <c r="BA193" s="110"/>
      <c r="BB193" s="110"/>
      <c r="BC193" s="110"/>
      <c r="BD193" s="110"/>
      <c r="BE193" s="110"/>
      <c r="BF193" s="110"/>
      <c r="BG193" s="110"/>
      <c r="BH193" s="110"/>
      <c r="BI193" s="110"/>
      <c r="BJ193" s="110"/>
      <c r="BK193" s="110"/>
      <c r="BL193" s="110"/>
      <c r="BM193" s="110"/>
      <c r="BN193" s="110"/>
      <c r="BO193" s="110"/>
      <c r="BP193" s="110"/>
      <c r="BQ193" s="110"/>
      <c r="BR193" s="110"/>
      <c r="BS193" s="110"/>
      <c r="BT193" s="110"/>
      <c r="BU193" s="110"/>
      <c r="BV193" s="110"/>
      <c r="BW193" s="110"/>
      <c r="BX193" s="110"/>
      <c r="BY193" s="110"/>
      <c r="BZ193" s="110"/>
      <c r="CA193" s="110"/>
      <c r="CB193" s="110"/>
      <c r="CC193" s="110"/>
      <c r="CD193" s="110"/>
      <c r="CE193" s="110"/>
      <c r="CF193" s="110"/>
    </row>
    <row r="194" spans="1:84" s="45" customFormat="1" x14ac:dyDescent="0.25">
      <c r="A194" t="str">
        <f>Funktional!A193</f>
        <v>Kaltenbach</v>
      </c>
      <c r="B194" t="str">
        <f>Funktional!B193</f>
        <v>KiGa</v>
      </c>
      <c r="C194" s="365">
        <v>103646.1</v>
      </c>
      <c r="D194" s="365">
        <v>403630.85</v>
      </c>
      <c r="E194" s="365">
        <v>53239.5</v>
      </c>
      <c r="F194" s="119">
        <f t="shared" si="68"/>
        <v>456870.35</v>
      </c>
      <c r="G194" s="43"/>
      <c r="H194" s="119">
        <f t="shared" si="67"/>
        <v>560516.44999999995</v>
      </c>
      <c r="I194" s="377"/>
      <c r="J194" s="124">
        <f t="shared" si="65"/>
        <v>0.18491178983239479</v>
      </c>
      <c r="K194" s="42">
        <f t="shared" si="69"/>
        <v>0.81508821016760524</v>
      </c>
      <c r="L194" s="372">
        <f t="shared" si="63"/>
        <v>0.18491178983239479</v>
      </c>
      <c r="M194" s="372"/>
      <c r="N194" s="406"/>
      <c r="O194" s="44"/>
      <c r="P194" s="80"/>
      <c r="Q194" s="43"/>
      <c r="R194" s="43"/>
      <c r="S194" s="43"/>
      <c r="T194" s="43"/>
      <c r="U194" s="43"/>
      <c r="V194" s="43"/>
      <c r="W194" s="43"/>
      <c r="X194" s="43"/>
      <c r="Y194" s="110"/>
      <c r="Z194" s="110"/>
      <c r="AA194" s="110"/>
      <c r="AB194" s="110"/>
      <c r="AC194" s="110"/>
      <c r="AD194" s="110"/>
      <c r="AE194" s="110"/>
      <c r="AF194" s="110"/>
      <c r="AG194" s="110"/>
      <c r="AH194" s="110"/>
      <c r="AI194" s="110"/>
      <c r="AJ194" s="110"/>
      <c r="AK194" s="110"/>
      <c r="AL194" s="110"/>
      <c r="AM194" s="110"/>
      <c r="AN194" s="110"/>
      <c r="AO194" s="110"/>
      <c r="AP194" s="110"/>
      <c r="AQ194" s="110"/>
      <c r="AR194" s="110"/>
      <c r="AS194" s="110"/>
      <c r="AT194" s="110"/>
      <c r="AU194" s="110"/>
      <c r="AV194" s="110"/>
      <c r="AW194" s="110"/>
      <c r="AX194" s="110"/>
      <c r="AY194" s="110"/>
      <c r="AZ194" s="110"/>
      <c r="BA194" s="110"/>
      <c r="BB194" s="110"/>
      <c r="BC194" s="110"/>
      <c r="BD194" s="110"/>
      <c r="BE194" s="110"/>
      <c r="BF194" s="110"/>
      <c r="BG194" s="110"/>
      <c r="BH194" s="110"/>
      <c r="BI194" s="110"/>
      <c r="BJ194" s="110"/>
      <c r="BK194" s="110"/>
      <c r="BL194" s="110"/>
      <c r="BM194" s="110"/>
      <c r="BN194" s="110"/>
      <c r="BO194" s="110"/>
      <c r="BP194" s="110"/>
      <c r="BQ194" s="110"/>
      <c r="BR194" s="110"/>
      <c r="BS194" s="110"/>
      <c r="BT194" s="110"/>
      <c r="BU194" s="110"/>
      <c r="BV194" s="110"/>
      <c r="BW194" s="110"/>
      <c r="BX194" s="110"/>
      <c r="BY194" s="110"/>
      <c r="BZ194" s="110"/>
      <c r="CA194" s="110"/>
      <c r="CB194" s="110"/>
      <c r="CC194" s="110"/>
      <c r="CD194" s="110"/>
      <c r="CE194" s="110"/>
      <c r="CF194" s="110"/>
    </row>
    <row r="195" spans="1:84" s="45" customFormat="1" x14ac:dyDescent="0.25">
      <c r="A195" t="str">
        <f>Funktional!A194</f>
        <v>Kesswil</v>
      </c>
      <c r="B195" t="str">
        <f>Funktional!B194</f>
        <v>KiGa</v>
      </c>
      <c r="C195" s="365">
        <v>100149.85</v>
      </c>
      <c r="D195" s="365">
        <v>601152.93000000005</v>
      </c>
      <c r="E195" s="365">
        <v>47045.8</v>
      </c>
      <c r="F195" s="119">
        <f t="shared" ref="F195:F210" si="70">D195+E195</f>
        <v>648198.7300000001</v>
      </c>
      <c r="G195" s="43"/>
      <c r="H195" s="119">
        <f t="shared" si="67"/>
        <v>748348.58000000007</v>
      </c>
      <c r="I195" s="377"/>
      <c r="J195" s="124">
        <f t="shared" si="65"/>
        <v>0.13382780789134388</v>
      </c>
      <c r="K195" s="42">
        <f t="shared" ref="K195:K210" si="71">F195/H195</f>
        <v>0.86617219210865615</v>
      </c>
      <c r="L195" s="372">
        <f t="shared" si="63"/>
        <v>0.13382780789134388</v>
      </c>
      <c r="M195" s="372"/>
      <c r="N195" s="406"/>
      <c r="O195" s="44"/>
      <c r="P195" s="80"/>
      <c r="Q195" s="43"/>
      <c r="R195" s="43"/>
      <c r="S195" s="43"/>
      <c r="T195" s="43"/>
      <c r="U195" s="43"/>
      <c r="V195" s="43"/>
      <c r="W195" s="43"/>
      <c r="X195" s="43"/>
      <c r="Y195" s="110"/>
      <c r="Z195" s="110"/>
      <c r="AA195" s="110"/>
      <c r="AB195" s="110"/>
      <c r="AC195" s="110"/>
      <c r="AD195" s="110"/>
      <c r="AE195" s="110"/>
      <c r="AF195" s="110"/>
      <c r="AG195" s="110"/>
      <c r="AH195" s="110"/>
      <c r="AI195" s="110"/>
      <c r="AJ195" s="110"/>
      <c r="AK195" s="110"/>
      <c r="AL195" s="110"/>
      <c r="AM195" s="110"/>
      <c r="AN195" s="110"/>
      <c r="AO195" s="110"/>
      <c r="AP195" s="110"/>
      <c r="AQ195" s="110"/>
      <c r="AR195" s="110"/>
      <c r="AS195" s="110"/>
      <c r="AT195" s="110"/>
      <c r="AU195" s="110"/>
      <c r="AV195" s="110"/>
      <c r="AW195" s="110"/>
      <c r="AX195" s="110"/>
      <c r="AY195" s="110"/>
      <c r="AZ195" s="110"/>
      <c r="BA195" s="110"/>
      <c r="BB195" s="110"/>
      <c r="BC195" s="110"/>
      <c r="BD195" s="110"/>
      <c r="BE195" s="110"/>
      <c r="BF195" s="110"/>
      <c r="BG195" s="110"/>
      <c r="BH195" s="110"/>
      <c r="BI195" s="110"/>
      <c r="BJ195" s="110"/>
      <c r="BK195" s="110"/>
      <c r="BL195" s="110"/>
      <c r="BM195" s="110"/>
      <c r="BN195" s="110"/>
      <c r="BO195" s="110"/>
      <c r="BP195" s="110"/>
      <c r="BQ195" s="110"/>
      <c r="BR195" s="110"/>
      <c r="BS195" s="110"/>
      <c r="BT195" s="110"/>
      <c r="BU195" s="110"/>
      <c r="BV195" s="110"/>
      <c r="BW195" s="110"/>
      <c r="BX195" s="110"/>
      <c r="BY195" s="110"/>
      <c r="BZ195" s="110"/>
      <c r="CA195" s="110"/>
      <c r="CB195" s="110"/>
      <c r="CC195" s="110"/>
      <c r="CD195" s="110"/>
      <c r="CE195" s="110"/>
      <c r="CF195" s="110"/>
    </row>
    <row r="196" spans="1:84" s="45" customFormat="1" x14ac:dyDescent="0.25">
      <c r="A196" t="str">
        <f>Funktional!A195</f>
        <v>Kreuzlingen</v>
      </c>
      <c r="B196" t="str">
        <f>Funktional!B195</f>
        <v>KiGa</v>
      </c>
      <c r="C196" s="365">
        <v>1407894.6</v>
      </c>
      <c r="D196" s="365">
        <v>7522718.4400000004</v>
      </c>
      <c r="E196" s="365">
        <v>537466.1</v>
      </c>
      <c r="F196" s="119">
        <f t="shared" si="70"/>
        <v>8060184.54</v>
      </c>
      <c r="G196" s="43"/>
      <c r="H196" s="119">
        <f t="shared" si="67"/>
        <v>9468079.1400000006</v>
      </c>
      <c r="I196" s="377"/>
      <c r="J196" s="124">
        <f t="shared" ref="J196:J211" si="72">C196/H196</f>
        <v>0.14869907392852655</v>
      </c>
      <c r="K196" s="42">
        <f t="shared" si="71"/>
        <v>0.85130092607147345</v>
      </c>
      <c r="L196" s="372">
        <f t="shared" si="63"/>
        <v>0.14869907392852655</v>
      </c>
      <c r="M196" s="372"/>
      <c r="N196" s="406"/>
      <c r="O196" s="44"/>
      <c r="P196" s="80"/>
      <c r="Q196" s="43"/>
      <c r="R196" s="43"/>
      <c r="S196" s="43"/>
      <c r="T196" s="43"/>
      <c r="U196" s="43"/>
      <c r="V196" s="43"/>
      <c r="W196" s="43"/>
      <c r="X196" s="43"/>
      <c r="Y196" s="110"/>
      <c r="Z196" s="110"/>
      <c r="AA196" s="110"/>
      <c r="AB196" s="110"/>
      <c r="AC196" s="110"/>
      <c r="AD196" s="110"/>
      <c r="AE196" s="110"/>
      <c r="AF196" s="110"/>
      <c r="AG196" s="110"/>
      <c r="AH196" s="110"/>
      <c r="AI196" s="110"/>
      <c r="AJ196" s="110"/>
      <c r="AK196" s="110"/>
      <c r="AL196" s="110"/>
      <c r="AM196" s="110"/>
      <c r="AN196" s="110"/>
      <c r="AO196" s="110"/>
      <c r="AP196" s="110"/>
      <c r="AQ196" s="110"/>
      <c r="AR196" s="110"/>
      <c r="AS196" s="110"/>
      <c r="AT196" s="110"/>
      <c r="AU196" s="110"/>
      <c r="AV196" s="110"/>
      <c r="AW196" s="110"/>
      <c r="AX196" s="110"/>
      <c r="AY196" s="110"/>
      <c r="AZ196" s="110"/>
      <c r="BA196" s="110"/>
      <c r="BB196" s="110"/>
      <c r="BC196" s="110"/>
      <c r="BD196" s="110"/>
      <c r="BE196" s="110"/>
      <c r="BF196" s="110"/>
      <c r="BG196" s="110"/>
      <c r="BH196" s="110"/>
      <c r="BI196" s="110"/>
      <c r="BJ196" s="110"/>
      <c r="BK196" s="110"/>
      <c r="BL196" s="110"/>
      <c r="BM196" s="110"/>
      <c r="BN196" s="110"/>
      <c r="BO196" s="110"/>
      <c r="BP196" s="110"/>
      <c r="BQ196" s="110"/>
      <c r="BR196" s="110"/>
      <c r="BS196" s="110"/>
      <c r="BT196" s="110"/>
      <c r="BU196" s="110"/>
      <c r="BV196" s="110"/>
      <c r="BW196" s="110"/>
      <c r="BX196" s="110"/>
      <c r="BY196" s="110"/>
      <c r="BZ196" s="110"/>
      <c r="CA196" s="110"/>
      <c r="CB196" s="110"/>
      <c r="CC196" s="110"/>
      <c r="CD196" s="110"/>
      <c r="CE196" s="110"/>
      <c r="CF196" s="110"/>
    </row>
    <row r="197" spans="1:84" s="45" customFormat="1" x14ac:dyDescent="0.25">
      <c r="A197" t="str">
        <f>Funktional!A196</f>
        <v>Landschlacht</v>
      </c>
      <c r="B197" t="str">
        <f>Funktional!B196</f>
        <v>KiGa</v>
      </c>
      <c r="C197" s="365">
        <v>130280.45</v>
      </c>
      <c r="D197" s="365">
        <v>535818.44999999995</v>
      </c>
      <c r="E197" s="365">
        <v>52276.3</v>
      </c>
      <c r="F197" s="119">
        <f t="shared" si="70"/>
        <v>588094.75</v>
      </c>
      <c r="G197" s="43"/>
      <c r="H197" s="119">
        <f t="shared" si="67"/>
        <v>718375.2</v>
      </c>
      <c r="I197" s="377"/>
      <c r="J197" s="124">
        <f t="shared" si="72"/>
        <v>0.18135432570612126</v>
      </c>
      <c r="K197" s="42">
        <f t="shared" si="71"/>
        <v>0.8186456742938788</v>
      </c>
      <c r="L197" s="372">
        <f t="shared" si="63"/>
        <v>0.18135432570612126</v>
      </c>
      <c r="M197" s="372"/>
      <c r="N197" s="406"/>
      <c r="O197" s="44"/>
      <c r="P197" s="80"/>
      <c r="Q197" s="43"/>
      <c r="R197" s="43"/>
      <c r="S197" s="43"/>
      <c r="T197" s="43"/>
      <c r="U197" s="43"/>
      <c r="V197" s="43"/>
      <c r="W197" s="43"/>
      <c r="X197" s="43"/>
      <c r="Y197" s="110"/>
      <c r="Z197" s="110"/>
      <c r="AA197" s="110"/>
      <c r="AB197" s="110"/>
      <c r="AC197" s="110"/>
      <c r="AD197" s="110"/>
      <c r="AE197" s="110"/>
      <c r="AF197" s="110"/>
      <c r="AG197" s="110"/>
      <c r="AH197" s="110"/>
      <c r="AI197" s="110"/>
      <c r="AJ197" s="110"/>
      <c r="AK197" s="110"/>
      <c r="AL197" s="110"/>
      <c r="AM197" s="110"/>
      <c r="AN197" s="110"/>
      <c r="AO197" s="110"/>
      <c r="AP197" s="110"/>
      <c r="AQ197" s="110"/>
      <c r="AR197" s="110"/>
      <c r="AS197" s="110"/>
      <c r="AT197" s="110"/>
      <c r="AU197" s="110"/>
      <c r="AV197" s="110"/>
      <c r="AW197" s="110"/>
      <c r="AX197" s="110"/>
      <c r="AY197" s="110"/>
      <c r="AZ197" s="110"/>
      <c r="BA197" s="110"/>
      <c r="BB197" s="110"/>
      <c r="BC197" s="110"/>
      <c r="BD197" s="110"/>
      <c r="BE197" s="110"/>
      <c r="BF197" s="110"/>
      <c r="BG197" s="110"/>
      <c r="BH197" s="110"/>
      <c r="BI197" s="110"/>
      <c r="BJ197" s="110"/>
      <c r="BK197" s="110"/>
      <c r="BL197" s="110"/>
      <c r="BM197" s="110"/>
      <c r="BN197" s="110"/>
      <c r="BO197" s="110"/>
      <c r="BP197" s="110"/>
      <c r="BQ197" s="110"/>
      <c r="BR197" s="110"/>
      <c r="BS197" s="110"/>
      <c r="BT197" s="110"/>
      <c r="BU197" s="110"/>
      <c r="BV197" s="110"/>
      <c r="BW197" s="110"/>
      <c r="BX197" s="110"/>
      <c r="BY197" s="110"/>
      <c r="BZ197" s="110"/>
      <c r="CA197" s="110"/>
      <c r="CB197" s="110"/>
      <c r="CC197" s="110"/>
      <c r="CD197" s="110"/>
      <c r="CE197" s="110"/>
      <c r="CF197" s="110"/>
    </row>
    <row r="198" spans="1:84" s="45" customFormat="1" x14ac:dyDescent="0.25">
      <c r="A198" t="str">
        <f>Funktional!A197</f>
        <v>Lanterswil</v>
      </c>
      <c r="B198" t="str">
        <f>Funktional!B197</f>
        <v>KiGa</v>
      </c>
      <c r="C198" s="365">
        <v>23305</v>
      </c>
      <c r="D198" s="365">
        <v>179063.7</v>
      </c>
      <c r="E198" s="365">
        <v>12364</v>
      </c>
      <c r="F198" s="119">
        <f t="shared" si="70"/>
        <v>191427.7</v>
      </c>
      <c r="G198" s="43"/>
      <c r="H198" s="119">
        <f t="shared" si="67"/>
        <v>214732.7</v>
      </c>
      <c r="I198" s="377"/>
      <c r="J198" s="124">
        <f t="shared" si="72"/>
        <v>0.10853027973848417</v>
      </c>
      <c r="K198" s="42">
        <f t="shared" si="71"/>
        <v>0.89146972026151583</v>
      </c>
      <c r="L198" s="372">
        <v>0</v>
      </c>
      <c r="M198" s="372"/>
      <c r="N198" s="406"/>
      <c r="O198" s="44"/>
      <c r="P198" s="80"/>
      <c r="Q198" s="43"/>
      <c r="R198" s="43"/>
      <c r="S198" s="43"/>
      <c r="T198" s="43"/>
      <c r="U198" s="43"/>
      <c r="V198" s="43"/>
      <c r="W198" s="43"/>
      <c r="X198" s="43"/>
      <c r="Y198" s="110"/>
      <c r="Z198" s="110"/>
      <c r="AA198" s="110"/>
      <c r="AB198" s="110"/>
      <c r="AC198" s="110"/>
      <c r="AD198" s="110"/>
      <c r="AE198" s="110"/>
      <c r="AF198" s="110"/>
      <c r="AG198" s="110"/>
      <c r="AH198" s="110"/>
      <c r="AI198" s="110"/>
      <c r="AJ198" s="110"/>
      <c r="AK198" s="110"/>
      <c r="AL198" s="110"/>
      <c r="AM198" s="110"/>
      <c r="AN198" s="110"/>
      <c r="AO198" s="110"/>
      <c r="AP198" s="110"/>
      <c r="AQ198" s="110"/>
      <c r="AR198" s="110"/>
      <c r="AS198" s="110"/>
      <c r="AT198" s="110"/>
      <c r="AU198" s="110"/>
      <c r="AV198" s="110"/>
      <c r="AW198" s="110"/>
      <c r="AX198" s="110"/>
      <c r="AY198" s="110"/>
      <c r="AZ198" s="110"/>
      <c r="BA198" s="110"/>
      <c r="BB198" s="110"/>
      <c r="BC198" s="110"/>
      <c r="BD198" s="110"/>
      <c r="BE198" s="110"/>
      <c r="BF198" s="110"/>
      <c r="BG198" s="110"/>
      <c r="BH198" s="110"/>
      <c r="BI198" s="110"/>
      <c r="BJ198" s="110"/>
      <c r="BK198" s="110"/>
      <c r="BL198" s="110"/>
      <c r="BM198" s="110"/>
      <c r="BN198" s="110"/>
      <c r="BO198" s="110"/>
      <c r="BP198" s="110"/>
      <c r="BQ198" s="110"/>
      <c r="BR198" s="110"/>
      <c r="BS198" s="110"/>
      <c r="BT198" s="110"/>
      <c r="BU198" s="110"/>
      <c r="BV198" s="110"/>
      <c r="BW198" s="110"/>
      <c r="BX198" s="110"/>
      <c r="BY198" s="110"/>
      <c r="BZ198" s="110"/>
      <c r="CA198" s="110"/>
      <c r="CB198" s="110"/>
      <c r="CC198" s="110"/>
      <c r="CD198" s="110"/>
      <c r="CE198" s="110"/>
      <c r="CF198" s="110"/>
    </row>
    <row r="199" spans="1:84" s="45" customFormat="1" x14ac:dyDescent="0.25">
      <c r="A199" t="str">
        <f>Funktional!A198</f>
        <v>Leimbach</v>
      </c>
      <c r="B199" t="str">
        <f>Funktional!B198</f>
        <v>KiGa</v>
      </c>
      <c r="C199" s="365">
        <v>62981.15</v>
      </c>
      <c r="D199" s="365">
        <v>372478.55</v>
      </c>
      <c r="E199" s="365">
        <v>39512.050000000003</v>
      </c>
      <c r="F199" s="119">
        <f t="shared" si="70"/>
        <v>411990.6</v>
      </c>
      <c r="G199" s="43"/>
      <c r="H199" s="119">
        <f t="shared" si="67"/>
        <v>474971.75</v>
      </c>
      <c r="I199" s="377"/>
      <c r="J199" s="124">
        <f t="shared" si="72"/>
        <v>0.13259978093433977</v>
      </c>
      <c r="K199" s="42">
        <f t="shared" si="71"/>
        <v>0.86740021906566023</v>
      </c>
      <c r="L199" s="372">
        <f t="shared" si="63"/>
        <v>0.13259978093433977</v>
      </c>
      <c r="M199" s="372"/>
      <c r="N199" s="406"/>
      <c r="O199" s="44"/>
      <c r="P199" s="80"/>
      <c r="Q199" s="43"/>
      <c r="R199" s="43"/>
      <c r="S199" s="43"/>
      <c r="T199" s="43"/>
      <c r="U199" s="43"/>
      <c r="V199" s="43"/>
      <c r="W199" s="43"/>
      <c r="X199" s="43"/>
      <c r="Y199" s="110"/>
      <c r="Z199" s="110"/>
      <c r="AA199" s="110"/>
      <c r="AB199" s="110"/>
      <c r="AC199" s="110"/>
      <c r="AD199" s="110"/>
      <c r="AE199" s="110"/>
      <c r="AF199" s="110"/>
      <c r="AG199" s="110"/>
      <c r="AH199" s="110"/>
      <c r="AI199" s="110"/>
      <c r="AJ199" s="110"/>
      <c r="AK199" s="110"/>
      <c r="AL199" s="110"/>
      <c r="AM199" s="110"/>
      <c r="AN199" s="110"/>
      <c r="AO199" s="110"/>
      <c r="AP199" s="110"/>
      <c r="AQ199" s="110"/>
      <c r="AR199" s="110"/>
      <c r="AS199" s="110"/>
      <c r="AT199" s="110"/>
      <c r="AU199" s="110"/>
      <c r="AV199" s="110"/>
      <c r="AW199" s="110"/>
      <c r="AX199" s="110"/>
      <c r="AY199" s="110"/>
      <c r="AZ199" s="110"/>
      <c r="BA199" s="110"/>
      <c r="BB199" s="110"/>
      <c r="BC199" s="110"/>
      <c r="BD199" s="110"/>
      <c r="BE199" s="110"/>
      <c r="BF199" s="110"/>
      <c r="BG199" s="110"/>
      <c r="BH199" s="110"/>
      <c r="BI199" s="110"/>
      <c r="BJ199" s="110"/>
      <c r="BK199" s="110"/>
      <c r="BL199" s="110"/>
      <c r="BM199" s="110"/>
      <c r="BN199" s="110"/>
      <c r="BO199" s="110"/>
      <c r="BP199" s="110"/>
      <c r="BQ199" s="110"/>
      <c r="BR199" s="110"/>
      <c r="BS199" s="110"/>
      <c r="BT199" s="110"/>
      <c r="BU199" s="110"/>
      <c r="BV199" s="110"/>
      <c r="BW199" s="110"/>
      <c r="BX199" s="110"/>
      <c r="BY199" s="110"/>
      <c r="BZ199" s="110"/>
      <c r="CA199" s="110"/>
      <c r="CB199" s="110"/>
      <c r="CC199" s="110"/>
      <c r="CD199" s="110"/>
      <c r="CE199" s="110"/>
      <c r="CF199" s="110"/>
    </row>
    <row r="200" spans="1:84" s="45" customFormat="1" x14ac:dyDescent="0.25">
      <c r="A200" t="str">
        <f>Funktional!A199</f>
        <v>Lommis</v>
      </c>
      <c r="B200" t="str">
        <f>Funktional!B199</f>
        <v>KiGa</v>
      </c>
      <c r="C200" s="365">
        <v>155340.20000000001</v>
      </c>
      <c r="D200" s="365">
        <v>590769.69999999995</v>
      </c>
      <c r="E200" s="365">
        <v>78369.95</v>
      </c>
      <c r="F200" s="119">
        <f t="shared" si="70"/>
        <v>669139.64999999991</v>
      </c>
      <c r="G200" s="43"/>
      <c r="H200" s="119">
        <f t="shared" si="67"/>
        <v>824479.84999999986</v>
      </c>
      <c r="I200" s="377"/>
      <c r="J200" s="124">
        <f t="shared" si="72"/>
        <v>0.18840994112833689</v>
      </c>
      <c r="K200" s="42">
        <f t="shared" si="71"/>
        <v>0.81159005887166313</v>
      </c>
      <c r="L200" s="372">
        <f t="shared" ref="L200:L216" si="73">J200</f>
        <v>0.18840994112833689</v>
      </c>
      <c r="M200" s="372"/>
      <c r="N200" s="406"/>
      <c r="O200" s="44"/>
      <c r="P200" s="80"/>
      <c r="Q200" s="43"/>
      <c r="R200" s="43"/>
      <c r="S200" s="43"/>
      <c r="T200" s="43"/>
      <c r="U200" s="43"/>
      <c r="V200" s="43"/>
      <c r="W200" s="43"/>
      <c r="X200" s="43"/>
      <c r="Y200" s="110"/>
      <c r="Z200" s="110"/>
      <c r="AA200" s="110"/>
      <c r="AB200" s="110"/>
      <c r="AC200" s="110"/>
      <c r="AD200" s="110"/>
      <c r="AE200" s="110"/>
      <c r="AF200" s="110"/>
      <c r="AG200" s="110"/>
      <c r="AH200" s="110"/>
      <c r="AI200" s="110"/>
      <c r="AJ200" s="110"/>
      <c r="AK200" s="110"/>
      <c r="AL200" s="110"/>
      <c r="AM200" s="110"/>
      <c r="AN200" s="110"/>
      <c r="AO200" s="110"/>
      <c r="AP200" s="110"/>
      <c r="AQ200" s="110"/>
      <c r="AR200" s="110"/>
      <c r="AS200" s="110"/>
      <c r="AT200" s="110"/>
      <c r="AU200" s="110"/>
      <c r="AV200" s="110"/>
      <c r="AW200" s="110"/>
      <c r="AX200" s="110"/>
      <c r="AY200" s="110"/>
      <c r="AZ200" s="110"/>
      <c r="BA200" s="110"/>
      <c r="BB200" s="110"/>
      <c r="BC200" s="110"/>
      <c r="BD200" s="110"/>
      <c r="BE200" s="110"/>
      <c r="BF200" s="110"/>
      <c r="BG200" s="110"/>
      <c r="BH200" s="110"/>
      <c r="BI200" s="110"/>
      <c r="BJ200" s="110"/>
      <c r="BK200" s="110"/>
      <c r="BL200" s="110"/>
      <c r="BM200" s="110"/>
      <c r="BN200" s="110"/>
      <c r="BO200" s="110"/>
      <c r="BP200" s="110"/>
      <c r="BQ200" s="110"/>
      <c r="BR200" s="110"/>
      <c r="BS200" s="110"/>
      <c r="BT200" s="110"/>
      <c r="BU200" s="110"/>
      <c r="BV200" s="110"/>
      <c r="BW200" s="110"/>
      <c r="BX200" s="110"/>
      <c r="BY200" s="110"/>
      <c r="BZ200" s="110"/>
      <c r="CA200" s="110"/>
      <c r="CB200" s="110"/>
      <c r="CC200" s="110"/>
      <c r="CD200" s="110"/>
      <c r="CE200" s="110"/>
      <c r="CF200" s="110"/>
    </row>
    <row r="201" spans="1:84" s="45" customFormat="1" x14ac:dyDescent="0.25">
      <c r="A201" t="str">
        <f>Funktional!A200</f>
        <v>Mammern</v>
      </c>
      <c r="B201" t="str">
        <f>Funktional!B200</f>
        <v>KiGa</v>
      </c>
      <c r="C201" s="365">
        <v>76585.25</v>
      </c>
      <c r="D201" s="365">
        <v>317564.7</v>
      </c>
      <c r="E201" s="365">
        <v>29655.85</v>
      </c>
      <c r="F201" s="119">
        <f t="shared" si="70"/>
        <v>347220.55</v>
      </c>
      <c r="G201" s="43"/>
      <c r="H201" s="119">
        <f t="shared" ref="H201:H216" si="74">C201+F201+I201</f>
        <v>423805.8</v>
      </c>
      <c r="I201" s="377"/>
      <c r="J201" s="124">
        <f t="shared" si="72"/>
        <v>0.18070835745994981</v>
      </c>
      <c r="K201" s="42">
        <f t="shared" si="71"/>
        <v>0.81929164254005016</v>
      </c>
      <c r="L201" s="372">
        <f t="shared" si="73"/>
        <v>0.18070835745994981</v>
      </c>
      <c r="M201" s="372"/>
      <c r="N201" s="406"/>
      <c r="O201" s="44"/>
      <c r="P201" s="80"/>
      <c r="Q201" s="43"/>
      <c r="R201" s="43"/>
      <c r="S201" s="43"/>
      <c r="T201" s="43"/>
      <c r="U201" s="43"/>
      <c r="V201" s="43"/>
      <c r="W201" s="43"/>
      <c r="X201" s="43"/>
      <c r="Y201" s="110"/>
      <c r="Z201" s="110"/>
      <c r="AA201" s="110"/>
      <c r="AB201" s="110"/>
      <c r="AC201" s="110"/>
      <c r="AD201" s="110"/>
      <c r="AE201" s="110"/>
      <c r="AF201" s="110"/>
      <c r="AG201" s="110"/>
      <c r="AH201" s="110"/>
      <c r="AI201" s="110"/>
      <c r="AJ201" s="110"/>
      <c r="AK201" s="110"/>
      <c r="AL201" s="110"/>
      <c r="AM201" s="110"/>
      <c r="AN201" s="110"/>
      <c r="AO201" s="110"/>
      <c r="AP201" s="110"/>
      <c r="AQ201" s="110"/>
      <c r="AR201" s="110"/>
      <c r="AS201" s="110"/>
      <c r="AT201" s="110"/>
      <c r="AU201" s="110"/>
      <c r="AV201" s="110"/>
      <c r="AW201" s="110"/>
      <c r="AX201" s="110"/>
      <c r="AY201" s="110"/>
      <c r="AZ201" s="110"/>
      <c r="BA201" s="110"/>
      <c r="BB201" s="110"/>
      <c r="BC201" s="110"/>
      <c r="BD201" s="110"/>
      <c r="BE201" s="110"/>
      <c r="BF201" s="110"/>
      <c r="BG201" s="110"/>
      <c r="BH201" s="110"/>
      <c r="BI201" s="110"/>
      <c r="BJ201" s="110"/>
      <c r="BK201" s="110"/>
      <c r="BL201" s="110"/>
      <c r="BM201" s="110"/>
      <c r="BN201" s="110"/>
      <c r="BO201" s="110"/>
      <c r="BP201" s="110"/>
      <c r="BQ201" s="110"/>
      <c r="BR201" s="110"/>
      <c r="BS201" s="110"/>
      <c r="BT201" s="110"/>
      <c r="BU201" s="110"/>
      <c r="BV201" s="110"/>
      <c r="BW201" s="110"/>
      <c r="BX201" s="110"/>
      <c r="BY201" s="110"/>
      <c r="BZ201" s="110"/>
      <c r="CA201" s="110"/>
      <c r="CB201" s="110"/>
      <c r="CC201" s="110"/>
      <c r="CD201" s="110"/>
      <c r="CE201" s="110"/>
      <c r="CF201" s="110"/>
    </row>
    <row r="202" spans="1:84" s="45" customFormat="1" x14ac:dyDescent="0.25">
      <c r="A202" t="str">
        <f>Funktional!A201</f>
        <v>Märstetten</v>
      </c>
      <c r="B202" t="str">
        <f>Funktional!B201</f>
        <v>KiGa</v>
      </c>
      <c r="C202" s="365">
        <v>160135.4</v>
      </c>
      <c r="D202" s="365">
        <v>1218676.8</v>
      </c>
      <c r="E202" s="365">
        <v>84098.25</v>
      </c>
      <c r="F202" s="119">
        <f t="shared" si="70"/>
        <v>1302775.05</v>
      </c>
      <c r="G202" s="43"/>
      <c r="H202" s="119">
        <f t="shared" si="74"/>
        <v>1462910.45</v>
      </c>
      <c r="I202" s="377"/>
      <c r="J202" s="124">
        <f t="shared" si="72"/>
        <v>0.10946356969423521</v>
      </c>
      <c r="K202" s="42">
        <f t="shared" si="71"/>
        <v>0.89053643030576479</v>
      </c>
      <c r="L202" s="372">
        <f t="shared" si="73"/>
        <v>0.10946356969423521</v>
      </c>
      <c r="M202" s="372"/>
      <c r="N202" s="406"/>
      <c r="O202" s="44"/>
      <c r="P202" s="80"/>
      <c r="Q202" s="43"/>
      <c r="R202" s="43"/>
      <c r="S202" s="43"/>
      <c r="T202" s="43"/>
      <c r="U202" s="43"/>
      <c r="V202" s="43"/>
      <c r="W202" s="43"/>
      <c r="X202" s="43"/>
      <c r="Y202" s="110"/>
      <c r="Z202" s="110"/>
      <c r="AA202" s="110"/>
      <c r="AB202" s="110"/>
      <c r="AC202" s="110"/>
      <c r="AD202" s="110"/>
      <c r="AE202" s="110"/>
      <c r="AF202" s="110"/>
      <c r="AG202" s="110"/>
      <c r="AH202" s="110"/>
      <c r="AI202" s="110"/>
      <c r="AJ202" s="110"/>
      <c r="AK202" s="110"/>
      <c r="AL202" s="110"/>
      <c r="AM202" s="110"/>
      <c r="AN202" s="110"/>
      <c r="AO202" s="110"/>
      <c r="AP202" s="110"/>
      <c r="AQ202" s="110"/>
      <c r="AR202" s="110"/>
      <c r="AS202" s="110"/>
      <c r="AT202" s="110"/>
      <c r="AU202" s="110"/>
      <c r="AV202" s="110"/>
      <c r="AW202" s="110"/>
      <c r="AX202" s="110"/>
      <c r="AY202" s="110"/>
      <c r="AZ202" s="110"/>
      <c r="BA202" s="110"/>
      <c r="BB202" s="110"/>
      <c r="BC202" s="110"/>
      <c r="BD202" s="110"/>
      <c r="BE202" s="110"/>
      <c r="BF202" s="110"/>
      <c r="BG202" s="110"/>
      <c r="BH202" s="110"/>
      <c r="BI202" s="110"/>
      <c r="BJ202" s="110"/>
      <c r="BK202" s="110"/>
      <c r="BL202" s="110"/>
      <c r="BM202" s="110"/>
      <c r="BN202" s="110"/>
      <c r="BO202" s="110"/>
      <c r="BP202" s="110"/>
      <c r="BQ202" s="110"/>
      <c r="BR202" s="110"/>
      <c r="BS202" s="110"/>
      <c r="BT202" s="110"/>
      <c r="BU202" s="110"/>
      <c r="BV202" s="110"/>
      <c r="BW202" s="110"/>
      <c r="BX202" s="110"/>
      <c r="BY202" s="110"/>
      <c r="BZ202" s="110"/>
      <c r="CA202" s="110"/>
      <c r="CB202" s="110"/>
      <c r="CC202" s="110"/>
      <c r="CD202" s="110"/>
      <c r="CE202" s="110"/>
      <c r="CF202" s="110"/>
    </row>
    <row r="203" spans="1:84" s="45" customFormat="1" x14ac:dyDescent="0.25">
      <c r="A203" t="str">
        <f>Funktional!A202</f>
        <v>Märwil</v>
      </c>
      <c r="B203" t="str">
        <f>Funktional!B202</f>
        <v>KiGa</v>
      </c>
      <c r="C203" s="365">
        <v>207482.6</v>
      </c>
      <c r="D203" s="365">
        <v>469068.15</v>
      </c>
      <c r="E203" s="365">
        <v>60362.7</v>
      </c>
      <c r="F203" s="119">
        <f t="shared" si="70"/>
        <v>529430.85</v>
      </c>
      <c r="G203" s="43"/>
      <c r="H203" s="119">
        <f t="shared" si="74"/>
        <v>736913.45</v>
      </c>
      <c r="I203" s="377"/>
      <c r="J203" s="124">
        <f t="shared" si="72"/>
        <v>0.28155626688588736</v>
      </c>
      <c r="K203" s="42">
        <f t="shared" si="71"/>
        <v>0.71844373311411269</v>
      </c>
      <c r="L203" s="372">
        <f t="shared" si="73"/>
        <v>0.28155626688588736</v>
      </c>
      <c r="M203" s="372"/>
      <c r="N203" s="406"/>
      <c r="O203" s="44"/>
      <c r="P203" s="80"/>
      <c r="Q203" s="43"/>
      <c r="R203" s="43"/>
      <c r="S203" s="43"/>
      <c r="T203" s="43"/>
      <c r="U203" s="43"/>
      <c r="V203" s="43"/>
      <c r="W203" s="43"/>
      <c r="X203" s="43"/>
      <c r="Y203" s="110"/>
      <c r="Z203" s="110"/>
      <c r="AA203" s="110"/>
      <c r="AB203" s="110"/>
      <c r="AC203" s="110"/>
      <c r="AD203" s="110"/>
      <c r="AE203" s="110"/>
      <c r="AF203" s="110"/>
      <c r="AG203" s="110"/>
      <c r="AH203" s="110"/>
      <c r="AI203" s="110"/>
      <c r="AJ203" s="110"/>
      <c r="AK203" s="110"/>
      <c r="AL203" s="110"/>
      <c r="AM203" s="110"/>
      <c r="AN203" s="110"/>
      <c r="AO203" s="110"/>
      <c r="AP203" s="110"/>
      <c r="AQ203" s="110"/>
      <c r="AR203" s="110"/>
      <c r="AS203" s="110"/>
      <c r="AT203" s="110"/>
      <c r="AU203" s="110"/>
      <c r="AV203" s="110"/>
      <c r="AW203" s="110"/>
      <c r="AX203" s="110"/>
      <c r="AY203" s="110"/>
      <c r="AZ203" s="110"/>
      <c r="BA203" s="110"/>
      <c r="BB203" s="110"/>
      <c r="BC203" s="110"/>
      <c r="BD203" s="110"/>
      <c r="BE203" s="110"/>
      <c r="BF203" s="110"/>
      <c r="BG203" s="110"/>
      <c r="BH203" s="110"/>
      <c r="BI203" s="110"/>
      <c r="BJ203" s="110"/>
      <c r="BK203" s="110"/>
      <c r="BL203" s="110"/>
      <c r="BM203" s="110"/>
      <c r="BN203" s="110"/>
      <c r="BO203" s="110"/>
      <c r="BP203" s="110"/>
      <c r="BQ203" s="110"/>
      <c r="BR203" s="110"/>
      <c r="BS203" s="110"/>
      <c r="BT203" s="110"/>
      <c r="BU203" s="110"/>
      <c r="BV203" s="110"/>
      <c r="BW203" s="110"/>
      <c r="BX203" s="110"/>
      <c r="BY203" s="110"/>
      <c r="BZ203" s="110"/>
      <c r="CA203" s="110"/>
      <c r="CB203" s="110"/>
      <c r="CC203" s="110"/>
      <c r="CD203" s="110"/>
      <c r="CE203" s="110"/>
      <c r="CF203" s="110"/>
    </row>
    <row r="204" spans="1:84" s="45" customFormat="1" x14ac:dyDescent="0.25">
      <c r="A204" t="str">
        <f>Funktional!A203</f>
        <v>Mattwil-Birwinken-Happerswil</v>
      </c>
      <c r="B204" t="str">
        <f>Funktional!B203</f>
        <v>KiGa</v>
      </c>
      <c r="C204" s="365">
        <v>68657.100000000006</v>
      </c>
      <c r="D204" s="365">
        <v>509295.1</v>
      </c>
      <c r="E204" s="365">
        <v>50641.9</v>
      </c>
      <c r="F204" s="119">
        <f t="shared" si="70"/>
        <v>559937</v>
      </c>
      <c r="G204" s="43"/>
      <c r="H204" s="119">
        <f t="shared" si="74"/>
        <v>628594.1</v>
      </c>
      <c r="I204" s="377"/>
      <c r="J204" s="124">
        <f t="shared" si="72"/>
        <v>0.10922326506087157</v>
      </c>
      <c r="K204" s="42">
        <f t="shared" si="71"/>
        <v>0.89077673493912846</v>
      </c>
      <c r="L204" s="372">
        <f t="shared" si="73"/>
        <v>0.10922326506087157</v>
      </c>
      <c r="M204" s="372"/>
      <c r="N204" s="406"/>
      <c r="O204" s="44"/>
      <c r="P204" s="80"/>
      <c r="Q204" s="43"/>
      <c r="R204" s="43"/>
      <c r="S204" s="43"/>
      <c r="T204" s="43"/>
      <c r="U204" s="43"/>
      <c r="V204" s="43"/>
      <c r="W204" s="43"/>
      <c r="X204" s="43"/>
      <c r="Y204" s="110"/>
      <c r="Z204" s="110"/>
      <c r="AA204" s="110"/>
      <c r="AB204" s="110"/>
      <c r="AC204" s="110"/>
      <c r="AD204" s="110"/>
      <c r="AE204" s="110"/>
      <c r="AF204" s="110"/>
      <c r="AG204" s="110"/>
      <c r="AH204" s="110"/>
      <c r="AI204" s="110"/>
      <c r="AJ204" s="110"/>
      <c r="AK204" s="110"/>
      <c r="AL204" s="110"/>
      <c r="AM204" s="110"/>
      <c r="AN204" s="110"/>
      <c r="AO204" s="110"/>
      <c r="AP204" s="110"/>
      <c r="AQ204" s="110"/>
      <c r="AR204" s="110"/>
      <c r="AS204" s="110"/>
      <c r="AT204" s="110"/>
      <c r="AU204" s="110"/>
      <c r="AV204" s="110"/>
      <c r="AW204" s="110"/>
      <c r="AX204" s="110"/>
      <c r="AY204" s="110"/>
      <c r="AZ204" s="110"/>
      <c r="BA204" s="110"/>
      <c r="BB204" s="110"/>
      <c r="BC204" s="110"/>
      <c r="BD204" s="110"/>
      <c r="BE204" s="110"/>
      <c r="BF204" s="110"/>
      <c r="BG204" s="110"/>
      <c r="BH204" s="110"/>
      <c r="BI204" s="110"/>
      <c r="BJ204" s="110"/>
      <c r="BK204" s="110"/>
      <c r="BL204" s="110"/>
      <c r="BM204" s="110"/>
      <c r="BN204" s="110"/>
      <c r="BO204" s="110"/>
      <c r="BP204" s="110"/>
      <c r="BQ204" s="110"/>
      <c r="BR204" s="110"/>
      <c r="BS204" s="110"/>
      <c r="BT204" s="110"/>
      <c r="BU204" s="110"/>
      <c r="BV204" s="110"/>
      <c r="BW204" s="110"/>
      <c r="BX204" s="110"/>
      <c r="BY204" s="110"/>
      <c r="BZ204" s="110"/>
      <c r="CA204" s="110"/>
      <c r="CB204" s="110"/>
      <c r="CC204" s="110"/>
      <c r="CD204" s="110"/>
      <c r="CE204" s="110"/>
      <c r="CF204" s="110"/>
    </row>
    <row r="205" spans="1:84" s="45" customFormat="1" x14ac:dyDescent="0.25">
      <c r="A205" t="str">
        <f>Funktional!A204</f>
        <v>Matzingen</v>
      </c>
      <c r="B205" t="str">
        <f>Funktional!B204</f>
        <v>KiGa</v>
      </c>
      <c r="C205" s="365">
        <v>401890.5</v>
      </c>
      <c r="D205" s="365">
        <v>1350122.3</v>
      </c>
      <c r="E205" s="365">
        <v>119448.75</v>
      </c>
      <c r="F205" s="119">
        <f t="shared" si="70"/>
        <v>1469571.05</v>
      </c>
      <c r="G205" s="43"/>
      <c r="H205" s="119">
        <f t="shared" si="74"/>
        <v>1871461.55</v>
      </c>
      <c r="I205" s="377"/>
      <c r="J205" s="124">
        <f t="shared" si="72"/>
        <v>0.21474686455620742</v>
      </c>
      <c r="K205" s="42">
        <f t="shared" si="71"/>
        <v>0.7852531354437926</v>
      </c>
      <c r="L205" s="372">
        <f t="shared" si="73"/>
        <v>0.21474686455620742</v>
      </c>
      <c r="M205" s="372"/>
      <c r="N205" s="406"/>
      <c r="O205" s="44"/>
      <c r="P205" s="80"/>
      <c r="Q205" s="43"/>
      <c r="R205" s="43"/>
      <c r="S205" s="43"/>
      <c r="T205" s="43"/>
      <c r="U205" s="43"/>
      <c r="V205" s="43"/>
      <c r="W205" s="43"/>
      <c r="X205" s="43"/>
      <c r="Y205" s="110"/>
      <c r="Z205" s="110"/>
      <c r="AA205" s="110"/>
      <c r="AB205" s="110"/>
      <c r="AC205" s="110"/>
      <c r="AD205" s="110"/>
      <c r="AE205" s="110"/>
      <c r="AF205" s="110"/>
      <c r="AG205" s="110"/>
      <c r="AH205" s="110"/>
      <c r="AI205" s="110"/>
      <c r="AJ205" s="110"/>
      <c r="AK205" s="110"/>
      <c r="AL205" s="110"/>
      <c r="AM205" s="110"/>
      <c r="AN205" s="110"/>
      <c r="AO205" s="110"/>
      <c r="AP205" s="110"/>
      <c r="AQ205" s="110"/>
      <c r="AR205" s="110"/>
      <c r="AS205" s="110"/>
      <c r="AT205" s="110"/>
      <c r="AU205" s="110"/>
      <c r="AV205" s="110"/>
      <c r="AW205" s="110"/>
      <c r="AX205" s="110"/>
      <c r="AY205" s="110"/>
      <c r="AZ205" s="110"/>
      <c r="BA205" s="110"/>
      <c r="BB205" s="110"/>
      <c r="BC205" s="110"/>
      <c r="BD205" s="110"/>
      <c r="BE205" s="110"/>
      <c r="BF205" s="110"/>
      <c r="BG205" s="110"/>
      <c r="BH205" s="110"/>
      <c r="BI205" s="110"/>
      <c r="BJ205" s="110"/>
      <c r="BK205" s="110"/>
      <c r="BL205" s="110"/>
      <c r="BM205" s="110"/>
      <c r="BN205" s="110"/>
      <c r="BO205" s="110"/>
      <c r="BP205" s="110"/>
      <c r="BQ205" s="110"/>
      <c r="BR205" s="110"/>
      <c r="BS205" s="110"/>
      <c r="BT205" s="110"/>
      <c r="BU205" s="110"/>
      <c r="BV205" s="110"/>
      <c r="BW205" s="110"/>
      <c r="BX205" s="110"/>
      <c r="BY205" s="110"/>
      <c r="BZ205" s="110"/>
      <c r="CA205" s="110"/>
      <c r="CB205" s="110"/>
      <c r="CC205" s="110"/>
      <c r="CD205" s="110"/>
      <c r="CE205" s="110"/>
      <c r="CF205" s="110"/>
    </row>
    <row r="206" spans="1:84" s="45" customFormat="1" x14ac:dyDescent="0.25">
      <c r="A206" t="str">
        <f>Funktional!A205</f>
        <v>Mauren</v>
      </c>
      <c r="B206" t="str">
        <f>Funktional!B205</f>
        <v>KiGa</v>
      </c>
      <c r="C206" s="365">
        <v>66797.600000000006</v>
      </c>
      <c r="D206" s="365">
        <v>388157.9</v>
      </c>
      <c r="E206" s="365">
        <v>50737.65</v>
      </c>
      <c r="F206" s="119">
        <f t="shared" si="70"/>
        <v>438895.55000000005</v>
      </c>
      <c r="G206" s="43"/>
      <c r="H206" s="119">
        <f t="shared" si="74"/>
        <v>505693.15</v>
      </c>
      <c r="I206" s="377"/>
      <c r="J206" s="124">
        <f t="shared" si="72"/>
        <v>0.1320911703075274</v>
      </c>
      <c r="K206" s="42">
        <f t="shared" si="71"/>
        <v>0.86790882969247263</v>
      </c>
      <c r="L206" s="372">
        <f t="shared" si="73"/>
        <v>0.1320911703075274</v>
      </c>
      <c r="M206" s="372"/>
      <c r="N206" s="406"/>
      <c r="O206" s="44"/>
      <c r="P206" s="80"/>
      <c r="Q206" s="43"/>
      <c r="R206" s="43"/>
      <c r="S206" s="43"/>
      <c r="T206" s="43"/>
      <c r="U206" s="43"/>
      <c r="V206" s="43"/>
      <c r="W206" s="43"/>
      <c r="X206" s="43"/>
      <c r="Y206" s="110"/>
      <c r="Z206" s="110"/>
      <c r="AA206" s="110"/>
      <c r="AB206" s="110"/>
      <c r="AC206" s="110"/>
      <c r="AD206" s="110"/>
      <c r="AE206" s="110"/>
      <c r="AF206" s="110"/>
      <c r="AG206" s="110"/>
      <c r="AH206" s="110"/>
      <c r="AI206" s="110"/>
      <c r="AJ206" s="110"/>
      <c r="AK206" s="110"/>
      <c r="AL206" s="110"/>
      <c r="AM206" s="110"/>
      <c r="AN206" s="110"/>
      <c r="AO206" s="110"/>
      <c r="AP206" s="110"/>
      <c r="AQ206" s="110"/>
      <c r="AR206" s="110"/>
      <c r="AS206" s="110"/>
      <c r="AT206" s="110"/>
      <c r="AU206" s="110"/>
      <c r="AV206" s="110"/>
      <c r="AW206" s="110"/>
      <c r="AX206" s="110"/>
      <c r="AY206" s="110"/>
      <c r="AZ206" s="110"/>
      <c r="BA206" s="110"/>
      <c r="BB206" s="110"/>
      <c r="BC206" s="110"/>
      <c r="BD206" s="110"/>
      <c r="BE206" s="110"/>
      <c r="BF206" s="110"/>
      <c r="BG206" s="110"/>
      <c r="BH206" s="110"/>
      <c r="BI206" s="110"/>
      <c r="BJ206" s="110"/>
      <c r="BK206" s="110"/>
      <c r="BL206" s="110"/>
      <c r="BM206" s="110"/>
      <c r="BN206" s="110"/>
      <c r="BO206" s="110"/>
      <c r="BP206" s="110"/>
      <c r="BQ206" s="110"/>
      <c r="BR206" s="110"/>
      <c r="BS206" s="110"/>
      <c r="BT206" s="110"/>
      <c r="BU206" s="110"/>
      <c r="BV206" s="110"/>
      <c r="BW206" s="110"/>
      <c r="BX206" s="110"/>
      <c r="BY206" s="110"/>
      <c r="BZ206" s="110"/>
      <c r="CA206" s="110"/>
      <c r="CB206" s="110"/>
      <c r="CC206" s="110"/>
      <c r="CD206" s="110"/>
      <c r="CE206" s="110"/>
      <c r="CF206" s="110"/>
    </row>
    <row r="207" spans="1:84" s="45" customFormat="1" x14ac:dyDescent="0.25">
      <c r="A207" t="str">
        <f>Funktional!A206</f>
        <v>Mettlen</v>
      </c>
      <c r="B207" t="str">
        <f>Funktional!B206</f>
        <v>KiGa</v>
      </c>
      <c r="C207" s="365">
        <v>80486.350000000006</v>
      </c>
      <c r="D207" s="365">
        <v>384731.5</v>
      </c>
      <c r="E207" s="365">
        <v>23326.3</v>
      </c>
      <c r="F207" s="119">
        <f t="shared" si="70"/>
        <v>408057.8</v>
      </c>
      <c r="G207" s="43"/>
      <c r="H207" s="119">
        <f t="shared" si="74"/>
        <v>488544.15</v>
      </c>
      <c r="I207" s="377"/>
      <c r="J207" s="124">
        <f t="shared" si="72"/>
        <v>0.16474734166809693</v>
      </c>
      <c r="K207" s="42">
        <f t="shared" si="71"/>
        <v>0.83525265833190299</v>
      </c>
      <c r="L207" s="372">
        <f t="shared" si="73"/>
        <v>0.16474734166809693</v>
      </c>
      <c r="M207" s="372"/>
      <c r="N207" s="406"/>
      <c r="O207" s="44"/>
      <c r="P207" s="80"/>
      <c r="Q207" s="43"/>
      <c r="R207" s="43"/>
      <c r="S207" s="43"/>
      <c r="T207" s="43"/>
      <c r="U207" s="43"/>
      <c r="V207" s="43"/>
      <c r="W207" s="43"/>
      <c r="X207" s="43"/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0"/>
      <c r="AI207" s="110"/>
      <c r="AJ207" s="110"/>
      <c r="AK207" s="110"/>
      <c r="AL207" s="110"/>
      <c r="AM207" s="110"/>
      <c r="AN207" s="110"/>
      <c r="AO207" s="110"/>
      <c r="AP207" s="110"/>
      <c r="AQ207" s="110"/>
      <c r="AR207" s="110"/>
      <c r="AS207" s="110"/>
      <c r="AT207" s="110"/>
      <c r="AU207" s="110"/>
      <c r="AV207" s="110"/>
      <c r="AW207" s="110"/>
      <c r="AX207" s="110"/>
      <c r="AY207" s="110"/>
      <c r="AZ207" s="110"/>
      <c r="BA207" s="110"/>
      <c r="BB207" s="110"/>
      <c r="BC207" s="110"/>
      <c r="BD207" s="110"/>
      <c r="BE207" s="110"/>
      <c r="BF207" s="110"/>
      <c r="BG207" s="110"/>
      <c r="BH207" s="110"/>
      <c r="BI207" s="110"/>
      <c r="BJ207" s="110"/>
      <c r="BK207" s="110"/>
      <c r="BL207" s="110"/>
      <c r="BM207" s="110"/>
      <c r="BN207" s="110"/>
      <c r="BO207" s="110"/>
      <c r="BP207" s="110"/>
      <c r="BQ207" s="110"/>
      <c r="BR207" s="110"/>
      <c r="BS207" s="110"/>
      <c r="BT207" s="110"/>
      <c r="BU207" s="110"/>
      <c r="BV207" s="110"/>
      <c r="BW207" s="110"/>
      <c r="BX207" s="110"/>
      <c r="BY207" s="110"/>
      <c r="BZ207" s="110"/>
      <c r="CA207" s="110"/>
      <c r="CB207" s="110"/>
      <c r="CC207" s="110"/>
      <c r="CD207" s="110"/>
      <c r="CE207" s="110"/>
      <c r="CF207" s="110"/>
    </row>
    <row r="208" spans="1:84" s="45" customFormat="1" x14ac:dyDescent="0.25">
      <c r="A208" t="str">
        <f>Funktional!A207</f>
        <v>Müllheim</v>
      </c>
      <c r="B208" t="str">
        <f>Funktional!B207</f>
        <v>KiGa</v>
      </c>
      <c r="C208" s="365">
        <v>232796.25</v>
      </c>
      <c r="D208" s="365">
        <v>1331803.8999999999</v>
      </c>
      <c r="E208" s="365">
        <v>90078.15</v>
      </c>
      <c r="F208" s="119">
        <f t="shared" si="70"/>
        <v>1421882.0499999998</v>
      </c>
      <c r="G208" s="43"/>
      <c r="H208" s="119">
        <f t="shared" si="74"/>
        <v>1654678.2999999998</v>
      </c>
      <c r="I208" s="377"/>
      <c r="J208" s="124">
        <f t="shared" si="72"/>
        <v>0.14068973407096716</v>
      </c>
      <c r="K208" s="42">
        <f t="shared" si="71"/>
        <v>0.85931026592903281</v>
      </c>
      <c r="L208" s="372">
        <f t="shared" si="73"/>
        <v>0.14068973407096716</v>
      </c>
      <c r="M208" s="372"/>
      <c r="N208" s="406"/>
      <c r="O208" s="44"/>
      <c r="P208" s="80"/>
      <c r="Q208" s="43"/>
      <c r="R208" s="43"/>
      <c r="S208" s="43"/>
      <c r="T208" s="43"/>
      <c r="U208" s="43"/>
      <c r="V208" s="43"/>
      <c r="W208" s="43"/>
      <c r="X208" s="43"/>
      <c r="Y208" s="110"/>
      <c r="Z208" s="110"/>
      <c r="AA208" s="110"/>
      <c r="AB208" s="110"/>
      <c r="AC208" s="110"/>
      <c r="AD208" s="110"/>
      <c r="AE208" s="110"/>
      <c r="AF208" s="110"/>
      <c r="AG208" s="110"/>
      <c r="AH208" s="110"/>
      <c r="AI208" s="110"/>
      <c r="AJ208" s="110"/>
      <c r="AK208" s="110"/>
      <c r="AL208" s="110"/>
      <c r="AM208" s="110"/>
      <c r="AN208" s="110"/>
      <c r="AO208" s="110"/>
      <c r="AP208" s="110"/>
      <c r="AQ208" s="110"/>
      <c r="AR208" s="110"/>
      <c r="AS208" s="110"/>
      <c r="AT208" s="110"/>
      <c r="AU208" s="110"/>
      <c r="AV208" s="110"/>
      <c r="AW208" s="110"/>
      <c r="AX208" s="110"/>
      <c r="AY208" s="110"/>
      <c r="AZ208" s="110"/>
      <c r="BA208" s="110"/>
      <c r="BB208" s="110"/>
      <c r="BC208" s="110"/>
      <c r="BD208" s="110"/>
      <c r="BE208" s="110"/>
      <c r="BF208" s="110"/>
      <c r="BG208" s="110"/>
      <c r="BH208" s="110"/>
      <c r="BI208" s="110"/>
      <c r="BJ208" s="110"/>
      <c r="BK208" s="110"/>
      <c r="BL208" s="110"/>
      <c r="BM208" s="110"/>
      <c r="BN208" s="110"/>
      <c r="BO208" s="110"/>
      <c r="BP208" s="110"/>
      <c r="BQ208" s="110"/>
      <c r="BR208" s="110"/>
      <c r="BS208" s="110"/>
      <c r="BT208" s="110"/>
      <c r="BU208" s="110"/>
      <c r="BV208" s="110"/>
      <c r="BW208" s="110"/>
      <c r="BX208" s="110"/>
      <c r="BY208" s="110"/>
      <c r="BZ208" s="110"/>
      <c r="CA208" s="110"/>
      <c r="CB208" s="110"/>
      <c r="CC208" s="110"/>
      <c r="CD208" s="110"/>
      <c r="CE208" s="110"/>
      <c r="CF208" s="110"/>
    </row>
    <row r="209" spans="1:84" s="45" customFormat="1" x14ac:dyDescent="0.25">
      <c r="A209" t="str">
        <f>Funktional!A208</f>
        <v>Neukirch-Egnach</v>
      </c>
      <c r="B209" t="str">
        <f>Funktional!B208</f>
        <v>KiGa</v>
      </c>
      <c r="C209" s="365">
        <v>186592.5</v>
      </c>
      <c r="D209" s="365">
        <v>592014.30000000005</v>
      </c>
      <c r="E209" s="365">
        <v>66848.800000000003</v>
      </c>
      <c r="F209" s="119">
        <f t="shared" si="70"/>
        <v>658863.10000000009</v>
      </c>
      <c r="G209" s="43"/>
      <c r="H209" s="119">
        <f t="shared" si="74"/>
        <v>845455.60000000009</v>
      </c>
      <c r="I209" s="377"/>
      <c r="J209" s="124">
        <f t="shared" si="72"/>
        <v>0.22070053116922991</v>
      </c>
      <c r="K209" s="42">
        <f t="shared" si="71"/>
        <v>0.77929946883077006</v>
      </c>
      <c r="L209" s="372">
        <f t="shared" si="73"/>
        <v>0.22070053116922991</v>
      </c>
      <c r="M209" s="372"/>
      <c r="N209" s="406"/>
      <c r="O209" s="44"/>
      <c r="P209" s="80"/>
      <c r="Q209" s="43"/>
      <c r="R209" s="43"/>
      <c r="S209" s="43"/>
      <c r="T209" s="43"/>
      <c r="U209" s="43"/>
      <c r="V209" s="43"/>
      <c r="W209" s="43"/>
      <c r="X209" s="43"/>
      <c r="Y209" s="110"/>
      <c r="Z209" s="110"/>
      <c r="AA209" s="110"/>
      <c r="AB209" s="110"/>
      <c r="AC209" s="110"/>
      <c r="AD209" s="110"/>
      <c r="AE209" s="110"/>
      <c r="AF209" s="110"/>
      <c r="AG209" s="110"/>
      <c r="AH209" s="110"/>
      <c r="AI209" s="110"/>
      <c r="AJ209" s="110"/>
      <c r="AK209" s="110"/>
      <c r="AL209" s="110"/>
      <c r="AM209" s="110"/>
      <c r="AN209" s="110"/>
      <c r="AO209" s="110"/>
      <c r="AP209" s="110"/>
      <c r="AQ209" s="110"/>
      <c r="AR209" s="110"/>
      <c r="AS209" s="110"/>
      <c r="AT209" s="110"/>
      <c r="AU209" s="110"/>
      <c r="AV209" s="110"/>
      <c r="AW209" s="110"/>
      <c r="AX209" s="110"/>
      <c r="AY209" s="110"/>
      <c r="AZ209" s="110"/>
      <c r="BA209" s="110"/>
      <c r="BB209" s="110"/>
      <c r="BC209" s="110"/>
      <c r="BD209" s="110"/>
      <c r="BE209" s="110"/>
      <c r="BF209" s="110"/>
      <c r="BG209" s="110"/>
      <c r="BH209" s="110"/>
      <c r="BI209" s="110"/>
      <c r="BJ209" s="110"/>
      <c r="BK209" s="110"/>
      <c r="BL209" s="110"/>
      <c r="BM209" s="110"/>
      <c r="BN209" s="110"/>
      <c r="BO209" s="110"/>
      <c r="BP209" s="110"/>
      <c r="BQ209" s="110"/>
      <c r="BR209" s="110"/>
      <c r="BS209" s="110"/>
      <c r="BT209" s="110"/>
      <c r="BU209" s="110"/>
      <c r="BV209" s="110"/>
      <c r="BW209" s="110"/>
      <c r="BX209" s="110"/>
      <c r="BY209" s="110"/>
      <c r="BZ209" s="110"/>
      <c r="CA209" s="110"/>
      <c r="CB209" s="110"/>
      <c r="CC209" s="110"/>
      <c r="CD209" s="110"/>
      <c r="CE209" s="110"/>
      <c r="CF209" s="110"/>
    </row>
    <row r="210" spans="1:84" s="45" customFormat="1" x14ac:dyDescent="0.25">
      <c r="A210" t="str">
        <f>Funktional!A209</f>
        <v>Neuwilen</v>
      </c>
      <c r="B210" t="str">
        <f>Funktional!B209</f>
        <v>KiGa</v>
      </c>
      <c r="C210" s="365">
        <v>201739.15</v>
      </c>
      <c r="D210" s="365">
        <v>364319.65</v>
      </c>
      <c r="E210" s="365">
        <v>37553.75</v>
      </c>
      <c r="F210" s="119">
        <f t="shared" si="70"/>
        <v>401873.4</v>
      </c>
      <c r="G210" s="43"/>
      <c r="H210" s="119">
        <f t="shared" si="74"/>
        <v>603612.55000000005</v>
      </c>
      <c r="I210" s="377"/>
      <c r="J210" s="124">
        <f t="shared" si="72"/>
        <v>0.33421960825698532</v>
      </c>
      <c r="K210" s="42">
        <f t="shared" si="71"/>
        <v>0.66578039174301462</v>
      </c>
      <c r="L210" s="372">
        <f t="shared" si="73"/>
        <v>0.33421960825698532</v>
      </c>
      <c r="M210" s="372"/>
      <c r="N210" s="406"/>
      <c r="O210" s="44"/>
      <c r="P210" s="80"/>
      <c r="Q210" s="43"/>
      <c r="R210" s="43"/>
      <c r="S210" s="43"/>
      <c r="T210" s="43"/>
      <c r="U210" s="43"/>
      <c r="V210" s="43"/>
      <c r="W210" s="43"/>
      <c r="X210" s="43"/>
      <c r="Y210" s="110"/>
      <c r="Z210" s="110"/>
      <c r="AA210" s="110"/>
      <c r="AB210" s="110"/>
      <c r="AC210" s="110"/>
      <c r="AD210" s="110"/>
      <c r="AE210" s="110"/>
      <c r="AF210" s="110"/>
      <c r="AG210" s="110"/>
      <c r="AH210" s="110"/>
      <c r="AI210" s="110"/>
      <c r="AJ210" s="110"/>
      <c r="AK210" s="110"/>
      <c r="AL210" s="110"/>
      <c r="AM210" s="110"/>
      <c r="AN210" s="110"/>
      <c r="AO210" s="110"/>
      <c r="AP210" s="110"/>
      <c r="AQ210" s="110"/>
      <c r="AR210" s="110"/>
      <c r="AS210" s="110"/>
      <c r="AT210" s="110"/>
      <c r="AU210" s="110"/>
      <c r="AV210" s="110"/>
      <c r="AW210" s="110"/>
      <c r="AX210" s="110"/>
      <c r="AY210" s="110"/>
      <c r="AZ210" s="110"/>
      <c r="BA210" s="110"/>
      <c r="BB210" s="110"/>
      <c r="BC210" s="110"/>
      <c r="BD210" s="110"/>
      <c r="BE210" s="110"/>
      <c r="BF210" s="110"/>
      <c r="BG210" s="110"/>
      <c r="BH210" s="110"/>
      <c r="BI210" s="110"/>
      <c r="BJ210" s="110"/>
      <c r="BK210" s="110"/>
      <c r="BL210" s="110"/>
      <c r="BM210" s="110"/>
      <c r="BN210" s="110"/>
      <c r="BO210" s="110"/>
      <c r="BP210" s="110"/>
      <c r="BQ210" s="110"/>
      <c r="BR210" s="110"/>
      <c r="BS210" s="110"/>
      <c r="BT210" s="110"/>
      <c r="BU210" s="110"/>
      <c r="BV210" s="110"/>
      <c r="BW210" s="110"/>
      <c r="BX210" s="110"/>
      <c r="BY210" s="110"/>
      <c r="BZ210" s="110"/>
      <c r="CA210" s="110"/>
      <c r="CB210" s="110"/>
      <c r="CC210" s="110"/>
      <c r="CD210" s="110"/>
      <c r="CE210" s="110"/>
      <c r="CF210" s="110"/>
    </row>
    <row r="211" spans="1:84" s="45" customFormat="1" x14ac:dyDescent="0.25">
      <c r="A211" t="str">
        <f>Funktional!A210</f>
        <v>Nussbaumen</v>
      </c>
      <c r="B211" t="str">
        <f>Funktional!B210</f>
        <v>KiGa</v>
      </c>
      <c r="C211" s="365">
        <v>78802.3</v>
      </c>
      <c r="D211" s="365">
        <v>337442.15</v>
      </c>
      <c r="E211" s="365">
        <v>39906.949999999997</v>
      </c>
      <c r="F211" s="119">
        <f t="shared" ref="F211:F216" si="75">D211+E211</f>
        <v>377349.10000000003</v>
      </c>
      <c r="G211" s="43"/>
      <c r="H211" s="119">
        <f t="shared" si="74"/>
        <v>456151.4</v>
      </c>
      <c r="I211" s="377"/>
      <c r="J211" s="124">
        <f t="shared" si="72"/>
        <v>0.17275470381105923</v>
      </c>
      <c r="K211" s="42">
        <f t="shared" ref="K211:K216" si="76">F211/H211</f>
        <v>0.82724529618894083</v>
      </c>
      <c r="L211" s="372">
        <f t="shared" si="73"/>
        <v>0.17275470381105923</v>
      </c>
      <c r="M211" s="372"/>
      <c r="N211" s="406"/>
      <c r="O211" s="44"/>
      <c r="P211" s="80"/>
      <c r="Q211" s="43"/>
      <c r="R211" s="43"/>
      <c r="S211" s="43"/>
      <c r="T211" s="43"/>
      <c r="U211" s="43"/>
      <c r="V211" s="43"/>
      <c r="W211" s="43"/>
      <c r="X211" s="43"/>
      <c r="Y211" s="110"/>
      <c r="Z211" s="110"/>
      <c r="AA211" s="110"/>
      <c r="AB211" s="110"/>
      <c r="AC211" s="110"/>
      <c r="AD211" s="110"/>
      <c r="AE211" s="110"/>
      <c r="AF211" s="110"/>
      <c r="AG211" s="110"/>
      <c r="AH211" s="110"/>
      <c r="AI211" s="110"/>
      <c r="AJ211" s="110"/>
      <c r="AK211" s="110"/>
      <c r="AL211" s="110"/>
      <c r="AM211" s="110"/>
      <c r="AN211" s="110"/>
      <c r="AO211" s="110"/>
      <c r="AP211" s="110"/>
      <c r="AQ211" s="110"/>
      <c r="AR211" s="110"/>
      <c r="AS211" s="110"/>
      <c r="AT211" s="110"/>
      <c r="AU211" s="110"/>
      <c r="AV211" s="110"/>
      <c r="AW211" s="110"/>
      <c r="AX211" s="110"/>
      <c r="AY211" s="110"/>
      <c r="AZ211" s="110"/>
      <c r="BA211" s="110"/>
      <c r="BB211" s="110"/>
      <c r="BC211" s="110"/>
      <c r="BD211" s="110"/>
      <c r="BE211" s="110"/>
      <c r="BF211" s="110"/>
      <c r="BG211" s="110"/>
      <c r="BH211" s="110"/>
      <c r="BI211" s="110"/>
      <c r="BJ211" s="110"/>
      <c r="BK211" s="110"/>
      <c r="BL211" s="110"/>
      <c r="BM211" s="110"/>
      <c r="BN211" s="110"/>
      <c r="BO211" s="110"/>
      <c r="BP211" s="110"/>
      <c r="BQ211" s="110"/>
      <c r="BR211" s="110"/>
      <c r="BS211" s="110"/>
      <c r="BT211" s="110"/>
      <c r="BU211" s="110"/>
      <c r="BV211" s="110"/>
      <c r="BW211" s="110"/>
      <c r="BX211" s="110"/>
      <c r="BY211" s="110"/>
      <c r="BZ211" s="110"/>
      <c r="CA211" s="110"/>
      <c r="CB211" s="110"/>
      <c r="CC211" s="110"/>
      <c r="CD211" s="110"/>
      <c r="CE211" s="110"/>
      <c r="CF211" s="110"/>
    </row>
    <row r="212" spans="1:84" s="45" customFormat="1" x14ac:dyDescent="0.25">
      <c r="A212" t="str">
        <f>Funktional!A211</f>
        <v>Oberhofen-Lengwil</v>
      </c>
      <c r="B212" t="str">
        <f>Funktional!B211</f>
        <v>KiGa</v>
      </c>
      <c r="C212" s="365">
        <v>140636.75</v>
      </c>
      <c r="D212" s="365">
        <v>440075.7</v>
      </c>
      <c r="E212" s="365">
        <v>38152.75</v>
      </c>
      <c r="F212" s="119">
        <f t="shared" si="75"/>
        <v>478228.45</v>
      </c>
      <c r="G212" s="43"/>
      <c r="H212" s="119">
        <f t="shared" si="74"/>
        <v>618865.19999999995</v>
      </c>
      <c r="I212" s="377"/>
      <c r="J212" s="124">
        <f t="shared" ref="J212:J216" si="77">C212/H212</f>
        <v>0.22724940746385483</v>
      </c>
      <c r="K212" s="42">
        <f t="shared" si="76"/>
        <v>0.77275059253614531</v>
      </c>
      <c r="L212" s="372">
        <f t="shared" si="73"/>
        <v>0.22724940746385483</v>
      </c>
      <c r="M212" s="372"/>
      <c r="N212" s="406"/>
      <c r="O212" s="44"/>
      <c r="P212" s="80"/>
      <c r="Q212" s="43"/>
      <c r="R212" s="43"/>
      <c r="S212" s="43"/>
      <c r="T212" s="43"/>
      <c r="U212" s="43"/>
      <c r="V212" s="43"/>
      <c r="W212" s="43"/>
      <c r="X212" s="43"/>
      <c r="Y212" s="110"/>
      <c r="Z212" s="110"/>
      <c r="AA212" s="110"/>
      <c r="AB212" s="110"/>
      <c r="AC212" s="110"/>
      <c r="AD212" s="110"/>
      <c r="AE212" s="110"/>
      <c r="AF212" s="110"/>
      <c r="AG212" s="110"/>
      <c r="AH212" s="110"/>
      <c r="AI212" s="110"/>
      <c r="AJ212" s="110"/>
      <c r="AK212" s="110"/>
      <c r="AL212" s="110"/>
      <c r="AM212" s="110"/>
      <c r="AN212" s="110"/>
      <c r="AO212" s="110"/>
      <c r="AP212" s="110"/>
      <c r="AQ212" s="110"/>
      <c r="AR212" s="110"/>
      <c r="AS212" s="110"/>
      <c r="AT212" s="110"/>
      <c r="AU212" s="110"/>
      <c r="AV212" s="110"/>
      <c r="AW212" s="110"/>
      <c r="AX212" s="110"/>
      <c r="AY212" s="110"/>
      <c r="AZ212" s="110"/>
      <c r="BA212" s="110"/>
      <c r="BB212" s="110"/>
      <c r="BC212" s="110"/>
      <c r="BD212" s="110"/>
      <c r="BE212" s="110"/>
      <c r="BF212" s="110"/>
      <c r="BG212" s="110"/>
      <c r="BH212" s="110"/>
      <c r="BI212" s="110"/>
      <c r="BJ212" s="110"/>
      <c r="BK212" s="110"/>
      <c r="BL212" s="110"/>
      <c r="BM212" s="110"/>
      <c r="BN212" s="110"/>
      <c r="BO212" s="110"/>
      <c r="BP212" s="110"/>
      <c r="BQ212" s="110"/>
      <c r="BR212" s="110"/>
      <c r="BS212" s="110"/>
      <c r="BT212" s="110"/>
      <c r="BU212" s="110"/>
      <c r="BV212" s="110"/>
      <c r="BW212" s="110"/>
      <c r="BX212" s="110"/>
      <c r="BY212" s="110"/>
      <c r="BZ212" s="110"/>
      <c r="CA212" s="110"/>
      <c r="CB212" s="110"/>
      <c r="CC212" s="110"/>
      <c r="CD212" s="110"/>
      <c r="CE212" s="110"/>
      <c r="CF212" s="110"/>
    </row>
    <row r="213" spans="1:84" s="45" customFormat="1" x14ac:dyDescent="0.25">
      <c r="A213" t="str">
        <f>Funktional!A212</f>
        <v>Ottoberg</v>
      </c>
      <c r="B213" t="str">
        <f>Funktional!B212</f>
        <v>KiGa</v>
      </c>
      <c r="C213" s="365">
        <v>109252.55</v>
      </c>
      <c r="D213" s="365">
        <v>390356.15</v>
      </c>
      <c r="E213" s="365">
        <v>27101.25</v>
      </c>
      <c r="F213" s="119">
        <f t="shared" si="75"/>
        <v>417457.4</v>
      </c>
      <c r="G213" s="43"/>
      <c r="H213" s="119">
        <f t="shared" si="74"/>
        <v>526709.95000000007</v>
      </c>
      <c r="I213" s="377"/>
      <c r="J213" s="124">
        <f t="shared" si="77"/>
        <v>0.20742450375201757</v>
      </c>
      <c r="K213" s="42">
        <f t="shared" si="76"/>
        <v>0.79257549624798229</v>
      </c>
      <c r="L213" s="372">
        <f t="shared" si="73"/>
        <v>0.20742450375201757</v>
      </c>
      <c r="M213" s="372"/>
      <c r="N213" s="406"/>
      <c r="O213" s="44"/>
      <c r="P213" s="80"/>
      <c r="Q213" s="43"/>
      <c r="R213" s="43"/>
      <c r="S213" s="43"/>
      <c r="T213" s="43"/>
      <c r="U213" s="43"/>
      <c r="V213" s="43"/>
      <c r="W213" s="43"/>
      <c r="X213" s="43"/>
      <c r="Y213" s="110"/>
      <c r="Z213" s="110"/>
      <c r="AA213" s="110"/>
      <c r="AB213" s="110"/>
      <c r="AC213" s="110"/>
      <c r="AD213" s="110"/>
      <c r="AE213" s="110"/>
      <c r="AF213" s="110"/>
      <c r="AG213" s="110"/>
      <c r="AH213" s="110"/>
      <c r="AI213" s="110"/>
      <c r="AJ213" s="110"/>
      <c r="AK213" s="110"/>
      <c r="AL213" s="110"/>
      <c r="AM213" s="110"/>
      <c r="AN213" s="110"/>
      <c r="AO213" s="110"/>
      <c r="AP213" s="110"/>
      <c r="AQ213" s="110"/>
      <c r="AR213" s="110"/>
      <c r="AS213" s="110"/>
      <c r="AT213" s="110"/>
      <c r="AU213" s="110"/>
      <c r="AV213" s="110"/>
      <c r="AW213" s="110"/>
      <c r="AX213" s="110"/>
      <c r="AY213" s="110"/>
      <c r="AZ213" s="110"/>
      <c r="BA213" s="110"/>
      <c r="BB213" s="110"/>
      <c r="BC213" s="110"/>
      <c r="BD213" s="110"/>
      <c r="BE213" s="110"/>
      <c r="BF213" s="110"/>
      <c r="BG213" s="110"/>
      <c r="BH213" s="110"/>
      <c r="BI213" s="110"/>
      <c r="BJ213" s="110"/>
      <c r="BK213" s="110"/>
      <c r="BL213" s="110"/>
      <c r="BM213" s="110"/>
      <c r="BN213" s="110"/>
      <c r="BO213" s="110"/>
      <c r="BP213" s="110"/>
      <c r="BQ213" s="110"/>
      <c r="BR213" s="110"/>
      <c r="BS213" s="110"/>
      <c r="BT213" s="110"/>
      <c r="BU213" s="110"/>
      <c r="BV213" s="110"/>
      <c r="BW213" s="110"/>
      <c r="BX213" s="110"/>
      <c r="BY213" s="110"/>
      <c r="BZ213" s="110"/>
      <c r="CA213" s="110"/>
      <c r="CB213" s="110"/>
      <c r="CC213" s="110"/>
      <c r="CD213" s="110"/>
      <c r="CE213" s="110"/>
      <c r="CF213" s="110"/>
    </row>
    <row r="214" spans="1:84" s="45" customFormat="1" x14ac:dyDescent="0.25">
      <c r="A214" t="str">
        <f>Funktional!A213</f>
        <v>Pfyn</v>
      </c>
      <c r="B214" t="str">
        <f>Funktional!B213</f>
        <v>KiGa</v>
      </c>
      <c r="C214" s="365">
        <v>128173.35</v>
      </c>
      <c r="D214" s="365">
        <v>1124404.05</v>
      </c>
      <c r="E214" s="365">
        <v>95001.45</v>
      </c>
      <c r="F214" s="119">
        <f t="shared" si="75"/>
        <v>1219405.5</v>
      </c>
      <c r="G214" s="43"/>
      <c r="H214" s="119">
        <f t="shared" si="74"/>
        <v>1347578.85</v>
      </c>
      <c r="I214" s="377"/>
      <c r="J214" s="124">
        <f t="shared" si="77"/>
        <v>9.5113803544779579E-2</v>
      </c>
      <c r="K214" s="42">
        <f t="shared" si="76"/>
        <v>0.90488619645522039</v>
      </c>
      <c r="L214" s="372">
        <f t="shared" si="73"/>
        <v>9.5113803544779579E-2</v>
      </c>
      <c r="M214" s="372"/>
      <c r="N214" s="406"/>
      <c r="O214" s="44"/>
      <c r="P214" s="80"/>
      <c r="Q214" s="43"/>
      <c r="R214" s="43"/>
      <c r="S214" s="43"/>
      <c r="T214" s="43"/>
      <c r="U214" s="43"/>
      <c r="V214" s="43"/>
      <c r="W214" s="43"/>
      <c r="X214" s="43"/>
      <c r="Y214" s="110"/>
      <c r="Z214" s="110"/>
      <c r="AA214" s="110"/>
      <c r="AB214" s="110"/>
      <c r="AC214" s="110"/>
      <c r="AD214" s="110"/>
      <c r="AE214" s="110"/>
      <c r="AF214" s="110"/>
      <c r="AG214" s="110"/>
      <c r="AH214" s="110"/>
      <c r="AI214" s="110"/>
      <c r="AJ214" s="110"/>
      <c r="AK214" s="110"/>
      <c r="AL214" s="110"/>
      <c r="AM214" s="110"/>
      <c r="AN214" s="110"/>
      <c r="AO214" s="110"/>
      <c r="AP214" s="110"/>
      <c r="AQ214" s="110"/>
      <c r="AR214" s="110"/>
      <c r="AS214" s="110"/>
      <c r="AT214" s="110"/>
      <c r="AU214" s="110"/>
      <c r="AV214" s="110"/>
      <c r="AW214" s="110"/>
      <c r="AX214" s="110"/>
      <c r="AY214" s="110"/>
      <c r="AZ214" s="110"/>
      <c r="BA214" s="110"/>
      <c r="BB214" s="110"/>
      <c r="BC214" s="110"/>
      <c r="BD214" s="110"/>
      <c r="BE214" s="110"/>
      <c r="BF214" s="110"/>
      <c r="BG214" s="110"/>
      <c r="BH214" s="110"/>
      <c r="BI214" s="110"/>
      <c r="BJ214" s="110"/>
      <c r="BK214" s="110"/>
      <c r="BL214" s="110"/>
      <c r="BM214" s="110"/>
      <c r="BN214" s="110"/>
      <c r="BO214" s="110"/>
      <c r="BP214" s="110"/>
      <c r="BQ214" s="110"/>
      <c r="BR214" s="110"/>
      <c r="BS214" s="110"/>
      <c r="BT214" s="110"/>
      <c r="BU214" s="110"/>
      <c r="BV214" s="110"/>
      <c r="BW214" s="110"/>
      <c r="BX214" s="110"/>
      <c r="BY214" s="110"/>
      <c r="BZ214" s="110"/>
      <c r="CA214" s="110"/>
      <c r="CB214" s="110"/>
      <c r="CC214" s="110"/>
      <c r="CD214" s="110"/>
      <c r="CE214" s="110"/>
      <c r="CF214" s="110"/>
    </row>
    <row r="215" spans="1:84" s="45" customFormat="1" x14ac:dyDescent="0.25">
      <c r="A215" t="str">
        <f>Funktional!A214</f>
        <v>Raperswilen-Illhart</v>
      </c>
      <c r="B215" t="str">
        <f>Funktional!B214</f>
        <v>KiGa</v>
      </c>
      <c r="C215" s="365">
        <v>96880.2</v>
      </c>
      <c r="D215" s="365">
        <v>331556.59999999998</v>
      </c>
      <c r="E215" s="365">
        <v>30433.7</v>
      </c>
      <c r="F215" s="119">
        <f t="shared" si="75"/>
        <v>361990.3</v>
      </c>
      <c r="G215" s="43"/>
      <c r="H215" s="119">
        <f t="shared" si="74"/>
        <v>458870.5</v>
      </c>
      <c r="I215" s="377"/>
      <c r="J215" s="124">
        <f t="shared" si="77"/>
        <v>0.21112754034090228</v>
      </c>
      <c r="K215" s="42">
        <f t="shared" si="76"/>
        <v>0.78887245965909769</v>
      </c>
      <c r="L215" s="372">
        <f t="shared" si="73"/>
        <v>0.21112754034090228</v>
      </c>
      <c r="M215" s="372"/>
      <c r="N215" s="406"/>
      <c r="O215" s="44"/>
      <c r="P215" s="80"/>
      <c r="Q215" s="43"/>
      <c r="R215" s="43"/>
      <c r="S215" s="43"/>
      <c r="T215" s="43"/>
      <c r="U215" s="43"/>
      <c r="V215" s="43"/>
      <c r="W215" s="43"/>
      <c r="X215" s="43"/>
      <c r="Y215" s="110"/>
      <c r="Z215" s="110"/>
      <c r="AA215" s="110"/>
      <c r="AB215" s="110"/>
      <c r="AC215" s="110"/>
      <c r="AD215" s="110"/>
      <c r="AE215" s="110"/>
      <c r="AF215" s="110"/>
      <c r="AG215" s="110"/>
      <c r="AH215" s="110"/>
      <c r="AI215" s="110"/>
      <c r="AJ215" s="110"/>
      <c r="AK215" s="110"/>
      <c r="AL215" s="110"/>
      <c r="AM215" s="110"/>
      <c r="AN215" s="110"/>
      <c r="AO215" s="110"/>
      <c r="AP215" s="110"/>
      <c r="AQ215" s="110"/>
      <c r="AR215" s="110"/>
      <c r="AS215" s="110"/>
      <c r="AT215" s="110"/>
      <c r="AU215" s="110"/>
      <c r="AV215" s="110"/>
      <c r="AW215" s="110"/>
      <c r="AX215" s="110"/>
      <c r="AY215" s="110"/>
      <c r="AZ215" s="110"/>
      <c r="BA215" s="110"/>
      <c r="BB215" s="110"/>
      <c r="BC215" s="110"/>
      <c r="BD215" s="110"/>
      <c r="BE215" s="110"/>
      <c r="BF215" s="110"/>
      <c r="BG215" s="110"/>
      <c r="BH215" s="110"/>
      <c r="BI215" s="110"/>
      <c r="BJ215" s="110"/>
      <c r="BK215" s="110"/>
      <c r="BL215" s="110"/>
      <c r="BM215" s="110"/>
      <c r="BN215" s="110"/>
      <c r="BO215" s="110"/>
      <c r="BP215" s="110"/>
      <c r="BQ215" s="110"/>
      <c r="BR215" s="110"/>
      <c r="BS215" s="110"/>
      <c r="BT215" s="110"/>
      <c r="BU215" s="110"/>
      <c r="BV215" s="110"/>
      <c r="BW215" s="110"/>
      <c r="BX215" s="110"/>
      <c r="BY215" s="110"/>
      <c r="BZ215" s="110"/>
      <c r="CA215" s="110"/>
      <c r="CB215" s="110"/>
      <c r="CC215" s="110"/>
      <c r="CD215" s="110"/>
      <c r="CE215" s="110"/>
      <c r="CF215" s="110"/>
    </row>
    <row r="216" spans="1:84" s="45" customFormat="1" x14ac:dyDescent="0.25">
      <c r="A216" t="str">
        <f>Funktional!A215</f>
        <v>Rickenbach</v>
      </c>
      <c r="B216" t="str">
        <f>Funktional!B215</f>
        <v>KiGa</v>
      </c>
      <c r="C216" s="365">
        <v>254187.15</v>
      </c>
      <c r="D216" s="365">
        <v>1237820.55</v>
      </c>
      <c r="E216" s="365">
        <v>91748.5</v>
      </c>
      <c r="F216" s="119">
        <f t="shared" si="75"/>
        <v>1329569.05</v>
      </c>
      <c r="G216" s="43"/>
      <c r="H216" s="119">
        <f t="shared" si="74"/>
        <v>1583756.2</v>
      </c>
      <c r="I216" s="377"/>
      <c r="J216" s="124">
        <f t="shared" si="77"/>
        <v>0.16049638826986123</v>
      </c>
      <c r="K216" s="42">
        <f t="shared" si="76"/>
        <v>0.83950361173013888</v>
      </c>
      <c r="L216" s="372">
        <f t="shared" si="73"/>
        <v>0.16049638826986123</v>
      </c>
      <c r="M216" s="372"/>
      <c r="N216" s="406"/>
      <c r="O216" s="44"/>
      <c r="P216" s="80"/>
      <c r="Q216" s="43"/>
      <c r="R216" s="43"/>
      <c r="S216" s="43"/>
      <c r="T216" s="43"/>
      <c r="U216" s="43"/>
      <c r="V216" s="43"/>
      <c r="W216" s="43"/>
      <c r="X216" s="43"/>
      <c r="Y216" s="110"/>
      <c r="Z216" s="110"/>
      <c r="AA216" s="110"/>
      <c r="AB216" s="110"/>
      <c r="AC216" s="110"/>
      <c r="AD216" s="110"/>
      <c r="AE216" s="110"/>
      <c r="AF216" s="110"/>
      <c r="AG216" s="110"/>
      <c r="AH216" s="110"/>
      <c r="AI216" s="110"/>
      <c r="AJ216" s="110"/>
      <c r="AK216" s="110"/>
      <c r="AL216" s="110"/>
      <c r="AM216" s="110"/>
      <c r="AN216" s="110"/>
      <c r="AO216" s="110"/>
      <c r="AP216" s="110"/>
      <c r="AQ216" s="110"/>
      <c r="AR216" s="110"/>
      <c r="AS216" s="110"/>
      <c r="AT216" s="110"/>
      <c r="AU216" s="110"/>
      <c r="AV216" s="110"/>
      <c r="AW216" s="110"/>
      <c r="AX216" s="110"/>
      <c r="AY216" s="110"/>
      <c r="AZ216" s="110"/>
      <c r="BA216" s="110"/>
      <c r="BB216" s="110"/>
      <c r="BC216" s="110"/>
      <c r="BD216" s="110"/>
      <c r="BE216" s="110"/>
      <c r="BF216" s="110"/>
      <c r="BG216" s="110"/>
      <c r="BH216" s="110"/>
      <c r="BI216" s="110"/>
      <c r="BJ216" s="110"/>
      <c r="BK216" s="110"/>
      <c r="BL216" s="110"/>
      <c r="BM216" s="110"/>
      <c r="BN216" s="110"/>
      <c r="BO216" s="110"/>
      <c r="BP216" s="110"/>
      <c r="BQ216" s="110"/>
      <c r="BR216" s="110"/>
      <c r="BS216" s="110"/>
      <c r="BT216" s="110"/>
      <c r="BU216" s="110"/>
      <c r="BV216" s="110"/>
      <c r="BW216" s="110"/>
      <c r="BX216" s="110"/>
      <c r="BY216" s="110"/>
      <c r="BZ216" s="110"/>
      <c r="CA216" s="110"/>
      <c r="CB216" s="110"/>
      <c r="CC216" s="110"/>
      <c r="CD216" s="110"/>
      <c r="CE216" s="110"/>
      <c r="CF216" s="110"/>
    </row>
    <row r="217" spans="1:84" s="45" customFormat="1" x14ac:dyDescent="0.25">
      <c r="A217" t="str">
        <f>Funktional!A216</f>
        <v>Ringenzeichen</v>
      </c>
      <c r="B217" t="str">
        <f>Funktional!B216</f>
        <v>KiGa</v>
      </c>
      <c r="C217" s="365">
        <v>7337</v>
      </c>
      <c r="D217" s="365">
        <v>248924.7</v>
      </c>
      <c r="E217" s="365">
        <v>28914.5</v>
      </c>
      <c r="F217" s="119">
        <f t="shared" ref="F217:F224" si="78">D217+E217</f>
        <v>277839.2</v>
      </c>
      <c r="G217" s="43"/>
      <c r="H217" s="119">
        <f t="shared" ref="H217:H231" si="79">C217+F217+I217</f>
        <v>285176.2</v>
      </c>
      <c r="I217" s="377"/>
      <c r="J217" s="124">
        <f t="shared" ref="J217:J226" si="80">C217/H217</f>
        <v>2.5727953454741312E-2</v>
      </c>
      <c r="K217" s="42">
        <f t="shared" ref="K217:K224" si="81">F217/H217</f>
        <v>0.97427204654525867</v>
      </c>
      <c r="L217" s="372">
        <v>0</v>
      </c>
      <c r="M217" s="372"/>
      <c r="N217" s="406"/>
      <c r="O217" s="44"/>
      <c r="P217" s="80"/>
      <c r="Q217" s="43"/>
      <c r="R217" s="43"/>
      <c r="S217" s="43"/>
      <c r="T217" s="43"/>
      <c r="U217" s="43"/>
      <c r="V217" s="43"/>
      <c r="W217" s="43"/>
      <c r="X217" s="43"/>
      <c r="Y217" s="110"/>
      <c r="Z217" s="110"/>
      <c r="AA217" s="110"/>
      <c r="AB217" s="110"/>
      <c r="AC217" s="110"/>
      <c r="AD217" s="110"/>
      <c r="AE217" s="110"/>
      <c r="AF217" s="110"/>
      <c r="AG217" s="110"/>
      <c r="AH217" s="110"/>
      <c r="AI217" s="110"/>
      <c r="AJ217" s="110"/>
      <c r="AK217" s="110"/>
      <c r="AL217" s="110"/>
      <c r="AM217" s="110"/>
      <c r="AN217" s="110"/>
      <c r="AO217" s="110"/>
      <c r="AP217" s="110"/>
      <c r="AQ217" s="110"/>
      <c r="AR217" s="110"/>
      <c r="AS217" s="110"/>
      <c r="AT217" s="110"/>
      <c r="AU217" s="110"/>
      <c r="AV217" s="110"/>
      <c r="AW217" s="110"/>
      <c r="AX217" s="110"/>
      <c r="AY217" s="110"/>
      <c r="AZ217" s="110"/>
      <c r="BA217" s="110"/>
      <c r="BB217" s="110"/>
      <c r="BC217" s="110"/>
      <c r="BD217" s="110"/>
      <c r="BE217" s="110"/>
      <c r="BF217" s="110"/>
      <c r="BG217" s="110"/>
      <c r="BH217" s="110"/>
      <c r="BI217" s="110"/>
      <c r="BJ217" s="110"/>
      <c r="BK217" s="110"/>
      <c r="BL217" s="110"/>
      <c r="BM217" s="110"/>
      <c r="BN217" s="110"/>
      <c r="BO217" s="110"/>
      <c r="BP217" s="110"/>
      <c r="BQ217" s="110"/>
      <c r="BR217" s="110"/>
      <c r="BS217" s="110"/>
      <c r="BT217" s="110"/>
      <c r="BU217" s="110"/>
      <c r="BV217" s="110"/>
      <c r="BW217" s="110"/>
      <c r="BX217" s="110"/>
      <c r="BY217" s="110"/>
      <c r="BZ217" s="110"/>
      <c r="CA217" s="110"/>
      <c r="CB217" s="110"/>
      <c r="CC217" s="110"/>
      <c r="CD217" s="110"/>
      <c r="CE217" s="110"/>
      <c r="CF217" s="110"/>
    </row>
    <row r="218" spans="1:84" s="45" customFormat="1" x14ac:dyDescent="0.25">
      <c r="A218" t="str">
        <f>Funktional!A217</f>
        <v>Romanshorn</v>
      </c>
      <c r="B218" t="str">
        <f>Funktional!B217</f>
        <v>KiGa</v>
      </c>
      <c r="C218" s="365">
        <v>604264.15</v>
      </c>
      <c r="D218" s="365">
        <v>4078218.75</v>
      </c>
      <c r="E218" s="365">
        <v>392198.05</v>
      </c>
      <c r="F218" s="119">
        <f t="shared" si="78"/>
        <v>4470416.8</v>
      </c>
      <c r="G218" s="43"/>
      <c r="H218" s="119">
        <f t="shared" si="79"/>
        <v>5074680.95</v>
      </c>
      <c r="I218" s="377"/>
      <c r="J218" s="124">
        <f t="shared" si="80"/>
        <v>0.11907431343048276</v>
      </c>
      <c r="K218" s="42">
        <f t="shared" si="81"/>
        <v>0.8809256865695172</v>
      </c>
      <c r="L218" s="372">
        <f>J218</f>
        <v>0.11907431343048276</v>
      </c>
      <c r="M218" s="372"/>
      <c r="N218" s="406"/>
      <c r="O218" s="44"/>
      <c r="P218" s="80"/>
      <c r="Q218" s="43"/>
      <c r="R218" s="43"/>
      <c r="S218" s="43"/>
      <c r="T218" s="43"/>
      <c r="U218" s="43"/>
      <c r="V218" s="43"/>
      <c r="W218" s="43"/>
      <c r="X218" s="43"/>
      <c r="Y218" s="110"/>
      <c r="Z218" s="110"/>
      <c r="AA218" s="110"/>
      <c r="AB218" s="110"/>
      <c r="AC218" s="110"/>
      <c r="AD218" s="110"/>
      <c r="AE218" s="110"/>
      <c r="AF218" s="110"/>
      <c r="AG218" s="110"/>
      <c r="AH218" s="110"/>
      <c r="AI218" s="110"/>
      <c r="AJ218" s="110"/>
      <c r="AK218" s="110"/>
      <c r="AL218" s="110"/>
      <c r="AM218" s="110"/>
      <c r="AN218" s="110"/>
      <c r="AO218" s="110"/>
      <c r="AP218" s="110"/>
      <c r="AQ218" s="110"/>
      <c r="AR218" s="110"/>
      <c r="AS218" s="110"/>
      <c r="AT218" s="110"/>
      <c r="AU218" s="110"/>
      <c r="AV218" s="110"/>
      <c r="AW218" s="110"/>
      <c r="AX218" s="110"/>
      <c r="AY218" s="110"/>
      <c r="AZ218" s="110"/>
      <c r="BA218" s="110"/>
      <c r="BB218" s="110"/>
      <c r="BC218" s="110"/>
      <c r="BD218" s="110"/>
      <c r="BE218" s="110"/>
      <c r="BF218" s="110"/>
      <c r="BG218" s="110"/>
      <c r="BH218" s="110"/>
      <c r="BI218" s="110"/>
      <c r="BJ218" s="110"/>
      <c r="BK218" s="110"/>
      <c r="BL218" s="110"/>
      <c r="BM218" s="110"/>
      <c r="BN218" s="110"/>
      <c r="BO218" s="110"/>
      <c r="BP218" s="110"/>
      <c r="BQ218" s="110"/>
      <c r="BR218" s="110"/>
      <c r="BS218" s="110"/>
      <c r="BT218" s="110"/>
      <c r="BU218" s="110"/>
      <c r="BV218" s="110"/>
      <c r="BW218" s="110"/>
      <c r="BX218" s="110"/>
      <c r="BY218" s="110"/>
      <c r="BZ218" s="110"/>
      <c r="CA218" s="110"/>
      <c r="CB218" s="110"/>
      <c r="CC218" s="110"/>
      <c r="CD218" s="110"/>
      <c r="CE218" s="110"/>
      <c r="CF218" s="110"/>
    </row>
    <row r="219" spans="1:84" s="45" customFormat="1" x14ac:dyDescent="0.25">
      <c r="A219" t="str">
        <f>Funktional!A218</f>
        <v>Salenstein</v>
      </c>
      <c r="B219" t="str">
        <f>Funktional!B218</f>
        <v>KiGa</v>
      </c>
      <c r="C219" s="365">
        <v>91304.25</v>
      </c>
      <c r="D219" s="365">
        <v>523143.05</v>
      </c>
      <c r="E219" s="365">
        <v>70761.45</v>
      </c>
      <c r="F219" s="119">
        <f t="shared" si="78"/>
        <v>593904.5</v>
      </c>
      <c r="G219" s="43"/>
      <c r="H219" s="119">
        <f t="shared" si="79"/>
        <v>685208.75</v>
      </c>
      <c r="I219" s="377"/>
      <c r="J219" s="124">
        <f t="shared" si="80"/>
        <v>0.13325026862251832</v>
      </c>
      <c r="K219" s="42">
        <f t="shared" si="81"/>
        <v>0.86674973137748168</v>
      </c>
      <c r="L219" s="372">
        <f t="shared" ref="L219:L225" si="82">J219</f>
        <v>0.13325026862251832</v>
      </c>
      <c r="M219" s="372"/>
      <c r="N219" s="406"/>
      <c r="O219" s="44"/>
      <c r="P219" s="80"/>
      <c r="Q219" s="43"/>
      <c r="R219" s="43"/>
      <c r="S219" s="43"/>
      <c r="T219" s="43"/>
      <c r="U219" s="43"/>
      <c r="V219" s="43"/>
      <c r="W219" s="43"/>
      <c r="X219" s="43"/>
      <c r="Y219" s="110"/>
      <c r="Z219" s="110"/>
      <c r="AA219" s="110"/>
      <c r="AB219" s="110"/>
      <c r="AC219" s="110"/>
      <c r="AD219" s="110"/>
      <c r="AE219" s="110"/>
      <c r="AF219" s="110"/>
      <c r="AG219" s="110"/>
      <c r="AH219" s="110"/>
      <c r="AI219" s="110"/>
      <c r="AJ219" s="110"/>
      <c r="AK219" s="110"/>
      <c r="AL219" s="110"/>
      <c r="AM219" s="110"/>
      <c r="AN219" s="110"/>
      <c r="AO219" s="110"/>
      <c r="AP219" s="110"/>
      <c r="AQ219" s="110"/>
      <c r="AR219" s="110"/>
      <c r="AS219" s="110"/>
      <c r="AT219" s="110"/>
      <c r="AU219" s="110"/>
      <c r="AV219" s="110"/>
      <c r="AW219" s="110"/>
      <c r="AX219" s="110"/>
      <c r="AY219" s="110"/>
      <c r="AZ219" s="110"/>
      <c r="BA219" s="110"/>
      <c r="BB219" s="110"/>
      <c r="BC219" s="110"/>
      <c r="BD219" s="110"/>
      <c r="BE219" s="110"/>
      <c r="BF219" s="110"/>
      <c r="BG219" s="110"/>
      <c r="BH219" s="110"/>
      <c r="BI219" s="110"/>
      <c r="BJ219" s="110"/>
      <c r="BK219" s="110"/>
      <c r="BL219" s="110"/>
      <c r="BM219" s="110"/>
      <c r="BN219" s="110"/>
      <c r="BO219" s="110"/>
      <c r="BP219" s="110"/>
      <c r="BQ219" s="110"/>
      <c r="BR219" s="110"/>
      <c r="BS219" s="110"/>
      <c r="BT219" s="110"/>
      <c r="BU219" s="110"/>
      <c r="BV219" s="110"/>
      <c r="BW219" s="110"/>
      <c r="BX219" s="110"/>
      <c r="BY219" s="110"/>
      <c r="BZ219" s="110"/>
      <c r="CA219" s="110"/>
      <c r="CB219" s="110"/>
      <c r="CC219" s="110"/>
      <c r="CD219" s="110"/>
      <c r="CE219" s="110"/>
      <c r="CF219" s="110"/>
    </row>
    <row r="220" spans="1:84" s="45" customFormat="1" x14ac:dyDescent="0.25">
      <c r="A220" t="str">
        <f>Funktional!A219</f>
        <v>Salmsach-Hungerbühl</v>
      </c>
      <c r="B220" t="str">
        <f>Funktional!B219</f>
        <v>KiGa</v>
      </c>
      <c r="C220" s="365">
        <v>188022.3</v>
      </c>
      <c r="D220" s="365">
        <v>679457.05</v>
      </c>
      <c r="E220" s="365">
        <v>64518.45</v>
      </c>
      <c r="F220" s="119">
        <f t="shared" si="78"/>
        <v>743975.5</v>
      </c>
      <c r="G220" s="43"/>
      <c r="H220" s="119">
        <f t="shared" si="79"/>
        <v>931997.8</v>
      </c>
      <c r="I220" s="377"/>
      <c r="J220" s="124">
        <f t="shared" si="80"/>
        <v>0.20174114144904631</v>
      </c>
      <c r="K220" s="42">
        <f t="shared" si="81"/>
        <v>0.79825885855095358</v>
      </c>
      <c r="L220" s="372">
        <f t="shared" si="82"/>
        <v>0.20174114144904631</v>
      </c>
      <c r="M220" s="372"/>
      <c r="N220" s="406"/>
      <c r="O220" s="44"/>
      <c r="P220" s="80"/>
      <c r="Q220" s="43"/>
      <c r="R220" s="43"/>
      <c r="S220" s="43"/>
      <c r="T220" s="43"/>
      <c r="U220" s="43"/>
      <c r="V220" s="43"/>
      <c r="W220" s="43"/>
      <c r="X220" s="43"/>
      <c r="Y220" s="110"/>
      <c r="Z220" s="110"/>
      <c r="AA220" s="110"/>
      <c r="AB220" s="110"/>
      <c r="AC220" s="110"/>
      <c r="AD220" s="110"/>
      <c r="AE220" s="110"/>
      <c r="AF220" s="110"/>
      <c r="AG220" s="110"/>
      <c r="AH220" s="110"/>
      <c r="AI220" s="110"/>
      <c r="AJ220" s="110"/>
      <c r="AK220" s="110"/>
      <c r="AL220" s="110"/>
      <c r="AM220" s="110"/>
      <c r="AN220" s="110"/>
      <c r="AO220" s="110"/>
      <c r="AP220" s="110"/>
      <c r="AQ220" s="110"/>
      <c r="AR220" s="110"/>
      <c r="AS220" s="110"/>
      <c r="AT220" s="110"/>
      <c r="AU220" s="110"/>
      <c r="AV220" s="110"/>
      <c r="AW220" s="110"/>
      <c r="AX220" s="110"/>
      <c r="AY220" s="110"/>
      <c r="AZ220" s="110"/>
      <c r="BA220" s="110"/>
      <c r="BB220" s="110"/>
      <c r="BC220" s="110"/>
      <c r="BD220" s="110"/>
      <c r="BE220" s="110"/>
      <c r="BF220" s="110"/>
      <c r="BG220" s="110"/>
      <c r="BH220" s="110"/>
      <c r="BI220" s="110"/>
      <c r="BJ220" s="110"/>
      <c r="BK220" s="110"/>
      <c r="BL220" s="110"/>
      <c r="BM220" s="110"/>
      <c r="BN220" s="110"/>
      <c r="BO220" s="110"/>
      <c r="BP220" s="110"/>
      <c r="BQ220" s="110"/>
      <c r="BR220" s="110"/>
      <c r="BS220" s="110"/>
      <c r="BT220" s="110"/>
      <c r="BU220" s="110"/>
      <c r="BV220" s="110"/>
      <c r="BW220" s="110"/>
      <c r="BX220" s="110"/>
      <c r="BY220" s="110"/>
      <c r="BZ220" s="110"/>
      <c r="CA220" s="110"/>
      <c r="CB220" s="110"/>
      <c r="CC220" s="110"/>
      <c r="CD220" s="110"/>
      <c r="CE220" s="110"/>
      <c r="CF220" s="110"/>
    </row>
    <row r="221" spans="1:84" s="45" customFormat="1" x14ac:dyDescent="0.25">
      <c r="A221" t="str">
        <f>Funktional!A220</f>
        <v>Scherzingen</v>
      </c>
      <c r="B221" t="str">
        <f>Funktional!B220</f>
        <v>KiGa</v>
      </c>
      <c r="C221" s="365">
        <v>164148.85</v>
      </c>
      <c r="D221" s="365">
        <v>876240.25</v>
      </c>
      <c r="E221" s="365">
        <v>67277.600000000006</v>
      </c>
      <c r="F221" s="119">
        <f t="shared" si="78"/>
        <v>943517.85</v>
      </c>
      <c r="G221" s="43"/>
      <c r="H221" s="119">
        <f t="shared" si="79"/>
        <v>1107666.7</v>
      </c>
      <c r="I221" s="377"/>
      <c r="J221" s="124">
        <f t="shared" si="80"/>
        <v>0.14819335997010655</v>
      </c>
      <c r="K221" s="42">
        <f t="shared" si="81"/>
        <v>0.85180664002989348</v>
      </c>
      <c r="L221" s="372">
        <f t="shared" si="82"/>
        <v>0.14819335997010655</v>
      </c>
      <c r="M221" s="372"/>
      <c r="N221" s="406"/>
      <c r="O221" s="44"/>
      <c r="P221" s="80"/>
      <c r="Q221" s="43"/>
      <c r="R221" s="43"/>
      <c r="S221" s="43"/>
      <c r="T221" s="43"/>
      <c r="U221" s="43"/>
      <c r="V221" s="43"/>
      <c r="W221" s="43"/>
      <c r="X221" s="43"/>
      <c r="Y221" s="110"/>
      <c r="Z221" s="110"/>
      <c r="AA221" s="110"/>
      <c r="AB221" s="110"/>
      <c r="AC221" s="110"/>
      <c r="AD221" s="110"/>
      <c r="AE221" s="110"/>
      <c r="AF221" s="110"/>
      <c r="AG221" s="110"/>
      <c r="AH221" s="110"/>
      <c r="AI221" s="110"/>
      <c r="AJ221" s="110"/>
      <c r="AK221" s="110"/>
      <c r="AL221" s="110"/>
      <c r="AM221" s="110"/>
      <c r="AN221" s="110"/>
      <c r="AO221" s="110"/>
      <c r="AP221" s="110"/>
      <c r="AQ221" s="110"/>
      <c r="AR221" s="110"/>
      <c r="AS221" s="110"/>
      <c r="AT221" s="110"/>
      <c r="AU221" s="110"/>
      <c r="AV221" s="110"/>
      <c r="AW221" s="110"/>
      <c r="AX221" s="110"/>
      <c r="AY221" s="110"/>
      <c r="AZ221" s="110"/>
      <c r="BA221" s="110"/>
      <c r="BB221" s="110"/>
      <c r="BC221" s="110"/>
      <c r="BD221" s="110"/>
      <c r="BE221" s="110"/>
      <c r="BF221" s="110"/>
      <c r="BG221" s="110"/>
      <c r="BH221" s="110"/>
      <c r="BI221" s="110"/>
      <c r="BJ221" s="110"/>
      <c r="BK221" s="110"/>
      <c r="BL221" s="110"/>
      <c r="BM221" s="110"/>
      <c r="BN221" s="110"/>
      <c r="BO221" s="110"/>
      <c r="BP221" s="110"/>
      <c r="BQ221" s="110"/>
      <c r="BR221" s="110"/>
      <c r="BS221" s="110"/>
      <c r="BT221" s="110"/>
      <c r="BU221" s="110"/>
      <c r="BV221" s="110"/>
      <c r="BW221" s="110"/>
      <c r="BX221" s="110"/>
      <c r="BY221" s="110"/>
      <c r="BZ221" s="110"/>
      <c r="CA221" s="110"/>
      <c r="CB221" s="110"/>
      <c r="CC221" s="110"/>
      <c r="CD221" s="110"/>
      <c r="CE221" s="110"/>
      <c r="CF221" s="110"/>
    </row>
    <row r="222" spans="1:84" s="45" customFormat="1" x14ac:dyDescent="0.25">
      <c r="A222" t="str">
        <f>Funktional!A221</f>
        <v>Schlatt</v>
      </c>
      <c r="B222" t="str">
        <f>Funktional!B221</f>
        <v>KiGa</v>
      </c>
      <c r="C222" s="365">
        <v>222549</v>
      </c>
      <c r="D222" s="365">
        <v>674911.95</v>
      </c>
      <c r="E222" s="365">
        <v>59342.7</v>
      </c>
      <c r="F222" s="119">
        <f t="shared" si="78"/>
        <v>734254.64999999991</v>
      </c>
      <c r="G222" s="43"/>
      <c r="H222" s="119">
        <f t="shared" si="79"/>
        <v>956803.64999999991</v>
      </c>
      <c r="I222" s="377"/>
      <c r="J222" s="124">
        <f t="shared" si="80"/>
        <v>0.23259631168840131</v>
      </c>
      <c r="K222" s="42">
        <f t="shared" si="81"/>
        <v>0.76740368831159866</v>
      </c>
      <c r="L222" s="372">
        <f t="shared" si="82"/>
        <v>0.23259631168840131</v>
      </c>
      <c r="M222" s="372"/>
      <c r="N222" s="406"/>
      <c r="O222" s="44"/>
      <c r="P222" s="80"/>
      <c r="Q222" s="43"/>
      <c r="R222" s="43"/>
      <c r="S222" s="43"/>
      <c r="T222" s="43"/>
      <c r="U222" s="43"/>
      <c r="V222" s="43"/>
      <c r="W222" s="43"/>
      <c r="X222" s="43"/>
      <c r="Y222" s="110"/>
      <c r="Z222" s="110"/>
      <c r="AA222" s="110"/>
      <c r="AB222" s="110"/>
      <c r="AC222" s="110"/>
      <c r="AD222" s="110"/>
      <c r="AE222" s="110"/>
      <c r="AF222" s="110"/>
      <c r="AG222" s="110"/>
      <c r="AH222" s="110"/>
      <c r="AI222" s="110"/>
      <c r="AJ222" s="110"/>
      <c r="AK222" s="110"/>
      <c r="AL222" s="110"/>
      <c r="AM222" s="110"/>
      <c r="AN222" s="110"/>
      <c r="AO222" s="110"/>
      <c r="AP222" s="110"/>
      <c r="AQ222" s="110"/>
      <c r="AR222" s="110"/>
      <c r="AS222" s="110"/>
      <c r="AT222" s="110"/>
      <c r="AU222" s="110"/>
      <c r="AV222" s="110"/>
      <c r="AW222" s="110"/>
      <c r="AX222" s="110"/>
      <c r="AY222" s="110"/>
      <c r="AZ222" s="110"/>
      <c r="BA222" s="110"/>
      <c r="BB222" s="110"/>
      <c r="BC222" s="110"/>
      <c r="BD222" s="110"/>
      <c r="BE222" s="110"/>
      <c r="BF222" s="110"/>
      <c r="BG222" s="110"/>
      <c r="BH222" s="110"/>
      <c r="BI222" s="110"/>
      <c r="BJ222" s="110"/>
      <c r="BK222" s="110"/>
      <c r="BL222" s="110"/>
      <c r="BM222" s="110"/>
      <c r="BN222" s="110"/>
      <c r="BO222" s="110"/>
      <c r="BP222" s="110"/>
      <c r="BQ222" s="110"/>
      <c r="BR222" s="110"/>
      <c r="BS222" s="110"/>
      <c r="BT222" s="110"/>
      <c r="BU222" s="110"/>
      <c r="BV222" s="110"/>
      <c r="BW222" s="110"/>
      <c r="BX222" s="110"/>
      <c r="BY222" s="110"/>
      <c r="BZ222" s="110"/>
      <c r="CA222" s="110"/>
      <c r="CB222" s="110"/>
      <c r="CC222" s="110"/>
      <c r="CD222" s="110"/>
      <c r="CE222" s="110"/>
      <c r="CF222" s="110"/>
    </row>
    <row r="223" spans="1:84" s="45" customFormat="1" x14ac:dyDescent="0.25">
      <c r="A223" t="str">
        <f>Funktional!A222</f>
        <v>Schlattingen</v>
      </c>
      <c r="B223" t="str">
        <f>Funktional!B222</f>
        <v>KiGa</v>
      </c>
      <c r="C223" s="365">
        <v>93635.65</v>
      </c>
      <c r="D223" s="365">
        <v>395937.1</v>
      </c>
      <c r="E223" s="365">
        <v>47122.15</v>
      </c>
      <c r="F223" s="119">
        <f t="shared" si="78"/>
        <v>443059.25</v>
      </c>
      <c r="G223" s="43"/>
      <c r="H223" s="119">
        <f t="shared" si="79"/>
        <v>536694.9</v>
      </c>
      <c r="I223" s="377"/>
      <c r="J223" s="124">
        <f t="shared" si="80"/>
        <v>0.17446718796843419</v>
      </c>
      <c r="K223" s="42">
        <f t="shared" si="81"/>
        <v>0.82553281203156581</v>
      </c>
      <c r="L223" s="372">
        <f t="shared" si="82"/>
        <v>0.17446718796843419</v>
      </c>
      <c r="M223" s="372"/>
      <c r="N223" s="406"/>
      <c r="O223" s="44"/>
      <c r="P223" s="80"/>
      <c r="Q223" s="43"/>
      <c r="R223" s="43"/>
      <c r="S223" s="43"/>
      <c r="T223" s="43"/>
      <c r="U223" s="43"/>
      <c r="V223" s="43"/>
      <c r="W223" s="43"/>
      <c r="X223" s="43"/>
      <c r="Y223" s="110"/>
      <c r="Z223" s="110"/>
      <c r="AA223" s="110"/>
      <c r="AB223" s="110"/>
      <c r="AC223" s="110"/>
      <c r="AD223" s="110"/>
      <c r="AE223" s="110"/>
      <c r="AF223" s="110"/>
      <c r="AG223" s="110"/>
      <c r="AH223" s="110"/>
      <c r="AI223" s="110"/>
      <c r="AJ223" s="110"/>
      <c r="AK223" s="110"/>
      <c r="AL223" s="110"/>
      <c r="AM223" s="110"/>
      <c r="AN223" s="110"/>
      <c r="AO223" s="110"/>
      <c r="AP223" s="110"/>
      <c r="AQ223" s="110"/>
      <c r="AR223" s="110"/>
      <c r="AS223" s="110"/>
      <c r="AT223" s="110"/>
      <c r="AU223" s="110"/>
      <c r="AV223" s="110"/>
      <c r="AW223" s="110"/>
      <c r="AX223" s="110"/>
      <c r="AY223" s="110"/>
      <c r="AZ223" s="110"/>
      <c r="BA223" s="110"/>
      <c r="BB223" s="110"/>
      <c r="BC223" s="110"/>
      <c r="BD223" s="110"/>
      <c r="BE223" s="110"/>
      <c r="BF223" s="110"/>
      <c r="BG223" s="110"/>
      <c r="BH223" s="110"/>
      <c r="BI223" s="110"/>
      <c r="BJ223" s="110"/>
      <c r="BK223" s="110"/>
      <c r="BL223" s="110"/>
      <c r="BM223" s="110"/>
      <c r="BN223" s="110"/>
      <c r="BO223" s="110"/>
      <c r="BP223" s="110"/>
      <c r="BQ223" s="110"/>
      <c r="BR223" s="110"/>
      <c r="BS223" s="110"/>
      <c r="BT223" s="110"/>
      <c r="BU223" s="110"/>
      <c r="BV223" s="110"/>
      <c r="BW223" s="110"/>
      <c r="BX223" s="110"/>
      <c r="BY223" s="110"/>
      <c r="BZ223" s="110"/>
      <c r="CA223" s="110"/>
      <c r="CB223" s="110"/>
      <c r="CC223" s="110"/>
      <c r="CD223" s="110"/>
      <c r="CE223" s="110"/>
      <c r="CF223" s="110"/>
    </row>
    <row r="224" spans="1:84" s="45" customFormat="1" x14ac:dyDescent="0.25">
      <c r="A224" t="str">
        <f>Funktional!A223</f>
        <v>Schmidshof</v>
      </c>
      <c r="B224" t="str">
        <f>Funktional!B223</f>
        <v>KiGa</v>
      </c>
      <c r="C224" s="365">
        <v>19413.150000000001</v>
      </c>
      <c r="D224" s="365">
        <v>138947.04999999999</v>
      </c>
      <c r="E224" s="365">
        <v>29980.05</v>
      </c>
      <c r="F224" s="119">
        <f t="shared" si="78"/>
        <v>168927.09999999998</v>
      </c>
      <c r="G224" s="43"/>
      <c r="H224" s="119">
        <f t="shared" si="79"/>
        <v>188340.24999999997</v>
      </c>
      <c r="I224" s="377"/>
      <c r="J224" s="124">
        <f t="shared" si="80"/>
        <v>0.10307488707273142</v>
      </c>
      <c r="K224" s="42">
        <f t="shared" si="81"/>
        <v>0.89692511292726862</v>
      </c>
      <c r="L224" s="372">
        <v>0</v>
      </c>
      <c r="M224" s="372"/>
      <c r="N224" s="406"/>
      <c r="O224" s="44"/>
      <c r="P224" s="80"/>
      <c r="Q224" s="43"/>
      <c r="R224" s="43"/>
      <c r="S224" s="43"/>
      <c r="T224" s="43"/>
      <c r="U224" s="43"/>
      <c r="V224" s="43"/>
      <c r="W224" s="43"/>
      <c r="X224" s="43"/>
      <c r="Y224" s="110"/>
      <c r="Z224" s="110"/>
      <c r="AA224" s="110"/>
      <c r="AB224" s="110"/>
      <c r="AC224" s="110"/>
      <c r="AD224" s="110"/>
      <c r="AE224" s="110"/>
      <c r="AF224" s="110"/>
      <c r="AG224" s="110"/>
      <c r="AH224" s="110"/>
      <c r="AI224" s="110"/>
      <c r="AJ224" s="110"/>
      <c r="AK224" s="110"/>
      <c r="AL224" s="110"/>
      <c r="AM224" s="110"/>
      <c r="AN224" s="110"/>
      <c r="AO224" s="110"/>
      <c r="AP224" s="110"/>
      <c r="AQ224" s="110"/>
      <c r="AR224" s="110"/>
      <c r="AS224" s="110"/>
      <c r="AT224" s="110"/>
      <c r="AU224" s="110"/>
      <c r="AV224" s="110"/>
      <c r="AW224" s="110"/>
      <c r="AX224" s="110"/>
      <c r="AY224" s="110"/>
      <c r="AZ224" s="110"/>
      <c r="BA224" s="110"/>
      <c r="BB224" s="110"/>
      <c r="BC224" s="110"/>
      <c r="BD224" s="110"/>
      <c r="BE224" s="110"/>
      <c r="BF224" s="110"/>
      <c r="BG224" s="110"/>
      <c r="BH224" s="110"/>
      <c r="BI224" s="110"/>
      <c r="BJ224" s="110"/>
      <c r="BK224" s="110"/>
      <c r="BL224" s="110"/>
      <c r="BM224" s="110"/>
      <c r="BN224" s="110"/>
      <c r="BO224" s="110"/>
      <c r="BP224" s="110"/>
      <c r="BQ224" s="110"/>
      <c r="BR224" s="110"/>
      <c r="BS224" s="110"/>
      <c r="BT224" s="110"/>
      <c r="BU224" s="110"/>
      <c r="BV224" s="110"/>
      <c r="BW224" s="110"/>
      <c r="BX224" s="110"/>
      <c r="BY224" s="110"/>
      <c r="BZ224" s="110"/>
      <c r="CA224" s="110"/>
      <c r="CB224" s="110"/>
      <c r="CC224" s="110"/>
      <c r="CD224" s="110"/>
      <c r="CE224" s="110"/>
      <c r="CF224" s="110"/>
    </row>
    <row r="225" spans="1:84" s="45" customFormat="1" x14ac:dyDescent="0.25">
      <c r="A225" t="str">
        <f>Funktional!A224</f>
        <v>Schönenberg-Kradolf</v>
      </c>
      <c r="B225" t="str">
        <f>Funktional!B224</f>
        <v>KiGa</v>
      </c>
      <c r="C225" s="365">
        <v>312067.65000000002</v>
      </c>
      <c r="D225" s="365">
        <v>1643309.1</v>
      </c>
      <c r="E225" s="365">
        <v>121289.2</v>
      </c>
      <c r="F225" s="119">
        <f t="shared" ref="F225:F240" si="83">D225+E225</f>
        <v>1764598.3</v>
      </c>
      <c r="G225" s="43"/>
      <c r="H225" s="119">
        <f t="shared" si="79"/>
        <v>2076665.9500000002</v>
      </c>
      <c r="I225" s="377"/>
      <c r="J225" s="124">
        <f t="shared" si="80"/>
        <v>0.15027339856947142</v>
      </c>
      <c r="K225" s="42">
        <f t="shared" ref="K225:K240" si="84">F225/H225</f>
        <v>0.84972660143052858</v>
      </c>
      <c r="L225" s="372">
        <f t="shared" si="82"/>
        <v>0.15027339856947142</v>
      </c>
      <c r="M225" s="372"/>
      <c r="N225" s="406"/>
      <c r="O225" s="44"/>
      <c r="P225" s="80"/>
      <c r="Q225" s="43"/>
      <c r="R225" s="43"/>
      <c r="S225" s="43"/>
      <c r="T225" s="43"/>
      <c r="U225" s="43"/>
      <c r="V225" s="43"/>
      <c r="W225" s="43"/>
      <c r="X225" s="43"/>
      <c r="Y225" s="110"/>
      <c r="Z225" s="110"/>
      <c r="AA225" s="110"/>
      <c r="AB225" s="110"/>
      <c r="AC225" s="110"/>
      <c r="AD225" s="110"/>
      <c r="AE225" s="110"/>
      <c r="AF225" s="110"/>
      <c r="AG225" s="110"/>
      <c r="AH225" s="110"/>
      <c r="AI225" s="110"/>
      <c r="AJ225" s="110"/>
      <c r="AK225" s="110"/>
      <c r="AL225" s="110"/>
      <c r="AM225" s="110"/>
      <c r="AN225" s="110"/>
      <c r="AO225" s="110"/>
      <c r="AP225" s="110"/>
      <c r="AQ225" s="110"/>
      <c r="AR225" s="110"/>
      <c r="AS225" s="110"/>
      <c r="AT225" s="110"/>
      <c r="AU225" s="110"/>
      <c r="AV225" s="110"/>
      <c r="AW225" s="110"/>
      <c r="AX225" s="110"/>
      <c r="AY225" s="110"/>
      <c r="AZ225" s="110"/>
      <c r="BA225" s="110"/>
      <c r="BB225" s="110"/>
      <c r="BC225" s="110"/>
      <c r="BD225" s="110"/>
      <c r="BE225" s="110"/>
      <c r="BF225" s="110"/>
      <c r="BG225" s="110"/>
      <c r="BH225" s="110"/>
      <c r="BI225" s="110"/>
      <c r="BJ225" s="110"/>
      <c r="BK225" s="110"/>
      <c r="BL225" s="110"/>
      <c r="BM225" s="110"/>
      <c r="BN225" s="110"/>
      <c r="BO225" s="110"/>
      <c r="BP225" s="110"/>
      <c r="BQ225" s="110"/>
      <c r="BR225" s="110"/>
      <c r="BS225" s="110"/>
      <c r="BT225" s="110"/>
      <c r="BU225" s="110"/>
      <c r="BV225" s="110"/>
      <c r="BW225" s="110"/>
      <c r="BX225" s="110"/>
      <c r="BY225" s="110"/>
      <c r="BZ225" s="110"/>
      <c r="CA225" s="110"/>
      <c r="CB225" s="110"/>
      <c r="CC225" s="110"/>
      <c r="CD225" s="110"/>
      <c r="CE225" s="110"/>
      <c r="CF225" s="110"/>
    </row>
    <row r="226" spans="1:84" s="45" customFormat="1" x14ac:dyDescent="0.25">
      <c r="A226" t="str">
        <f>Funktional!A225</f>
        <v>Schönholzerswilen</v>
      </c>
      <c r="B226" t="str">
        <f>Funktional!B225</f>
        <v>KiGa</v>
      </c>
      <c r="C226" s="365">
        <v>112254.65</v>
      </c>
      <c r="D226" s="365">
        <v>375141.7</v>
      </c>
      <c r="E226" s="365">
        <v>40633.65</v>
      </c>
      <c r="F226" s="119">
        <f t="shared" si="83"/>
        <v>415775.35000000003</v>
      </c>
      <c r="G226" s="43"/>
      <c r="H226" s="119">
        <f t="shared" si="79"/>
        <v>528030</v>
      </c>
      <c r="I226" s="377"/>
      <c r="J226" s="124">
        <f t="shared" si="80"/>
        <v>0.2125914247296555</v>
      </c>
      <c r="K226" s="42">
        <f t="shared" si="84"/>
        <v>0.78740857527034458</v>
      </c>
      <c r="L226" s="372">
        <f t="shared" ref="L226:L242" si="85">J226</f>
        <v>0.2125914247296555</v>
      </c>
      <c r="M226" s="372"/>
      <c r="N226" s="406"/>
      <c r="O226" s="44"/>
      <c r="P226" s="80"/>
      <c r="Q226" s="43"/>
      <c r="R226" s="43"/>
      <c r="S226" s="43"/>
      <c r="T226" s="43"/>
      <c r="U226" s="43"/>
      <c r="V226" s="43"/>
      <c r="W226" s="43"/>
      <c r="X226" s="43"/>
      <c r="Y226" s="110"/>
      <c r="Z226" s="110"/>
      <c r="AA226" s="110"/>
      <c r="AB226" s="110"/>
      <c r="AC226" s="110"/>
      <c r="AD226" s="110"/>
      <c r="AE226" s="110"/>
      <c r="AF226" s="110"/>
      <c r="AG226" s="110"/>
      <c r="AH226" s="110"/>
      <c r="AI226" s="110"/>
      <c r="AJ226" s="110"/>
      <c r="AK226" s="110"/>
      <c r="AL226" s="110"/>
      <c r="AM226" s="110"/>
      <c r="AN226" s="110"/>
      <c r="AO226" s="110"/>
      <c r="AP226" s="110"/>
      <c r="AQ226" s="110"/>
      <c r="AR226" s="110"/>
      <c r="AS226" s="110"/>
      <c r="AT226" s="110"/>
      <c r="AU226" s="110"/>
      <c r="AV226" s="110"/>
      <c r="AW226" s="110"/>
      <c r="AX226" s="110"/>
      <c r="AY226" s="110"/>
      <c r="AZ226" s="110"/>
      <c r="BA226" s="110"/>
      <c r="BB226" s="110"/>
      <c r="BC226" s="110"/>
      <c r="BD226" s="110"/>
      <c r="BE226" s="110"/>
      <c r="BF226" s="110"/>
      <c r="BG226" s="110"/>
      <c r="BH226" s="110"/>
      <c r="BI226" s="110"/>
      <c r="BJ226" s="110"/>
      <c r="BK226" s="110"/>
      <c r="BL226" s="110"/>
      <c r="BM226" s="110"/>
      <c r="BN226" s="110"/>
      <c r="BO226" s="110"/>
      <c r="BP226" s="110"/>
      <c r="BQ226" s="110"/>
      <c r="BR226" s="110"/>
      <c r="BS226" s="110"/>
      <c r="BT226" s="110"/>
      <c r="BU226" s="110"/>
      <c r="BV226" s="110"/>
      <c r="BW226" s="110"/>
      <c r="BX226" s="110"/>
      <c r="BY226" s="110"/>
      <c r="BZ226" s="110"/>
      <c r="CA226" s="110"/>
      <c r="CB226" s="110"/>
      <c r="CC226" s="110"/>
      <c r="CD226" s="110"/>
      <c r="CE226" s="110"/>
      <c r="CF226" s="110"/>
    </row>
    <row r="227" spans="1:84" s="45" customFormat="1" x14ac:dyDescent="0.25">
      <c r="A227" t="str">
        <f>Funktional!A226</f>
        <v>Schurten</v>
      </c>
      <c r="B227" t="str">
        <f>Funktional!B226</f>
        <v>KiGa</v>
      </c>
      <c r="C227" s="365">
        <v>0</v>
      </c>
      <c r="D227" s="365">
        <v>141821</v>
      </c>
      <c r="E227" s="365">
        <v>10908.95</v>
      </c>
      <c r="F227" s="119">
        <f t="shared" si="83"/>
        <v>152729.95000000001</v>
      </c>
      <c r="G227" s="43"/>
      <c r="H227" s="119">
        <f t="shared" si="79"/>
        <v>152729.95000000001</v>
      </c>
      <c r="I227" s="377"/>
      <c r="J227" s="124">
        <f t="shared" ref="J227:J242" si="86">C227/H227</f>
        <v>0</v>
      </c>
      <c r="K227" s="42">
        <f t="shared" si="84"/>
        <v>1</v>
      </c>
      <c r="L227" s="372">
        <f t="shared" si="85"/>
        <v>0</v>
      </c>
      <c r="M227" s="372"/>
      <c r="N227" s="406"/>
      <c r="O227" s="44"/>
      <c r="P227" s="80"/>
      <c r="Q227" s="43"/>
      <c r="R227" s="43"/>
      <c r="S227" s="43"/>
      <c r="T227" s="43"/>
      <c r="U227" s="43"/>
      <c r="V227" s="43"/>
      <c r="W227" s="43"/>
      <c r="X227" s="43"/>
      <c r="Y227" s="110"/>
      <c r="Z227" s="110"/>
      <c r="AA227" s="110"/>
      <c r="AB227" s="110"/>
      <c r="AC227" s="110"/>
      <c r="AD227" s="110"/>
      <c r="AE227" s="110"/>
      <c r="AF227" s="110"/>
      <c r="AG227" s="110"/>
      <c r="AH227" s="110"/>
      <c r="AI227" s="110"/>
      <c r="AJ227" s="110"/>
      <c r="AK227" s="110"/>
      <c r="AL227" s="110"/>
      <c r="AM227" s="110"/>
      <c r="AN227" s="110"/>
      <c r="AO227" s="110"/>
      <c r="AP227" s="110"/>
      <c r="AQ227" s="110"/>
      <c r="AR227" s="110"/>
      <c r="AS227" s="110"/>
      <c r="AT227" s="110"/>
      <c r="AU227" s="110"/>
      <c r="AV227" s="110"/>
      <c r="AW227" s="110"/>
      <c r="AX227" s="110"/>
      <c r="AY227" s="110"/>
      <c r="AZ227" s="110"/>
      <c r="BA227" s="110"/>
      <c r="BB227" s="110"/>
      <c r="BC227" s="110"/>
      <c r="BD227" s="110"/>
      <c r="BE227" s="110"/>
      <c r="BF227" s="110"/>
      <c r="BG227" s="110"/>
      <c r="BH227" s="110"/>
      <c r="BI227" s="110"/>
      <c r="BJ227" s="110"/>
      <c r="BK227" s="110"/>
      <c r="BL227" s="110"/>
      <c r="BM227" s="110"/>
      <c r="BN227" s="110"/>
      <c r="BO227" s="110"/>
      <c r="BP227" s="110"/>
      <c r="BQ227" s="110"/>
      <c r="BR227" s="110"/>
      <c r="BS227" s="110"/>
      <c r="BT227" s="110"/>
      <c r="BU227" s="110"/>
      <c r="BV227" s="110"/>
      <c r="BW227" s="110"/>
      <c r="BX227" s="110"/>
      <c r="BY227" s="110"/>
      <c r="BZ227" s="110"/>
      <c r="CA227" s="110"/>
      <c r="CB227" s="110"/>
      <c r="CC227" s="110"/>
      <c r="CD227" s="110"/>
      <c r="CE227" s="110"/>
      <c r="CF227" s="110"/>
    </row>
    <row r="228" spans="1:84" s="45" customFormat="1" x14ac:dyDescent="0.25">
      <c r="A228" t="str">
        <f>Funktional!A227</f>
        <v>Sirnach</v>
      </c>
      <c r="B228" t="str">
        <f>Funktional!B227</f>
        <v>KiGa</v>
      </c>
      <c r="C228" s="365">
        <v>543476.05000000005</v>
      </c>
      <c r="D228" s="365">
        <v>2520253.4</v>
      </c>
      <c r="E228" s="365">
        <v>199252.55</v>
      </c>
      <c r="F228" s="119">
        <f t="shared" si="83"/>
        <v>2719505.9499999997</v>
      </c>
      <c r="G228" s="43"/>
      <c r="H228" s="119">
        <f t="shared" si="79"/>
        <v>3262982</v>
      </c>
      <c r="I228" s="377"/>
      <c r="J228" s="124">
        <f t="shared" si="86"/>
        <v>0.16655809011511558</v>
      </c>
      <c r="K228" s="42">
        <f t="shared" si="84"/>
        <v>0.83344190988488431</v>
      </c>
      <c r="L228" s="372">
        <f t="shared" si="85"/>
        <v>0.16655809011511558</v>
      </c>
      <c r="M228" s="372"/>
      <c r="N228" s="406"/>
      <c r="O228" s="44"/>
      <c r="P228" s="80"/>
      <c r="Q228" s="43"/>
      <c r="R228" s="43"/>
      <c r="S228" s="43"/>
      <c r="T228" s="43"/>
      <c r="U228" s="43"/>
      <c r="V228" s="43"/>
      <c r="W228" s="43"/>
      <c r="X228" s="43"/>
      <c r="Y228" s="110"/>
      <c r="Z228" s="110"/>
      <c r="AA228" s="110"/>
      <c r="AB228" s="110"/>
      <c r="AC228" s="110"/>
      <c r="AD228" s="110"/>
      <c r="AE228" s="110"/>
      <c r="AF228" s="110"/>
      <c r="AG228" s="110"/>
      <c r="AH228" s="110"/>
      <c r="AI228" s="110"/>
      <c r="AJ228" s="110"/>
      <c r="AK228" s="110"/>
      <c r="AL228" s="110"/>
      <c r="AM228" s="110"/>
      <c r="AN228" s="110"/>
      <c r="AO228" s="110"/>
      <c r="AP228" s="110"/>
      <c r="AQ228" s="110"/>
      <c r="AR228" s="110"/>
      <c r="AS228" s="110"/>
      <c r="AT228" s="110"/>
      <c r="AU228" s="110"/>
      <c r="AV228" s="110"/>
      <c r="AW228" s="110"/>
      <c r="AX228" s="110"/>
      <c r="AY228" s="110"/>
      <c r="AZ228" s="110"/>
      <c r="BA228" s="110"/>
      <c r="BB228" s="110"/>
      <c r="BC228" s="110"/>
      <c r="BD228" s="110"/>
      <c r="BE228" s="110"/>
      <c r="BF228" s="110"/>
      <c r="BG228" s="110"/>
      <c r="BH228" s="110"/>
      <c r="BI228" s="110"/>
      <c r="BJ228" s="110"/>
      <c r="BK228" s="110"/>
      <c r="BL228" s="110"/>
      <c r="BM228" s="110"/>
      <c r="BN228" s="110"/>
      <c r="BO228" s="110"/>
      <c r="BP228" s="110"/>
      <c r="BQ228" s="110"/>
      <c r="BR228" s="110"/>
      <c r="BS228" s="110"/>
      <c r="BT228" s="110"/>
      <c r="BU228" s="110"/>
      <c r="BV228" s="110"/>
      <c r="BW228" s="110"/>
      <c r="BX228" s="110"/>
      <c r="BY228" s="110"/>
      <c r="BZ228" s="110"/>
      <c r="CA228" s="110"/>
      <c r="CB228" s="110"/>
      <c r="CC228" s="110"/>
      <c r="CD228" s="110"/>
      <c r="CE228" s="110"/>
      <c r="CF228" s="110"/>
    </row>
    <row r="229" spans="1:84" s="45" customFormat="1" x14ac:dyDescent="0.25">
      <c r="A229" t="str">
        <f>Funktional!A228</f>
        <v>Sitterdorf</v>
      </c>
      <c r="B229" t="str">
        <f>Funktional!B228</f>
        <v>KiGa</v>
      </c>
      <c r="C229" s="365">
        <v>178902.85</v>
      </c>
      <c r="D229" s="365">
        <v>672723.9</v>
      </c>
      <c r="E229" s="365">
        <v>49722.35</v>
      </c>
      <c r="F229" s="119">
        <f t="shared" si="83"/>
        <v>722446.25</v>
      </c>
      <c r="G229" s="43"/>
      <c r="H229" s="119">
        <f t="shared" si="79"/>
        <v>901349.1</v>
      </c>
      <c r="I229" s="377"/>
      <c r="J229" s="124">
        <f t="shared" si="86"/>
        <v>0.19848341780116052</v>
      </c>
      <c r="K229" s="42">
        <f t="shared" si="84"/>
        <v>0.80151658219883948</v>
      </c>
      <c r="L229" s="372">
        <f t="shared" si="85"/>
        <v>0.19848341780116052</v>
      </c>
      <c r="M229" s="372"/>
      <c r="N229" s="406"/>
      <c r="O229" s="44"/>
      <c r="P229" s="80"/>
      <c r="Q229" s="43"/>
      <c r="R229" s="43"/>
      <c r="S229" s="43"/>
      <c r="T229" s="43"/>
      <c r="U229" s="43"/>
      <c r="V229" s="43"/>
      <c r="W229" s="43"/>
      <c r="X229" s="43"/>
      <c r="Y229" s="110"/>
      <c r="Z229" s="110"/>
      <c r="AA229" s="110"/>
      <c r="AB229" s="110"/>
      <c r="AC229" s="110"/>
      <c r="AD229" s="110"/>
      <c r="AE229" s="110"/>
      <c r="AF229" s="110"/>
      <c r="AG229" s="110"/>
      <c r="AH229" s="110"/>
      <c r="AI229" s="110"/>
      <c r="AJ229" s="110"/>
      <c r="AK229" s="110"/>
      <c r="AL229" s="110"/>
      <c r="AM229" s="110"/>
      <c r="AN229" s="110"/>
      <c r="AO229" s="110"/>
      <c r="AP229" s="110"/>
      <c r="AQ229" s="110"/>
      <c r="AR229" s="110"/>
      <c r="AS229" s="110"/>
      <c r="AT229" s="110"/>
      <c r="AU229" s="110"/>
      <c r="AV229" s="110"/>
      <c r="AW229" s="110"/>
      <c r="AX229" s="110"/>
      <c r="AY229" s="110"/>
      <c r="AZ229" s="110"/>
      <c r="BA229" s="110"/>
      <c r="BB229" s="110"/>
      <c r="BC229" s="110"/>
      <c r="BD229" s="110"/>
      <c r="BE229" s="110"/>
      <c r="BF229" s="110"/>
      <c r="BG229" s="110"/>
      <c r="BH229" s="110"/>
      <c r="BI229" s="110"/>
      <c r="BJ229" s="110"/>
      <c r="BK229" s="110"/>
      <c r="BL229" s="110"/>
      <c r="BM229" s="110"/>
      <c r="BN229" s="110"/>
      <c r="BO229" s="110"/>
      <c r="BP229" s="110"/>
      <c r="BQ229" s="110"/>
      <c r="BR229" s="110"/>
      <c r="BS229" s="110"/>
      <c r="BT229" s="110"/>
      <c r="BU229" s="110"/>
      <c r="BV229" s="110"/>
      <c r="BW229" s="110"/>
      <c r="BX229" s="110"/>
      <c r="BY229" s="110"/>
      <c r="BZ229" s="110"/>
      <c r="CA229" s="110"/>
      <c r="CB229" s="110"/>
      <c r="CC229" s="110"/>
      <c r="CD229" s="110"/>
      <c r="CE229" s="110"/>
      <c r="CF229" s="110"/>
    </row>
    <row r="230" spans="1:84" s="45" customFormat="1" x14ac:dyDescent="0.25">
      <c r="A230" t="str">
        <f>Funktional!A229</f>
        <v>Sommeri</v>
      </c>
      <c r="B230" t="str">
        <f>Funktional!B229</f>
        <v>KiGa</v>
      </c>
      <c r="C230" s="365">
        <v>80224.55</v>
      </c>
      <c r="D230" s="365">
        <v>251214.25</v>
      </c>
      <c r="E230" s="365">
        <v>21100.15</v>
      </c>
      <c r="F230" s="119">
        <f t="shared" si="83"/>
        <v>272314.40000000002</v>
      </c>
      <c r="G230" s="43"/>
      <c r="H230" s="119">
        <f t="shared" si="79"/>
        <v>352538.95</v>
      </c>
      <c r="I230" s="377"/>
      <c r="J230" s="124">
        <f t="shared" si="86"/>
        <v>0.2275622310669502</v>
      </c>
      <c r="K230" s="42">
        <f t="shared" si="84"/>
        <v>0.77243776893304983</v>
      </c>
      <c r="L230" s="372">
        <f t="shared" si="85"/>
        <v>0.2275622310669502</v>
      </c>
      <c r="M230" s="372"/>
      <c r="N230" s="406"/>
      <c r="O230" s="44"/>
      <c r="P230" s="80"/>
      <c r="Q230" s="43"/>
      <c r="R230" s="43"/>
      <c r="S230" s="43"/>
      <c r="T230" s="43"/>
      <c r="U230" s="43"/>
      <c r="V230" s="43"/>
      <c r="W230" s="43"/>
      <c r="X230" s="43"/>
      <c r="Y230" s="110"/>
      <c r="Z230" s="110"/>
      <c r="AA230" s="110"/>
      <c r="AB230" s="110"/>
      <c r="AC230" s="110"/>
      <c r="AD230" s="110"/>
      <c r="AE230" s="110"/>
      <c r="AF230" s="110"/>
      <c r="AG230" s="110"/>
      <c r="AH230" s="110"/>
      <c r="AI230" s="110"/>
      <c r="AJ230" s="110"/>
      <c r="AK230" s="110"/>
      <c r="AL230" s="110"/>
      <c r="AM230" s="110"/>
      <c r="AN230" s="110"/>
      <c r="AO230" s="110"/>
      <c r="AP230" s="110"/>
      <c r="AQ230" s="110"/>
      <c r="AR230" s="110"/>
      <c r="AS230" s="110"/>
      <c r="AT230" s="110"/>
      <c r="AU230" s="110"/>
      <c r="AV230" s="110"/>
      <c r="AW230" s="110"/>
      <c r="AX230" s="110"/>
      <c r="AY230" s="110"/>
      <c r="AZ230" s="110"/>
      <c r="BA230" s="110"/>
      <c r="BB230" s="110"/>
      <c r="BC230" s="110"/>
      <c r="BD230" s="110"/>
      <c r="BE230" s="110"/>
      <c r="BF230" s="110"/>
      <c r="BG230" s="110"/>
      <c r="BH230" s="110"/>
      <c r="BI230" s="110"/>
      <c r="BJ230" s="110"/>
      <c r="BK230" s="110"/>
      <c r="BL230" s="110"/>
      <c r="BM230" s="110"/>
      <c r="BN230" s="110"/>
      <c r="BO230" s="110"/>
      <c r="BP230" s="110"/>
      <c r="BQ230" s="110"/>
      <c r="BR230" s="110"/>
      <c r="BS230" s="110"/>
      <c r="BT230" s="110"/>
      <c r="BU230" s="110"/>
      <c r="BV230" s="110"/>
      <c r="BW230" s="110"/>
      <c r="BX230" s="110"/>
      <c r="BY230" s="110"/>
      <c r="BZ230" s="110"/>
      <c r="CA230" s="110"/>
      <c r="CB230" s="110"/>
      <c r="CC230" s="110"/>
      <c r="CD230" s="110"/>
      <c r="CE230" s="110"/>
      <c r="CF230" s="110"/>
    </row>
    <row r="231" spans="1:84" s="45" customFormat="1" x14ac:dyDescent="0.25">
      <c r="A231" t="str">
        <f>Funktional!A230</f>
        <v>Sonterswil</v>
      </c>
      <c r="B231" t="str">
        <f>Funktional!B230</f>
        <v>KiGa</v>
      </c>
      <c r="C231" s="365">
        <v>87396</v>
      </c>
      <c r="D231" s="365">
        <v>361778.95</v>
      </c>
      <c r="E231" s="365">
        <v>38669.300000000003</v>
      </c>
      <c r="F231" s="119">
        <f t="shared" si="83"/>
        <v>400448.25</v>
      </c>
      <c r="G231" s="43"/>
      <c r="H231" s="119">
        <f t="shared" si="79"/>
        <v>487844.25</v>
      </c>
      <c r="I231" s="377"/>
      <c r="J231" s="124">
        <f t="shared" si="86"/>
        <v>0.17914734057027423</v>
      </c>
      <c r="K231" s="42">
        <f t="shared" si="84"/>
        <v>0.82085265942972574</v>
      </c>
      <c r="L231" s="372">
        <f t="shared" si="85"/>
        <v>0.17914734057027423</v>
      </c>
      <c r="M231" s="372"/>
      <c r="N231" s="406"/>
      <c r="O231" s="44"/>
      <c r="P231" s="80"/>
      <c r="Q231" s="43"/>
      <c r="R231" s="43"/>
      <c r="S231" s="43"/>
      <c r="T231" s="43"/>
      <c r="U231" s="43"/>
      <c r="V231" s="43"/>
      <c r="W231" s="43"/>
      <c r="X231" s="43"/>
      <c r="Y231" s="110"/>
      <c r="Z231" s="110"/>
      <c r="AA231" s="110"/>
      <c r="AB231" s="110"/>
      <c r="AC231" s="110"/>
      <c r="AD231" s="110"/>
      <c r="AE231" s="110"/>
      <c r="AF231" s="110"/>
      <c r="AG231" s="110"/>
      <c r="AH231" s="110"/>
      <c r="AI231" s="110"/>
      <c r="AJ231" s="110"/>
      <c r="AK231" s="110"/>
      <c r="AL231" s="110"/>
      <c r="AM231" s="110"/>
      <c r="AN231" s="110"/>
      <c r="AO231" s="110"/>
      <c r="AP231" s="110"/>
      <c r="AQ231" s="110"/>
      <c r="AR231" s="110"/>
      <c r="AS231" s="110"/>
      <c r="AT231" s="110"/>
      <c r="AU231" s="110"/>
      <c r="AV231" s="110"/>
      <c r="AW231" s="110"/>
      <c r="AX231" s="110"/>
      <c r="AY231" s="110"/>
      <c r="AZ231" s="110"/>
      <c r="BA231" s="110"/>
      <c r="BB231" s="110"/>
      <c r="BC231" s="110"/>
      <c r="BD231" s="110"/>
      <c r="BE231" s="110"/>
      <c r="BF231" s="110"/>
      <c r="BG231" s="110"/>
      <c r="BH231" s="110"/>
      <c r="BI231" s="110"/>
      <c r="BJ231" s="110"/>
      <c r="BK231" s="110"/>
      <c r="BL231" s="110"/>
      <c r="BM231" s="110"/>
      <c r="BN231" s="110"/>
      <c r="BO231" s="110"/>
      <c r="BP231" s="110"/>
      <c r="BQ231" s="110"/>
      <c r="BR231" s="110"/>
      <c r="BS231" s="110"/>
      <c r="BT231" s="110"/>
      <c r="BU231" s="110"/>
      <c r="BV231" s="110"/>
      <c r="BW231" s="110"/>
      <c r="BX231" s="110"/>
      <c r="BY231" s="110"/>
      <c r="BZ231" s="110"/>
      <c r="CA231" s="110"/>
      <c r="CB231" s="110"/>
      <c r="CC231" s="110"/>
      <c r="CD231" s="110"/>
      <c r="CE231" s="110"/>
      <c r="CF231" s="110"/>
    </row>
    <row r="232" spans="1:84" s="45" customFormat="1" x14ac:dyDescent="0.25">
      <c r="A232" t="str">
        <f>Funktional!A231</f>
        <v>Steckborn</v>
      </c>
      <c r="B232" t="str">
        <f>Funktional!B231</f>
        <v>KiGa</v>
      </c>
      <c r="C232" s="365">
        <v>386641.65</v>
      </c>
      <c r="D232" s="365">
        <v>1868089.75</v>
      </c>
      <c r="E232" s="365">
        <v>135334.35</v>
      </c>
      <c r="F232" s="119">
        <f t="shared" si="83"/>
        <v>2003424.1</v>
      </c>
      <c r="G232" s="43"/>
      <c r="H232" s="119">
        <f t="shared" ref="H232:H247" si="87">C232+F232+I232</f>
        <v>2390065.75</v>
      </c>
      <c r="I232" s="377"/>
      <c r="J232" s="124">
        <f t="shared" si="86"/>
        <v>0.16177029857860606</v>
      </c>
      <c r="K232" s="42">
        <f t="shared" si="84"/>
        <v>0.83822970142139397</v>
      </c>
      <c r="L232" s="372">
        <f t="shared" si="85"/>
        <v>0.16177029857860606</v>
      </c>
      <c r="M232" s="372"/>
      <c r="N232" s="406"/>
      <c r="O232" s="44"/>
      <c r="P232" s="80"/>
      <c r="Q232" s="43"/>
      <c r="R232" s="43"/>
      <c r="S232" s="43"/>
      <c r="T232" s="43"/>
      <c r="U232" s="43"/>
      <c r="V232" s="43"/>
      <c r="W232" s="43"/>
      <c r="X232" s="43"/>
      <c r="Y232" s="110"/>
      <c r="Z232" s="110"/>
      <c r="AA232" s="110"/>
      <c r="AB232" s="110"/>
      <c r="AC232" s="110"/>
      <c r="AD232" s="110"/>
      <c r="AE232" s="110"/>
      <c r="AF232" s="110"/>
      <c r="AG232" s="110"/>
      <c r="AH232" s="110"/>
      <c r="AI232" s="110"/>
      <c r="AJ232" s="110"/>
      <c r="AK232" s="110"/>
      <c r="AL232" s="110"/>
      <c r="AM232" s="110"/>
      <c r="AN232" s="110"/>
      <c r="AO232" s="110"/>
      <c r="AP232" s="110"/>
      <c r="AQ232" s="110"/>
      <c r="AR232" s="110"/>
      <c r="AS232" s="110"/>
      <c r="AT232" s="110"/>
      <c r="AU232" s="110"/>
      <c r="AV232" s="110"/>
      <c r="AW232" s="110"/>
      <c r="AX232" s="110"/>
      <c r="AY232" s="110"/>
      <c r="AZ232" s="110"/>
      <c r="BA232" s="110"/>
      <c r="BB232" s="110"/>
      <c r="BC232" s="110"/>
      <c r="BD232" s="110"/>
      <c r="BE232" s="110"/>
      <c r="BF232" s="110"/>
      <c r="BG232" s="110"/>
      <c r="BH232" s="110"/>
      <c r="BI232" s="110"/>
      <c r="BJ232" s="110"/>
      <c r="BK232" s="110"/>
      <c r="BL232" s="110"/>
      <c r="BM232" s="110"/>
      <c r="BN232" s="110"/>
      <c r="BO232" s="110"/>
      <c r="BP232" s="110"/>
      <c r="BQ232" s="110"/>
      <c r="BR232" s="110"/>
      <c r="BS232" s="110"/>
      <c r="BT232" s="110"/>
      <c r="BU232" s="110"/>
      <c r="BV232" s="110"/>
      <c r="BW232" s="110"/>
      <c r="BX232" s="110"/>
      <c r="BY232" s="110"/>
      <c r="BZ232" s="110"/>
      <c r="CA232" s="110"/>
      <c r="CB232" s="110"/>
      <c r="CC232" s="110"/>
      <c r="CD232" s="110"/>
      <c r="CE232" s="110"/>
      <c r="CF232" s="110"/>
    </row>
    <row r="233" spans="1:84" s="45" customFormat="1" x14ac:dyDescent="0.25">
      <c r="A233" t="str">
        <f>Funktional!A232</f>
        <v>Steinebrunn</v>
      </c>
      <c r="B233" t="str">
        <f>Funktional!B232</f>
        <v>KiGa</v>
      </c>
      <c r="C233" s="365">
        <v>89699</v>
      </c>
      <c r="D233" s="365">
        <v>388544.05</v>
      </c>
      <c r="E233" s="365">
        <v>38019.550000000003</v>
      </c>
      <c r="F233" s="119">
        <f t="shared" si="83"/>
        <v>426563.6</v>
      </c>
      <c r="G233" s="43"/>
      <c r="H233" s="119">
        <f t="shared" si="87"/>
        <v>516262.6</v>
      </c>
      <c r="I233" s="377"/>
      <c r="J233" s="124">
        <f t="shared" si="86"/>
        <v>0.17374684898731771</v>
      </c>
      <c r="K233" s="42">
        <f t="shared" si="84"/>
        <v>0.82625315101268226</v>
      </c>
      <c r="L233" s="372">
        <f t="shared" si="85"/>
        <v>0.17374684898731771</v>
      </c>
      <c r="M233" s="372"/>
      <c r="N233" s="406"/>
      <c r="O233" s="44"/>
      <c r="P233" s="80"/>
      <c r="Q233" s="43"/>
      <c r="R233" s="43"/>
      <c r="S233" s="43"/>
      <c r="T233" s="43"/>
      <c r="U233" s="43"/>
      <c r="V233" s="43"/>
      <c r="W233" s="43"/>
      <c r="X233" s="43"/>
      <c r="Y233" s="110"/>
      <c r="Z233" s="110"/>
      <c r="AA233" s="110"/>
      <c r="AB233" s="110"/>
      <c r="AC233" s="110"/>
      <c r="AD233" s="110"/>
      <c r="AE233" s="110"/>
      <c r="AF233" s="110"/>
      <c r="AG233" s="110"/>
      <c r="AH233" s="110"/>
      <c r="AI233" s="110"/>
      <c r="AJ233" s="110"/>
      <c r="AK233" s="110"/>
      <c r="AL233" s="110"/>
      <c r="AM233" s="110"/>
      <c r="AN233" s="110"/>
      <c r="AO233" s="110"/>
      <c r="AP233" s="110"/>
      <c r="AQ233" s="110"/>
      <c r="AR233" s="110"/>
      <c r="AS233" s="110"/>
      <c r="AT233" s="110"/>
      <c r="AU233" s="110"/>
      <c r="AV233" s="110"/>
      <c r="AW233" s="110"/>
      <c r="AX233" s="110"/>
      <c r="AY233" s="110"/>
      <c r="AZ233" s="110"/>
      <c r="BA233" s="110"/>
      <c r="BB233" s="110"/>
      <c r="BC233" s="110"/>
      <c r="BD233" s="110"/>
      <c r="BE233" s="110"/>
      <c r="BF233" s="110"/>
      <c r="BG233" s="110"/>
      <c r="BH233" s="110"/>
      <c r="BI233" s="110"/>
      <c r="BJ233" s="110"/>
      <c r="BK233" s="110"/>
      <c r="BL233" s="110"/>
      <c r="BM233" s="110"/>
      <c r="BN233" s="110"/>
      <c r="BO233" s="110"/>
      <c r="BP233" s="110"/>
      <c r="BQ233" s="110"/>
      <c r="BR233" s="110"/>
      <c r="BS233" s="110"/>
      <c r="BT233" s="110"/>
      <c r="BU233" s="110"/>
      <c r="BV233" s="110"/>
      <c r="BW233" s="110"/>
      <c r="BX233" s="110"/>
      <c r="BY233" s="110"/>
      <c r="BZ233" s="110"/>
      <c r="CA233" s="110"/>
      <c r="CB233" s="110"/>
      <c r="CC233" s="110"/>
      <c r="CD233" s="110"/>
      <c r="CE233" s="110"/>
      <c r="CF233" s="110"/>
    </row>
    <row r="234" spans="1:84" s="45" customFormat="1" x14ac:dyDescent="0.25">
      <c r="A234" t="str">
        <f>Funktional!A233</f>
        <v>Stettfurt</v>
      </c>
      <c r="B234" t="str">
        <f>Funktional!B233</f>
        <v>KiGa</v>
      </c>
      <c r="C234" s="365">
        <v>167918.3</v>
      </c>
      <c r="D234" s="365">
        <v>469288.95</v>
      </c>
      <c r="E234" s="365">
        <v>51262.05</v>
      </c>
      <c r="F234" s="119">
        <f t="shared" si="83"/>
        <v>520551</v>
      </c>
      <c r="G234" s="43"/>
      <c r="H234" s="119">
        <f t="shared" si="87"/>
        <v>688469.3</v>
      </c>
      <c r="I234" s="377"/>
      <c r="J234" s="124">
        <f t="shared" si="86"/>
        <v>0.24390092630128893</v>
      </c>
      <c r="K234" s="42">
        <f t="shared" si="84"/>
        <v>0.75609907369871099</v>
      </c>
      <c r="L234" s="372">
        <f t="shared" si="85"/>
        <v>0.24390092630128893</v>
      </c>
      <c r="M234" s="372"/>
      <c r="N234" s="406"/>
      <c r="O234" s="44"/>
      <c r="P234" s="80"/>
      <c r="Q234" s="43"/>
      <c r="R234" s="43"/>
      <c r="S234" s="43"/>
      <c r="T234" s="43"/>
      <c r="U234" s="43"/>
      <c r="V234" s="43"/>
      <c r="W234" s="43"/>
      <c r="X234" s="43"/>
      <c r="Y234" s="110"/>
      <c r="Z234" s="110"/>
      <c r="AA234" s="110"/>
      <c r="AB234" s="110"/>
      <c r="AC234" s="110"/>
      <c r="AD234" s="110"/>
      <c r="AE234" s="110"/>
      <c r="AF234" s="110"/>
      <c r="AG234" s="110"/>
      <c r="AH234" s="110"/>
      <c r="AI234" s="110"/>
      <c r="AJ234" s="110"/>
      <c r="AK234" s="110"/>
      <c r="AL234" s="110"/>
      <c r="AM234" s="110"/>
      <c r="AN234" s="110"/>
      <c r="AO234" s="110"/>
      <c r="AP234" s="110"/>
      <c r="AQ234" s="110"/>
      <c r="AR234" s="110"/>
      <c r="AS234" s="110"/>
      <c r="AT234" s="110"/>
      <c r="AU234" s="110"/>
      <c r="AV234" s="110"/>
      <c r="AW234" s="110"/>
      <c r="AX234" s="110"/>
      <c r="AY234" s="110"/>
      <c r="AZ234" s="110"/>
      <c r="BA234" s="110"/>
      <c r="BB234" s="110"/>
      <c r="BC234" s="110"/>
      <c r="BD234" s="110"/>
      <c r="BE234" s="110"/>
      <c r="BF234" s="110"/>
      <c r="BG234" s="110"/>
      <c r="BH234" s="110"/>
      <c r="BI234" s="110"/>
      <c r="BJ234" s="110"/>
      <c r="BK234" s="110"/>
      <c r="BL234" s="110"/>
      <c r="BM234" s="110"/>
      <c r="BN234" s="110"/>
      <c r="BO234" s="110"/>
      <c r="BP234" s="110"/>
      <c r="BQ234" s="110"/>
      <c r="BR234" s="110"/>
      <c r="BS234" s="110"/>
      <c r="BT234" s="110"/>
      <c r="BU234" s="110"/>
      <c r="BV234" s="110"/>
      <c r="BW234" s="110"/>
      <c r="BX234" s="110"/>
      <c r="BY234" s="110"/>
      <c r="BZ234" s="110"/>
      <c r="CA234" s="110"/>
      <c r="CB234" s="110"/>
      <c r="CC234" s="110"/>
      <c r="CD234" s="110"/>
      <c r="CE234" s="110"/>
      <c r="CF234" s="110"/>
    </row>
    <row r="235" spans="1:84" s="45" customFormat="1" x14ac:dyDescent="0.25">
      <c r="A235" t="str">
        <f>Funktional!A234</f>
        <v>Strohwilen-Wolfikon</v>
      </c>
      <c r="B235" t="str">
        <f>Funktional!B234</f>
        <v>KiGa</v>
      </c>
      <c r="C235" s="365">
        <v>62438.8</v>
      </c>
      <c r="D235" s="365">
        <v>156987.20000000001</v>
      </c>
      <c r="E235" s="365">
        <v>8866.4500000000007</v>
      </c>
      <c r="F235" s="119">
        <f t="shared" si="83"/>
        <v>165853.65000000002</v>
      </c>
      <c r="G235" s="43"/>
      <c r="H235" s="119">
        <f t="shared" si="87"/>
        <v>228292.45</v>
      </c>
      <c r="I235" s="377"/>
      <c r="J235" s="124">
        <f t="shared" si="86"/>
        <v>0.27350356965374895</v>
      </c>
      <c r="K235" s="42">
        <f t="shared" si="84"/>
        <v>0.72649643034625111</v>
      </c>
      <c r="L235" s="372">
        <f t="shared" si="85"/>
        <v>0.27350356965374895</v>
      </c>
      <c r="M235" s="372"/>
      <c r="N235" s="406"/>
      <c r="O235" s="44"/>
      <c r="P235" s="80"/>
      <c r="Q235" s="43"/>
      <c r="R235" s="43"/>
      <c r="S235" s="43"/>
      <c r="T235" s="43"/>
      <c r="U235" s="43"/>
      <c r="V235" s="43"/>
      <c r="W235" s="43"/>
      <c r="X235" s="43"/>
      <c r="Y235" s="110"/>
      <c r="Z235" s="110"/>
      <c r="AA235" s="110"/>
      <c r="AB235" s="110"/>
      <c r="AC235" s="110"/>
      <c r="AD235" s="110"/>
      <c r="AE235" s="110"/>
      <c r="AF235" s="110"/>
      <c r="AG235" s="110"/>
      <c r="AH235" s="110"/>
      <c r="AI235" s="110"/>
      <c r="AJ235" s="110"/>
      <c r="AK235" s="110"/>
      <c r="AL235" s="110"/>
      <c r="AM235" s="110"/>
      <c r="AN235" s="110"/>
      <c r="AO235" s="110"/>
      <c r="AP235" s="110"/>
      <c r="AQ235" s="110"/>
      <c r="AR235" s="110"/>
      <c r="AS235" s="110"/>
      <c r="AT235" s="110"/>
      <c r="AU235" s="110"/>
      <c r="AV235" s="110"/>
      <c r="AW235" s="110"/>
      <c r="AX235" s="110"/>
      <c r="AY235" s="110"/>
      <c r="AZ235" s="110"/>
      <c r="BA235" s="110"/>
      <c r="BB235" s="110"/>
      <c r="BC235" s="110"/>
      <c r="BD235" s="110"/>
      <c r="BE235" s="110"/>
      <c r="BF235" s="110"/>
      <c r="BG235" s="110"/>
      <c r="BH235" s="110"/>
      <c r="BI235" s="110"/>
      <c r="BJ235" s="110"/>
      <c r="BK235" s="110"/>
      <c r="BL235" s="110"/>
      <c r="BM235" s="110"/>
      <c r="BN235" s="110"/>
      <c r="BO235" s="110"/>
      <c r="BP235" s="110"/>
      <c r="BQ235" s="110"/>
      <c r="BR235" s="110"/>
      <c r="BS235" s="110"/>
      <c r="BT235" s="110"/>
      <c r="BU235" s="110"/>
      <c r="BV235" s="110"/>
      <c r="BW235" s="110"/>
      <c r="BX235" s="110"/>
      <c r="BY235" s="110"/>
      <c r="BZ235" s="110"/>
      <c r="CA235" s="110"/>
      <c r="CB235" s="110"/>
      <c r="CC235" s="110"/>
      <c r="CD235" s="110"/>
      <c r="CE235" s="110"/>
      <c r="CF235" s="110"/>
    </row>
    <row r="236" spans="1:84" s="45" customFormat="1" x14ac:dyDescent="0.25">
      <c r="A236" t="str">
        <f>Funktional!A235</f>
        <v>Sulgen</v>
      </c>
      <c r="B236" t="str">
        <f>Funktional!B235</f>
        <v>KiGa</v>
      </c>
      <c r="C236" s="365">
        <v>357501.5</v>
      </c>
      <c r="D236" s="365">
        <v>1808899.95</v>
      </c>
      <c r="E236" s="365">
        <v>163802.95000000001</v>
      </c>
      <c r="F236" s="119">
        <f t="shared" si="83"/>
        <v>1972702.9</v>
      </c>
      <c r="G236" s="43"/>
      <c r="H236" s="119">
        <f t="shared" si="87"/>
        <v>2330204.4</v>
      </c>
      <c r="I236" s="377"/>
      <c r="J236" s="124">
        <f t="shared" si="86"/>
        <v>0.15342066129477741</v>
      </c>
      <c r="K236" s="42">
        <f t="shared" si="84"/>
        <v>0.84657933870522262</v>
      </c>
      <c r="L236" s="372">
        <f t="shared" si="85"/>
        <v>0.15342066129477741</v>
      </c>
      <c r="M236" s="372"/>
      <c r="N236" s="406"/>
      <c r="O236" s="44"/>
      <c r="P236" s="80"/>
      <c r="Q236" s="43"/>
      <c r="R236" s="43"/>
      <c r="S236" s="43"/>
      <c r="T236" s="43"/>
      <c r="U236" s="43"/>
      <c r="V236" s="43"/>
      <c r="W236" s="43"/>
      <c r="X236" s="43"/>
      <c r="Y236" s="110"/>
      <c r="Z236" s="110"/>
      <c r="AA236" s="110"/>
      <c r="AB236" s="110"/>
      <c r="AC236" s="110"/>
      <c r="AD236" s="110"/>
      <c r="AE236" s="110"/>
      <c r="AF236" s="110"/>
      <c r="AG236" s="110"/>
      <c r="AH236" s="110"/>
      <c r="AI236" s="110"/>
      <c r="AJ236" s="110"/>
      <c r="AK236" s="110"/>
      <c r="AL236" s="110"/>
      <c r="AM236" s="110"/>
      <c r="AN236" s="110"/>
      <c r="AO236" s="110"/>
      <c r="AP236" s="110"/>
      <c r="AQ236" s="110"/>
      <c r="AR236" s="110"/>
      <c r="AS236" s="110"/>
      <c r="AT236" s="110"/>
      <c r="AU236" s="110"/>
      <c r="AV236" s="110"/>
      <c r="AW236" s="110"/>
      <c r="AX236" s="110"/>
      <c r="AY236" s="110"/>
      <c r="AZ236" s="110"/>
      <c r="BA236" s="110"/>
      <c r="BB236" s="110"/>
      <c r="BC236" s="110"/>
      <c r="BD236" s="110"/>
      <c r="BE236" s="110"/>
      <c r="BF236" s="110"/>
      <c r="BG236" s="110"/>
      <c r="BH236" s="110"/>
      <c r="BI236" s="110"/>
      <c r="BJ236" s="110"/>
      <c r="BK236" s="110"/>
      <c r="BL236" s="110"/>
      <c r="BM236" s="110"/>
      <c r="BN236" s="110"/>
      <c r="BO236" s="110"/>
      <c r="BP236" s="110"/>
      <c r="BQ236" s="110"/>
      <c r="BR236" s="110"/>
      <c r="BS236" s="110"/>
      <c r="BT236" s="110"/>
      <c r="BU236" s="110"/>
      <c r="BV236" s="110"/>
      <c r="BW236" s="110"/>
      <c r="BX236" s="110"/>
      <c r="BY236" s="110"/>
      <c r="BZ236" s="110"/>
      <c r="CA236" s="110"/>
      <c r="CB236" s="110"/>
      <c r="CC236" s="110"/>
      <c r="CD236" s="110"/>
      <c r="CE236" s="110"/>
      <c r="CF236" s="110"/>
    </row>
    <row r="237" spans="1:84" s="45" customFormat="1" x14ac:dyDescent="0.25">
      <c r="A237" t="str">
        <f>Funktional!A236</f>
        <v>Tägerwilen</v>
      </c>
      <c r="B237" t="str">
        <f>Funktional!B236</f>
        <v>KiGa</v>
      </c>
      <c r="C237" s="365">
        <v>488870.2</v>
      </c>
      <c r="D237" s="365">
        <v>1783715.65</v>
      </c>
      <c r="E237" s="365">
        <v>110615.15</v>
      </c>
      <c r="F237" s="119">
        <f t="shared" si="83"/>
        <v>1894330.7999999998</v>
      </c>
      <c r="G237" s="43"/>
      <c r="H237" s="119">
        <f t="shared" si="87"/>
        <v>2383201</v>
      </c>
      <c r="I237" s="377"/>
      <c r="J237" s="124">
        <f t="shared" si="86"/>
        <v>0.20513175346938844</v>
      </c>
      <c r="K237" s="42">
        <f t="shared" si="84"/>
        <v>0.7948682465306115</v>
      </c>
      <c r="L237" s="372">
        <f t="shared" si="85"/>
        <v>0.20513175346938844</v>
      </c>
      <c r="M237" s="372"/>
      <c r="N237" s="406"/>
      <c r="O237" s="44"/>
      <c r="P237" s="80"/>
      <c r="Q237" s="43"/>
      <c r="R237" s="43"/>
      <c r="S237" s="43"/>
      <c r="T237" s="43"/>
      <c r="U237" s="43"/>
      <c r="V237" s="43"/>
      <c r="W237" s="43"/>
      <c r="X237" s="43"/>
      <c r="Y237" s="110"/>
      <c r="Z237" s="110"/>
      <c r="AA237" s="110"/>
      <c r="AB237" s="110"/>
      <c r="AC237" s="110"/>
      <c r="AD237" s="110"/>
      <c r="AE237" s="110"/>
      <c r="AF237" s="110"/>
      <c r="AG237" s="110"/>
      <c r="AH237" s="110"/>
      <c r="AI237" s="110"/>
      <c r="AJ237" s="110"/>
      <c r="AK237" s="110"/>
      <c r="AL237" s="110"/>
      <c r="AM237" s="110"/>
      <c r="AN237" s="110"/>
      <c r="AO237" s="110"/>
      <c r="AP237" s="110"/>
      <c r="AQ237" s="110"/>
      <c r="AR237" s="110"/>
      <c r="AS237" s="110"/>
      <c r="AT237" s="110"/>
      <c r="AU237" s="110"/>
      <c r="AV237" s="110"/>
      <c r="AW237" s="110"/>
      <c r="AX237" s="110"/>
      <c r="AY237" s="110"/>
      <c r="AZ237" s="110"/>
      <c r="BA237" s="110"/>
      <c r="BB237" s="110"/>
      <c r="BC237" s="110"/>
      <c r="BD237" s="110"/>
      <c r="BE237" s="110"/>
      <c r="BF237" s="110"/>
      <c r="BG237" s="110"/>
      <c r="BH237" s="110"/>
      <c r="BI237" s="110"/>
      <c r="BJ237" s="110"/>
      <c r="BK237" s="110"/>
      <c r="BL237" s="110"/>
      <c r="BM237" s="110"/>
      <c r="BN237" s="110"/>
      <c r="BO237" s="110"/>
      <c r="BP237" s="110"/>
      <c r="BQ237" s="110"/>
      <c r="BR237" s="110"/>
      <c r="BS237" s="110"/>
      <c r="BT237" s="110"/>
      <c r="BU237" s="110"/>
      <c r="BV237" s="110"/>
      <c r="BW237" s="110"/>
      <c r="BX237" s="110"/>
      <c r="BY237" s="110"/>
      <c r="BZ237" s="110"/>
      <c r="CA237" s="110"/>
      <c r="CB237" s="110"/>
      <c r="CC237" s="110"/>
      <c r="CD237" s="110"/>
      <c r="CE237" s="110"/>
      <c r="CF237" s="110"/>
    </row>
    <row r="238" spans="1:84" s="45" customFormat="1" x14ac:dyDescent="0.25">
      <c r="A238" t="str">
        <f>Funktional!A237</f>
        <v>Thundorf</v>
      </c>
      <c r="B238" t="str">
        <f>Funktional!B237</f>
        <v>KiGa</v>
      </c>
      <c r="C238" s="365">
        <v>135522.54999999999</v>
      </c>
      <c r="D238" s="365">
        <v>620243.55000000005</v>
      </c>
      <c r="E238" s="365">
        <v>63117.599999999999</v>
      </c>
      <c r="F238" s="119">
        <f t="shared" si="83"/>
        <v>683361.15</v>
      </c>
      <c r="G238" s="43"/>
      <c r="H238" s="119">
        <f t="shared" si="87"/>
        <v>818883.7</v>
      </c>
      <c r="I238" s="377"/>
      <c r="J238" s="124">
        <f t="shared" si="86"/>
        <v>0.1654966999587365</v>
      </c>
      <c r="K238" s="42">
        <f t="shared" si="84"/>
        <v>0.83450330004126361</v>
      </c>
      <c r="L238" s="372">
        <f t="shared" si="85"/>
        <v>0.1654966999587365</v>
      </c>
      <c r="M238" s="372"/>
      <c r="N238" s="406"/>
      <c r="O238" s="44"/>
      <c r="P238" s="80"/>
      <c r="Q238" s="43"/>
      <c r="R238" s="43"/>
      <c r="S238" s="43"/>
      <c r="T238" s="43"/>
      <c r="U238" s="43"/>
      <c r="V238" s="43"/>
      <c r="W238" s="43"/>
      <c r="X238" s="43"/>
      <c r="Y238" s="110"/>
      <c r="Z238" s="110"/>
      <c r="AA238" s="110"/>
      <c r="AB238" s="110"/>
      <c r="AC238" s="110"/>
      <c r="AD238" s="110"/>
      <c r="AE238" s="110"/>
      <c r="AF238" s="110"/>
      <c r="AG238" s="110"/>
      <c r="AH238" s="110"/>
      <c r="AI238" s="110"/>
      <c r="AJ238" s="110"/>
      <c r="AK238" s="110"/>
      <c r="AL238" s="110"/>
      <c r="AM238" s="110"/>
      <c r="AN238" s="110"/>
      <c r="AO238" s="110"/>
      <c r="AP238" s="110"/>
      <c r="AQ238" s="110"/>
      <c r="AR238" s="110"/>
      <c r="AS238" s="110"/>
      <c r="AT238" s="110"/>
      <c r="AU238" s="110"/>
      <c r="AV238" s="110"/>
      <c r="AW238" s="110"/>
      <c r="AX238" s="110"/>
      <c r="AY238" s="110"/>
      <c r="AZ238" s="110"/>
      <c r="BA238" s="110"/>
      <c r="BB238" s="110"/>
      <c r="BC238" s="110"/>
      <c r="BD238" s="110"/>
      <c r="BE238" s="110"/>
      <c r="BF238" s="110"/>
      <c r="BG238" s="110"/>
      <c r="BH238" s="110"/>
      <c r="BI238" s="110"/>
      <c r="BJ238" s="110"/>
      <c r="BK238" s="110"/>
      <c r="BL238" s="110"/>
      <c r="BM238" s="110"/>
      <c r="BN238" s="110"/>
      <c r="BO238" s="110"/>
      <c r="BP238" s="110"/>
      <c r="BQ238" s="110"/>
      <c r="BR238" s="110"/>
      <c r="BS238" s="110"/>
      <c r="BT238" s="110"/>
      <c r="BU238" s="110"/>
      <c r="BV238" s="110"/>
      <c r="BW238" s="110"/>
      <c r="BX238" s="110"/>
      <c r="BY238" s="110"/>
      <c r="BZ238" s="110"/>
      <c r="CA238" s="110"/>
      <c r="CB238" s="110"/>
      <c r="CC238" s="110"/>
      <c r="CD238" s="110"/>
      <c r="CE238" s="110"/>
      <c r="CF238" s="110"/>
    </row>
    <row r="239" spans="1:84" s="45" customFormat="1" x14ac:dyDescent="0.25">
      <c r="A239" t="str">
        <f>Funktional!A238</f>
        <v>Tobel</v>
      </c>
      <c r="B239" t="str">
        <f>Funktional!B238</f>
        <v>KiGa</v>
      </c>
      <c r="C239" s="365">
        <v>80016.649999999994</v>
      </c>
      <c r="D239" s="365">
        <v>722052.38</v>
      </c>
      <c r="E239" s="365">
        <v>58534.05</v>
      </c>
      <c r="F239" s="119">
        <f t="shared" si="83"/>
        <v>780586.43</v>
      </c>
      <c r="G239" s="43"/>
      <c r="H239" s="119">
        <f t="shared" si="87"/>
        <v>860603.08000000007</v>
      </c>
      <c r="I239" s="377"/>
      <c r="J239" s="124">
        <f t="shared" si="86"/>
        <v>9.2977415326006022E-2</v>
      </c>
      <c r="K239" s="42">
        <f t="shared" si="84"/>
        <v>0.90702258467399399</v>
      </c>
      <c r="L239" s="372">
        <f t="shared" si="85"/>
        <v>9.2977415326006022E-2</v>
      </c>
      <c r="M239" s="372"/>
      <c r="N239" s="406"/>
      <c r="O239" s="44"/>
      <c r="P239" s="80"/>
      <c r="Q239" s="43"/>
      <c r="R239" s="43"/>
      <c r="S239" s="43"/>
      <c r="T239" s="43"/>
      <c r="U239" s="43"/>
      <c r="V239" s="43"/>
      <c r="W239" s="43"/>
      <c r="X239" s="43"/>
      <c r="Y239" s="110"/>
      <c r="Z239" s="110"/>
      <c r="AA239" s="110"/>
      <c r="AB239" s="110"/>
      <c r="AC239" s="110"/>
      <c r="AD239" s="110"/>
      <c r="AE239" s="110"/>
      <c r="AF239" s="110"/>
      <c r="AG239" s="110"/>
      <c r="AH239" s="110"/>
      <c r="AI239" s="110"/>
      <c r="AJ239" s="110"/>
      <c r="AK239" s="110"/>
      <c r="AL239" s="110"/>
      <c r="AM239" s="110"/>
      <c r="AN239" s="110"/>
      <c r="AO239" s="110"/>
      <c r="AP239" s="110"/>
      <c r="AQ239" s="110"/>
      <c r="AR239" s="110"/>
      <c r="AS239" s="110"/>
      <c r="AT239" s="110"/>
      <c r="AU239" s="110"/>
      <c r="AV239" s="110"/>
      <c r="AW239" s="110"/>
      <c r="AX239" s="110"/>
      <c r="AY239" s="110"/>
      <c r="AZ239" s="110"/>
      <c r="BA239" s="110"/>
      <c r="BB239" s="110"/>
      <c r="BC239" s="110"/>
      <c r="BD239" s="110"/>
      <c r="BE239" s="110"/>
      <c r="BF239" s="110"/>
      <c r="BG239" s="110"/>
      <c r="BH239" s="110"/>
      <c r="BI239" s="110"/>
      <c r="BJ239" s="110"/>
      <c r="BK239" s="110"/>
      <c r="BL239" s="110"/>
      <c r="BM239" s="110"/>
      <c r="BN239" s="110"/>
      <c r="BO239" s="110"/>
      <c r="BP239" s="110"/>
      <c r="BQ239" s="110"/>
      <c r="BR239" s="110"/>
      <c r="BS239" s="110"/>
      <c r="BT239" s="110"/>
      <c r="BU239" s="110"/>
      <c r="BV239" s="110"/>
      <c r="BW239" s="110"/>
      <c r="BX239" s="110"/>
      <c r="BY239" s="110"/>
      <c r="BZ239" s="110"/>
      <c r="CA239" s="110"/>
      <c r="CB239" s="110"/>
      <c r="CC239" s="110"/>
      <c r="CD239" s="110"/>
      <c r="CE239" s="110"/>
      <c r="CF239" s="110"/>
    </row>
    <row r="240" spans="1:84" s="45" customFormat="1" x14ac:dyDescent="0.25">
      <c r="A240" t="str">
        <f>Funktional!A239</f>
        <v>Uesslingen</v>
      </c>
      <c r="B240" t="str">
        <f>Funktional!B239</f>
        <v>KiGa</v>
      </c>
      <c r="C240" s="365">
        <v>162074.79999999999</v>
      </c>
      <c r="D240" s="365">
        <v>442419.05</v>
      </c>
      <c r="E240" s="365">
        <v>48551.9</v>
      </c>
      <c r="F240" s="119">
        <f t="shared" si="83"/>
        <v>490970.95</v>
      </c>
      <c r="G240" s="43"/>
      <c r="H240" s="119">
        <f t="shared" si="87"/>
        <v>653045.75</v>
      </c>
      <c r="I240" s="377"/>
      <c r="J240" s="124">
        <f t="shared" si="86"/>
        <v>0.24818291827180561</v>
      </c>
      <c r="K240" s="42">
        <f t="shared" si="84"/>
        <v>0.75181708172819439</v>
      </c>
      <c r="L240" s="372">
        <f t="shared" si="85"/>
        <v>0.24818291827180561</v>
      </c>
      <c r="M240" s="372"/>
      <c r="N240" s="406"/>
      <c r="O240" s="44"/>
      <c r="P240" s="80"/>
      <c r="Q240" s="43"/>
      <c r="R240" s="43"/>
      <c r="S240" s="43"/>
      <c r="T240" s="43"/>
      <c r="U240" s="43"/>
      <c r="V240" s="43"/>
      <c r="W240" s="43"/>
      <c r="X240" s="43"/>
      <c r="Y240" s="110"/>
      <c r="Z240" s="110"/>
      <c r="AA240" s="110"/>
      <c r="AB240" s="110"/>
      <c r="AC240" s="110"/>
      <c r="AD240" s="110"/>
      <c r="AE240" s="110"/>
      <c r="AF240" s="110"/>
      <c r="AG240" s="110"/>
      <c r="AH240" s="110"/>
      <c r="AI240" s="110"/>
      <c r="AJ240" s="110"/>
      <c r="AK240" s="110"/>
      <c r="AL240" s="110"/>
      <c r="AM240" s="110"/>
      <c r="AN240" s="110"/>
      <c r="AO240" s="110"/>
      <c r="AP240" s="110"/>
      <c r="AQ240" s="110"/>
      <c r="AR240" s="110"/>
      <c r="AS240" s="110"/>
      <c r="AT240" s="110"/>
      <c r="AU240" s="110"/>
      <c r="AV240" s="110"/>
      <c r="AW240" s="110"/>
      <c r="AX240" s="110"/>
      <c r="AY240" s="110"/>
      <c r="AZ240" s="110"/>
      <c r="BA240" s="110"/>
      <c r="BB240" s="110"/>
      <c r="BC240" s="110"/>
      <c r="BD240" s="110"/>
      <c r="BE240" s="110"/>
      <c r="BF240" s="110"/>
      <c r="BG240" s="110"/>
      <c r="BH240" s="110"/>
      <c r="BI240" s="110"/>
      <c r="BJ240" s="110"/>
      <c r="BK240" s="110"/>
      <c r="BL240" s="110"/>
      <c r="BM240" s="110"/>
      <c r="BN240" s="110"/>
      <c r="BO240" s="110"/>
      <c r="BP240" s="110"/>
      <c r="BQ240" s="110"/>
      <c r="BR240" s="110"/>
      <c r="BS240" s="110"/>
      <c r="BT240" s="110"/>
      <c r="BU240" s="110"/>
      <c r="BV240" s="110"/>
      <c r="BW240" s="110"/>
      <c r="BX240" s="110"/>
      <c r="BY240" s="110"/>
      <c r="BZ240" s="110"/>
      <c r="CA240" s="110"/>
      <c r="CB240" s="110"/>
      <c r="CC240" s="110"/>
      <c r="CD240" s="110"/>
      <c r="CE240" s="110"/>
      <c r="CF240" s="110"/>
    </row>
    <row r="241" spans="1:84" s="45" customFormat="1" x14ac:dyDescent="0.25">
      <c r="A241" t="str">
        <f>Funktional!A240</f>
        <v>Uttwil</v>
      </c>
      <c r="B241" t="str">
        <f>Funktional!B240</f>
        <v>KiGa</v>
      </c>
      <c r="C241" s="365">
        <v>128039.55</v>
      </c>
      <c r="D241" s="365">
        <v>754564</v>
      </c>
      <c r="E241" s="365">
        <v>51527.05</v>
      </c>
      <c r="F241" s="119">
        <f t="shared" ref="F241:F252" si="88">D241+E241</f>
        <v>806091.05</v>
      </c>
      <c r="G241" s="43"/>
      <c r="H241" s="119">
        <f t="shared" si="87"/>
        <v>934130.60000000009</v>
      </c>
      <c r="I241" s="377"/>
      <c r="J241" s="124">
        <f t="shared" si="86"/>
        <v>0.13706814657393729</v>
      </c>
      <c r="K241" s="42">
        <f t="shared" ref="K241:K252" si="89">F241/H241</f>
        <v>0.86293185342606271</v>
      </c>
      <c r="L241" s="372">
        <f t="shared" si="85"/>
        <v>0.13706814657393729</v>
      </c>
      <c r="M241" s="372"/>
      <c r="N241" s="406"/>
      <c r="O241" s="44"/>
      <c r="P241" s="80"/>
      <c r="Q241" s="43"/>
      <c r="R241" s="43"/>
      <c r="S241" s="43"/>
      <c r="T241" s="43"/>
      <c r="U241" s="43"/>
      <c r="V241" s="43"/>
      <c r="W241" s="43"/>
      <c r="X241" s="43"/>
      <c r="Y241" s="110"/>
      <c r="Z241" s="110"/>
      <c r="AA241" s="110"/>
      <c r="AB241" s="110"/>
      <c r="AC241" s="110"/>
      <c r="AD241" s="110"/>
      <c r="AE241" s="110"/>
      <c r="AF241" s="110"/>
      <c r="AG241" s="110"/>
      <c r="AH241" s="110"/>
      <c r="AI241" s="110"/>
      <c r="AJ241" s="110"/>
      <c r="AK241" s="110"/>
      <c r="AL241" s="110"/>
      <c r="AM241" s="110"/>
      <c r="AN241" s="110"/>
      <c r="AO241" s="110"/>
      <c r="AP241" s="110"/>
      <c r="AQ241" s="110"/>
      <c r="AR241" s="110"/>
      <c r="AS241" s="110"/>
      <c r="AT241" s="110"/>
      <c r="AU241" s="110"/>
      <c r="AV241" s="110"/>
      <c r="AW241" s="110"/>
      <c r="AX241" s="110"/>
      <c r="AY241" s="110"/>
      <c r="AZ241" s="110"/>
      <c r="BA241" s="110"/>
      <c r="BB241" s="110"/>
      <c r="BC241" s="110"/>
      <c r="BD241" s="110"/>
      <c r="BE241" s="110"/>
      <c r="BF241" s="110"/>
      <c r="BG241" s="110"/>
      <c r="BH241" s="110"/>
      <c r="BI241" s="110"/>
      <c r="BJ241" s="110"/>
      <c r="BK241" s="110"/>
      <c r="BL241" s="110"/>
      <c r="BM241" s="110"/>
      <c r="BN241" s="110"/>
      <c r="BO241" s="110"/>
      <c r="BP241" s="110"/>
      <c r="BQ241" s="110"/>
      <c r="BR241" s="110"/>
      <c r="BS241" s="110"/>
      <c r="BT241" s="110"/>
      <c r="BU241" s="110"/>
      <c r="BV241" s="110"/>
      <c r="BW241" s="110"/>
      <c r="BX241" s="110"/>
      <c r="BY241" s="110"/>
      <c r="BZ241" s="110"/>
      <c r="CA241" s="110"/>
      <c r="CB241" s="110"/>
      <c r="CC241" s="110"/>
      <c r="CD241" s="110"/>
      <c r="CE241" s="110"/>
      <c r="CF241" s="110"/>
    </row>
    <row r="242" spans="1:84" s="45" customFormat="1" x14ac:dyDescent="0.25">
      <c r="A242" t="str">
        <f>Funktional!A241</f>
        <v>Wagenhausen-Rheinklingen</v>
      </c>
      <c r="B242" t="str">
        <f>Funktional!B241</f>
        <v>KiGa</v>
      </c>
      <c r="C242" s="365">
        <v>86343.85</v>
      </c>
      <c r="D242" s="365">
        <v>409634.4</v>
      </c>
      <c r="E242" s="365">
        <v>57046</v>
      </c>
      <c r="F242" s="119">
        <f t="shared" si="88"/>
        <v>466680.4</v>
      </c>
      <c r="G242" s="43"/>
      <c r="H242" s="119">
        <f t="shared" si="87"/>
        <v>553024.25</v>
      </c>
      <c r="I242" s="377"/>
      <c r="J242" s="124">
        <f t="shared" si="86"/>
        <v>0.15613031435782429</v>
      </c>
      <c r="K242" s="42">
        <f t="shared" si="89"/>
        <v>0.84386968564217579</v>
      </c>
      <c r="L242" s="372">
        <f t="shared" si="85"/>
        <v>0.15613031435782429</v>
      </c>
      <c r="M242" s="372"/>
      <c r="N242" s="406"/>
      <c r="O242" s="44"/>
      <c r="P242" s="80"/>
      <c r="Q242" s="43"/>
      <c r="R242" s="43"/>
      <c r="S242" s="43"/>
      <c r="T242" s="43"/>
      <c r="U242" s="43"/>
      <c r="V242" s="43"/>
      <c r="W242" s="43"/>
      <c r="X242" s="43"/>
      <c r="Y242" s="110"/>
      <c r="Z242" s="110"/>
      <c r="AA242" s="110"/>
      <c r="AB242" s="110"/>
      <c r="AC242" s="110"/>
      <c r="AD242" s="110"/>
      <c r="AE242" s="110"/>
      <c r="AF242" s="110"/>
      <c r="AG242" s="110"/>
      <c r="AH242" s="110"/>
      <c r="AI242" s="110"/>
      <c r="AJ242" s="110"/>
      <c r="AK242" s="110"/>
      <c r="AL242" s="110"/>
      <c r="AM242" s="110"/>
      <c r="AN242" s="110"/>
      <c r="AO242" s="110"/>
      <c r="AP242" s="110"/>
      <c r="AQ242" s="110"/>
      <c r="AR242" s="110"/>
      <c r="AS242" s="110"/>
      <c r="AT242" s="110"/>
      <c r="AU242" s="110"/>
      <c r="AV242" s="110"/>
      <c r="AW242" s="110"/>
      <c r="AX242" s="110"/>
      <c r="AY242" s="110"/>
      <c r="AZ242" s="110"/>
      <c r="BA242" s="110"/>
      <c r="BB242" s="110"/>
      <c r="BC242" s="110"/>
      <c r="BD242" s="110"/>
      <c r="BE242" s="110"/>
      <c r="BF242" s="110"/>
      <c r="BG242" s="110"/>
      <c r="BH242" s="110"/>
      <c r="BI242" s="110"/>
      <c r="BJ242" s="110"/>
      <c r="BK242" s="110"/>
      <c r="BL242" s="110"/>
      <c r="BM242" s="110"/>
      <c r="BN242" s="110"/>
      <c r="BO242" s="110"/>
      <c r="BP242" s="110"/>
      <c r="BQ242" s="110"/>
      <c r="BR242" s="110"/>
      <c r="BS242" s="110"/>
      <c r="BT242" s="110"/>
      <c r="BU242" s="110"/>
      <c r="BV242" s="110"/>
      <c r="BW242" s="110"/>
      <c r="BX242" s="110"/>
      <c r="BY242" s="110"/>
      <c r="BZ242" s="110"/>
      <c r="CA242" s="110"/>
      <c r="CB242" s="110"/>
      <c r="CC242" s="110"/>
      <c r="CD242" s="110"/>
      <c r="CE242" s="110"/>
      <c r="CF242" s="110"/>
    </row>
    <row r="243" spans="1:84" s="45" customFormat="1" x14ac:dyDescent="0.25">
      <c r="A243" t="str">
        <f>Funktional!A242</f>
        <v>Wäldi</v>
      </c>
      <c r="B243" t="str">
        <f>Funktional!B242</f>
        <v>KiGa</v>
      </c>
      <c r="C243" s="365">
        <v>13720.7</v>
      </c>
      <c r="D243" s="365">
        <v>193294.55</v>
      </c>
      <c r="E243" s="365">
        <v>21625.4</v>
      </c>
      <c r="F243" s="119">
        <f t="shared" si="88"/>
        <v>214919.94999999998</v>
      </c>
      <c r="G243" s="43"/>
      <c r="H243" s="119">
        <f t="shared" si="87"/>
        <v>228640.65</v>
      </c>
      <c r="I243" s="377"/>
      <c r="J243" s="124">
        <f t="shared" ref="J243:J258" si="90">C243/H243</f>
        <v>6.000988888021444E-2</v>
      </c>
      <c r="K243" s="42">
        <f t="shared" si="89"/>
        <v>0.93999011111978548</v>
      </c>
      <c r="L243" s="372">
        <v>0</v>
      </c>
      <c r="M243" s="372"/>
      <c r="N243" s="406"/>
      <c r="O243" s="44"/>
      <c r="P243" s="80"/>
      <c r="Q243" s="43"/>
      <c r="R243" s="43"/>
      <c r="S243" s="43"/>
      <c r="T243" s="43"/>
      <c r="U243" s="43"/>
      <c r="V243" s="43"/>
      <c r="W243" s="43"/>
      <c r="X243" s="43"/>
      <c r="Y243" s="110"/>
      <c r="Z243" s="110"/>
      <c r="AA243" s="110"/>
      <c r="AB243" s="110"/>
      <c r="AC243" s="110"/>
      <c r="AD243" s="110"/>
      <c r="AE243" s="110"/>
      <c r="AF243" s="110"/>
      <c r="AG243" s="110"/>
      <c r="AH243" s="110"/>
      <c r="AI243" s="110"/>
      <c r="AJ243" s="110"/>
      <c r="AK243" s="110"/>
      <c r="AL243" s="110"/>
      <c r="AM243" s="110"/>
      <c r="AN243" s="110"/>
      <c r="AO243" s="110"/>
      <c r="AP243" s="110"/>
      <c r="AQ243" s="110"/>
      <c r="AR243" s="110"/>
      <c r="AS243" s="110"/>
      <c r="AT243" s="110"/>
      <c r="AU243" s="110"/>
      <c r="AV243" s="110"/>
      <c r="AW243" s="110"/>
      <c r="AX243" s="110"/>
      <c r="AY243" s="110"/>
      <c r="AZ243" s="110"/>
      <c r="BA243" s="110"/>
      <c r="BB243" s="110"/>
      <c r="BC243" s="110"/>
      <c r="BD243" s="110"/>
      <c r="BE243" s="110"/>
      <c r="BF243" s="110"/>
      <c r="BG243" s="110"/>
      <c r="BH243" s="110"/>
      <c r="BI243" s="110"/>
      <c r="BJ243" s="110"/>
      <c r="BK243" s="110"/>
      <c r="BL243" s="110"/>
      <c r="BM243" s="110"/>
      <c r="BN243" s="110"/>
      <c r="BO243" s="110"/>
      <c r="BP243" s="110"/>
      <c r="BQ243" s="110"/>
      <c r="BR243" s="110"/>
      <c r="BS243" s="110"/>
      <c r="BT243" s="110"/>
      <c r="BU243" s="110"/>
      <c r="BV243" s="110"/>
      <c r="BW243" s="110"/>
      <c r="BX243" s="110"/>
      <c r="BY243" s="110"/>
      <c r="BZ243" s="110"/>
      <c r="CA243" s="110"/>
      <c r="CB243" s="110"/>
      <c r="CC243" s="110"/>
      <c r="CD243" s="110"/>
      <c r="CE243" s="110"/>
      <c r="CF243" s="110"/>
    </row>
    <row r="244" spans="1:84" s="45" customFormat="1" x14ac:dyDescent="0.25">
      <c r="A244" t="str">
        <f>Funktional!A243</f>
        <v>Warth-Weiningen</v>
      </c>
      <c r="B244" t="str">
        <f>Funktional!B243</f>
        <v>KiGa</v>
      </c>
      <c r="C244" s="365">
        <v>88605.6</v>
      </c>
      <c r="D244" s="365">
        <v>584532.55000000005</v>
      </c>
      <c r="E244" s="365">
        <v>71179.899999999994</v>
      </c>
      <c r="F244" s="119">
        <f t="shared" si="88"/>
        <v>655712.45000000007</v>
      </c>
      <c r="G244" s="43"/>
      <c r="H244" s="119">
        <f t="shared" si="87"/>
        <v>744318.05</v>
      </c>
      <c r="I244" s="377"/>
      <c r="J244" s="124">
        <f t="shared" si="90"/>
        <v>0.11904265925030301</v>
      </c>
      <c r="K244" s="42">
        <f t="shared" si="89"/>
        <v>0.880957340749697</v>
      </c>
      <c r="L244" s="372">
        <f t="shared" ref="L244:L249" si="91">J244</f>
        <v>0.11904265925030301</v>
      </c>
      <c r="M244" s="372"/>
      <c r="N244" s="406"/>
      <c r="O244" s="44"/>
      <c r="P244" s="80"/>
      <c r="Q244" s="43"/>
      <c r="R244" s="43"/>
      <c r="S244" s="43"/>
      <c r="T244" s="43"/>
      <c r="U244" s="43"/>
      <c r="V244" s="43"/>
      <c r="W244" s="43"/>
      <c r="X244" s="43"/>
      <c r="Y244" s="110"/>
      <c r="Z244" s="110"/>
      <c r="AA244" s="110"/>
      <c r="AB244" s="110"/>
      <c r="AC244" s="110"/>
      <c r="AD244" s="110"/>
      <c r="AE244" s="110"/>
      <c r="AF244" s="110"/>
      <c r="AG244" s="110"/>
      <c r="AH244" s="110"/>
      <c r="AI244" s="110"/>
      <c r="AJ244" s="110"/>
      <c r="AK244" s="110"/>
      <c r="AL244" s="110"/>
      <c r="AM244" s="110"/>
      <c r="AN244" s="110"/>
      <c r="AO244" s="110"/>
      <c r="AP244" s="110"/>
      <c r="AQ244" s="110"/>
      <c r="AR244" s="110"/>
      <c r="AS244" s="110"/>
      <c r="AT244" s="110"/>
      <c r="AU244" s="110"/>
      <c r="AV244" s="110"/>
      <c r="AW244" s="110"/>
      <c r="AX244" s="110"/>
      <c r="AY244" s="110"/>
      <c r="AZ244" s="110"/>
      <c r="BA244" s="110"/>
      <c r="BB244" s="110"/>
      <c r="BC244" s="110"/>
      <c r="BD244" s="110"/>
      <c r="BE244" s="110"/>
      <c r="BF244" s="110"/>
      <c r="BG244" s="110"/>
      <c r="BH244" s="110"/>
      <c r="BI244" s="110"/>
      <c r="BJ244" s="110"/>
      <c r="BK244" s="110"/>
      <c r="BL244" s="110"/>
      <c r="BM244" s="110"/>
      <c r="BN244" s="110"/>
      <c r="BO244" s="110"/>
      <c r="BP244" s="110"/>
      <c r="BQ244" s="110"/>
      <c r="BR244" s="110"/>
      <c r="BS244" s="110"/>
      <c r="BT244" s="110"/>
      <c r="BU244" s="110"/>
      <c r="BV244" s="110"/>
      <c r="BW244" s="110"/>
      <c r="BX244" s="110"/>
      <c r="BY244" s="110"/>
      <c r="BZ244" s="110"/>
      <c r="CA244" s="110"/>
      <c r="CB244" s="110"/>
      <c r="CC244" s="110"/>
      <c r="CD244" s="110"/>
      <c r="CE244" s="110"/>
      <c r="CF244" s="110"/>
    </row>
    <row r="245" spans="1:84" s="45" customFormat="1" x14ac:dyDescent="0.25">
      <c r="A245" t="str">
        <f>Funktional!A244</f>
        <v>Weinfelden</v>
      </c>
      <c r="B245" t="str">
        <f>Funktional!B244</f>
        <v>KiGa</v>
      </c>
      <c r="C245" s="365">
        <v>991472.5</v>
      </c>
      <c r="D245" s="365">
        <v>4471786.05</v>
      </c>
      <c r="E245" s="365">
        <v>336346.35</v>
      </c>
      <c r="F245" s="119">
        <f t="shared" si="88"/>
        <v>4808132.3999999994</v>
      </c>
      <c r="G245" s="43"/>
      <c r="H245" s="119">
        <f t="shared" si="87"/>
        <v>5799604.8999999994</v>
      </c>
      <c r="I245" s="377"/>
      <c r="J245" s="124">
        <f t="shared" si="90"/>
        <v>0.17095518006752497</v>
      </c>
      <c r="K245" s="42">
        <f t="shared" si="89"/>
        <v>0.82904481993247503</v>
      </c>
      <c r="L245" s="372">
        <f t="shared" si="91"/>
        <v>0.17095518006752497</v>
      </c>
      <c r="M245" s="372"/>
      <c r="N245" s="406"/>
      <c r="O245" s="44"/>
      <c r="P245" s="80"/>
      <c r="Q245" s="43"/>
      <c r="R245" s="43"/>
      <c r="S245" s="43"/>
      <c r="T245" s="43"/>
      <c r="U245" s="43"/>
      <c r="V245" s="43"/>
      <c r="W245" s="43"/>
      <c r="X245" s="43"/>
      <c r="Y245" s="110"/>
      <c r="Z245" s="110"/>
      <c r="AA245" s="110"/>
      <c r="AB245" s="110"/>
      <c r="AC245" s="110"/>
      <c r="AD245" s="110"/>
      <c r="AE245" s="110"/>
      <c r="AF245" s="110"/>
      <c r="AG245" s="110"/>
      <c r="AH245" s="110"/>
      <c r="AI245" s="110"/>
      <c r="AJ245" s="110"/>
      <c r="AK245" s="110"/>
      <c r="AL245" s="110"/>
      <c r="AM245" s="110"/>
      <c r="AN245" s="110"/>
      <c r="AO245" s="110"/>
      <c r="AP245" s="110"/>
      <c r="AQ245" s="110"/>
      <c r="AR245" s="110"/>
      <c r="AS245" s="110"/>
      <c r="AT245" s="110"/>
      <c r="AU245" s="110"/>
      <c r="AV245" s="110"/>
      <c r="AW245" s="110"/>
      <c r="AX245" s="110"/>
      <c r="AY245" s="110"/>
      <c r="AZ245" s="110"/>
      <c r="BA245" s="110"/>
      <c r="BB245" s="110"/>
      <c r="BC245" s="110"/>
      <c r="BD245" s="110"/>
      <c r="BE245" s="110"/>
      <c r="BF245" s="110"/>
      <c r="BG245" s="110"/>
      <c r="BH245" s="110"/>
      <c r="BI245" s="110"/>
      <c r="BJ245" s="110"/>
      <c r="BK245" s="110"/>
      <c r="BL245" s="110"/>
      <c r="BM245" s="110"/>
      <c r="BN245" s="110"/>
      <c r="BO245" s="110"/>
      <c r="BP245" s="110"/>
      <c r="BQ245" s="110"/>
      <c r="BR245" s="110"/>
      <c r="BS245" s="110"/>
      <c r="BT245" s="110"/>
      <c r="BU245" s="110"/>
      <c r="BV245" s="110"/>
      <c r="BW245" s="110"/>
      <c r="BX245" s="110"/>
      <c r="BY245" s="110"/>
      <c r="BZ245" s="110"/>
      <c r="CA245" s="110"/>
      <c r="CB245" s="110"/>
      <c r="CC245" s="110"/>
      <c r="CD245" s="110"/>
      <c r="CE245" s="110"/>
      <c r="CF245" s="110"/>
    </row>
    <row r="246" spans="1:84" s="45" customFormat="1" x14ac:dyDescent="0.25">
      <c r="A246" t="str">
        <f>Funktional!A245</f>
        <v>Wigoltingen</v>
      </c>
      <c r="B246" t="str">
        <f>Funktional!B245</f>
        <v>KiGa</v>
      </c>
      <c r="C246" s="365">
        <v>201119.95</v>
      </c>
      <c r="D246" s="365">
        <v>1056735.3999999999</v>
      </c>
      <c r="E246" s="365">
        <v>151781.29999999999</v>
      </c>
      <c r="F246" s="119">
        <f t="shared" si="88"/>
        <v>1208516.7</v>
      </c>
      <c r="G246" s="43"/>
      <c r="H246" s="119">
        <f t="shared" si="87"/>
        <v>1409636.65</v>
      </c>
      <c r="I246" s="377"/>
      <c r="J246" s="124">
        <f t="shared" si="90"/>
        <v>0.14267502905802004</v>
      </c>
      <c r="K246" s="42">
        <f t="shared" si="89"/>
        <v>0.85732497094198001</v>
      </c>
      <c r="L246" s="372">
        <f t="shared" si="91"/>
        <v>0.14267502905802004</v>
      </c>
      <c r="M246" s="372"/>
      <c r="N246" s="406"/>
      <c r="O246" s="44"/>
      <c r="P246" s="80"/>
      <c r="Q246" s="43"/>
      <c r="R246" s="43"/>
      <c r="S246" s="43"/>
      <c r="T246" s="43"/>
      <c r="U246" s="43"/>
      <c r="V246" s="43"/>
      <c r="W246" s="43"/>
      <c r="X246" s="43"/>
      <c r="Y246" s="110"/>
      <c r="Z246" s="110"/>
      <c r="AA246" s="110"/>
      <c r="AB246" s="110"/>
      <c r="AC246" s="110"/>
      <c r="AD246" s="110"/>
      <c r="AE246" s="110"/>
      <c r="AF246" s="110"/>
      <c r="AG246" s="110"/>
      <c r="AH246" s="110"/>
      <c r="AI246" s="110"/>
      <c r="AJ246" s="110"/>
      <c r="AK246" s="110"/>
      <c r="AL246" s="110"/>
      <c r="AM246" s="110"/>
      <c r="AN246" s="110"/>
      <c r="AO246" s="110"/>
      <c r="AP246" s="110"/>
      <c r="AQ246" s="110"/>
      <c r="AR246" s="110"/>
      <c r="AS246" s="110"/>
      <c r="AT246" s="110"/>
      <c r="AU246" s="110"/>
      <c r="AV246" s="110"/>
      <c r="AW246" s="110"/>
      <c r="AX246" s="110"/>
      <c r="AY246" s="110"/>
      <c r="AZ246" s="110"/>
      <c r="BA246" s="110"/>
      <c r="BB246" s="110"/>
      <c r="BC246" s="110"/>
      <c r="BD246" s="110"/>
      <c r="BE246" s="110"/>
      <c r="BF246" s="110"/>
      <c r="BG246" s="110"/>
      <c r="BH246" s="110"/>
      <c r="BI246" s="110"/>
      <c r="BJ246" s="110"/>
      <c r="BK246" s="110"/>
      <c r="BL246" s="110"/>
      <c r="BM246" s="110"/>
      <c r="BN246" s="110"/>
      <c r="BO246" s="110"/>
      <c r="BP246" s="110"/>
      <c r="BQ246" s="110"/>
      <c r="BR246" s="110"/>
      <c r="BS246" s="110"/>
      <c r="BT246" s="110"/>
      <c r="BU246" s="110"/>
      <c r="BV246" s="110"/>
      <c r="BW246" s="110"/>
      <c r="BX246" s="110"/>
      <c r="BY246" s="110"/>
      <c r="BZ246" s="110"/>
      <c r="CA246" s="110"/>
      <c r="CB246" s="110"/>
      <c r="CC246" s="110"/>
      <c r="CD246" s="110"/>
      <c r="CE246" s="110"/>
      <c r="CF246" s="110"/>
    </row>
    <row r="247" spans="1:84" s="45" customFormat="1" x14ac:dyDescent="0.25">
      <c r="A247" t="str">
        <f>Funktional!A246</f>
        <v>Wilen bei Wil</v>
      </c>
      <c r="B247" t="str">
        <f>Funktional!B246</f>
        <v>KiGa</v>
      </c>
      <c r="C247" s="365">
        <v>184479</v>
      </c>
      <c r="D247" s="365">
        <v>915519.95</v>
      </c>
      <c r="E247" s="365">
        <v>87828.1</v>
      </c>
      <c r="F247" s="119">
        <f t="shared" si="88"/>
        <v>1003348.0499999999</v>
      </c>
      <c r="G247" s="43"/>
      <c r="H247" s="119">
        <f t="shared" si="87"/>
        <v>1187827.0499999998</v>
      </c>
      <c r="I247" s="377"/>
      <c r="J247" s="124">
        <f t="shared" si="90"/>
        <v>0.15530796339416586</v>
      </c>
      <c r="K247" s="42">
        <f t="shared" si="89"/>
        <v>0.84469203660583425</v>
      </c>
      <c r="L247" s="372">
        <f t="shared" si="91"/>
        <v>0.15530796339416586</v>
      </c>
      <c r="M247" s="372"/>
      <c r="N247" s="406"/>
      <c r="O247" s="44"/>
      <c r="P247" s="80"/>
      <c r="Q247" s="43"/>
      <c r="R247" s="43"/>
      <c r="S247" s="43"/>
      <c r="T247" s="43"/>
      <c r="U247" s="43"/>
      <c r="V247" s="43"/>
      <c r="W247" s="43"/>
      <c r="X247" s="43"/>
      <c r="Y247" s="110"/>
      <c r="Z247" s="110"/>
      <c r="AA247" s="110"/>
      <c r="AB247" s="110"/>
      <c r="AC247" s="110"/>
      <c r="AD247" s="110"/>
      <c r="AE247" s="110"/>
      <c r="AF247" s="110"/>
      <c r="AG247" s="110"/>
      <c r="AH247" s="110"/>
      <c r="AI247" s="110"/>
      <c r="AJ247" s="110"/>
      <c r="AK247" s="110"/>
      <c r="AL247" s="110"/>
      <c r="AM247" s="110"/>
      <c r="AN247" s="110"/>
      <c r="AO247" s="110"/>
      <c r="AP247" s="110"/>
      <c r="AQ247" s="110"/>
      <c r="AR247" s="110"/>
      <c r="AS247" s="110"/>
      <c r="AT247" s="110"/>
      <c r="AU247" s="110"/>
      <c r="AV247" s="110"/>
      <c r="AW247" s="110"/>
      <c r="AX247" s="110"/>
      <c r="AY247" s="110"/>
      <c r="AZ247" s="110"/>
      <c r="BA247" s="110"/>
      <c r="BB247" s="110"/>
      <c r="BC247" s="110"/>
      <c r="BD247" s="110"/>
      <c r="BE247" s="110"/>
      <c r="BF247" s="110"/>
      <c r="BG247" s="110"/>
      <c r="BH247" s="110"/>
      <c r="BI247" s="110"/>
      <c r="BJ247" s="110"/>
      <c r="BK247" s="110"/>
      <c r="BL247" s="110"/>
      <c r="BM247" s="110"/>
      <c r="BN247" s="110"/>
      <c r="BO247" s="110"/>
      <c r="BP247" s="110"/>
      <c r="BQ247" s="110"/>
      <c r="BR247" s="110"/>
      <c r="BS247" s="110"/>
      <c r="BT247" s="110"/>
      <c r="BU247" s="110"/>
      <c r="BV247" s="110"/>
      <c r="BW247" s="110"/>
      <c r="BX247" s="110"/>
      <c r="BY247" s="110"/>
      <c r="BZ247" s="110"/>
      <c r="CA247" s="110"/>
      <c r="CB247" s="110"/>
      <c r="CC247" s="110"/>
      <c r="CD247" s="110"/>
      <c r="CE247" s="110"/>
      <c r="CF247" s="110"/>
    </row>
    <row r="248" spans="1:84" s="45" customFormat="1" x14ac:dyDescent="0.25">
      <c r="A248" t="str">
        <f>Funktional!A247</f>
        <v>Wittenwil</v>
      </c>
      <c r="B248" t="str">
        <f>Funktional!B247</f>
        <v>KiGa</v>
      </c>
      <c r="C248" s="365">
        <v>63137.599999999999</v>
      </c>
      <c r="D248" s="365">
        <v>232683.1</v>
      </c>
      <c r="E248" s="365">
        <v>41437.550000000003</v>
      </c>
      <c r="F248" s="119">
        <f t="shared" si="88"/>
        <v>274120.65000000002</v>
      </c>
      <c r="G248" s="43"/>
      <c r="H248" s="119">
        <f t="shared" ref="H248:H252" si="92">C248+F248+I248</f>
        <v>337258.25</v>
      </c>
      <c r="I248" s="377"/>
      <c r="J248" s="124">
        <f t="shared" si="90"/>
        <v>0.18720846710199082</v>
      </c>
      <c r="K248" s="42">
        <f t="shared" si="89"/>
        <v>0.81279153289800921</v>
      </c>
      <c r="L248" s="372">
        <f t="shared" si="91"/>
        <v>0.18720846710199082</v>
      </c>
      <c r="M248" s="372"/>
      <c r="N248" s="406"/>
      <c r="O248" s="44"/>
      <c r="P248" s="80"/>
      <c r="Q248" s="43"/>
      <c r="R248" s="43"/>
      <c r="S248" s="43"/>
      <c r="T248" s="43"/>
      <c r="U248" s="43"/>
      <c r="V248" s="43"/>
      <c r="W248" s="43"/>
      <c r="X248" s="43"/>
      <c r="Y248" s="110"/>
      <c r="Z248" s="110"/>
      <c r="AA248" s="110"/>
      <c r="AB248" s="110"/>
      <c r="AC248" s="110"/>
      <c r="AD248" s="110"/>
      <c r="AE248" s="110"/>
      <c r="AF248" s="110"/>
      <c r="AG248" s="110"/>
      <c r="AH248" s="110"/>
      <c r="AI248" s="110"/>
      <c r="AJ248" s="110"/>
      <c r="AK248" s="110"/>
      <c r="AL248" s="110"/>
      <c r="AM248" s="110"/>
      <c r="AN248" s="110"/>
      <c r="AO248" s="110"/>
      <c r="AP248" s="110"/>
      <c r="AQ248" s="110"/>
      <c r="AR248" s="110"/>
      <c r="AS248" s="110"/>
      <c r="AT248" s="110"/>
      <c r="AU248" s="110"/>
      <c r="AV248" s="110"/>
      <c r="AW248" s="110"/>
      <c r="AX248" s="110"/>
      <c r="AY248" s="110"/>
      <c r="AZ248" s="110"/>
      <c r="BA248" s="110"/>
      <c r="BB248" s="110"/>
      <c r="BC248" s="110"/>
      <c r="BD248" s="110"/>
      <c r="BE248" s="110"/>
      <c r="BF248" s="110"/>
      <c r="BG248" s="110"/>
      <c r="BH248" s="110"/>
      <c r="BI248" s="110"/>
      <c r="BJ248" s="110"/>
      <c r="BK248" s="110"/>
      <c r="BL248" s="110"/>
      <c r="BM248" s="110"/>
      <c r="BN248" s="110"/>
      <c r="BO248" s="110"/>
      <c r="BP248" s="110"/>
      <c r="BQ248" s="110"/>
      <c r="BR248" s="110"/>
      <c r="BS248" s="110"/>
      <c r="BT248" s="110"/>
      <c r="BU248" s="110"/>
      <c r="BV248" s="110"/>
      <c r="BW248" s="110"/>
      <c r="BX248" s="110"/>
      <c r="BY248" s="110"/>
      <c r="BZ248" s="110"/>
      <c r="CA248" s="110"/>
      <c r="CB248" s="110"/>
      <c r="CC248" s="110"/>
      <c r="CD248" s="110"/>
      <c r="CE248" s="110"/>
      <c r="CF248" s="110"/>
    </row>
    <row r="249" spans="1:84" s="45" customFormat="1" x14ac:dyDescent="0.25">
      <c r="A249" t="str">
        <f>Funktional!A248</f>
        <v>Wuppenau</v>
      </c>
      <c r="B249" t="str">
        <f>Funktional!B248</f>
        <v>KiGa</v>
      </c>
      <c r="C249" s="365">
        <v>67828.350000000006</v>
      </c>
      <c r="D249" s="365">
        <v>843984.45</v>
      </c>
      <c r="E249" s="365">
        <v>121020.85</v>
      </c>
      <c r="F249" s="119">
        <f t="shared" si="88"/>
        <v>965005.29999999993</v>
      </c>
      <c r="G249" s="43"/>
      <c r="H249" s="119">
        <f t="shared" si="92"/>
        <v>1032833.6499999999</v>
      </c>
      <c r="I249" s="377"/>
      <c r="J249" s="124">
        <f t="shared" si="90"/>
        <v>6.5672095404714997E-2</v>
      </c>
      <c r="K249" s="42">
        <f t="shared" si="89"/>
        <v>0.93432790459528503</v>
      </c>
      <c r="L249" s="372">
        <f t="shared" si="91"/>
        <v>6.5672095404714997E-2</v>
      </c>
      <c r="M249" s="372"/>
      <c r="N249" s="406"/>
      <c r="O249" s="44"/>
      <c r="P249" s="80"/>
      <c r="Q249" s="43"/>
      <c r="R249" s="43"/>
      <c r="S249" s="43"/>
      <c r="T249" s="43"/>
      <c r="U249" s="43"/>
      <c r="V249" s="43"/>
      <c r="W249" s="43"/>
      <c r="X249" s="43"/>
      <c r="Y249" s="110"/>
      <c r="Z249" s="110"/>
      <c r="AA249" s="110"/>
      <c r="AB249" s="110"/>
      <c r="AC249" s="110"/>
      <c r="AD249" s="110"/>
      <c r="AE249" s="110"/>
      <c r="AF249" s="110"/>
      <c r="AG249" s="110"/>
      <c r="AH249" s="110"/>
      <c r="AI249" s="110"/>
      <c r="AJ249" s="110"/>
      <c r="AK249" s="110"/>
      <c r="AL249" s="110"/>
      <c r="AM249" s="110"/>
      <c r="AN249" s="110"/>
      <c r="AO249" s="110"/>
      <c r="AP249" s="110"/>
      <c r="AQ249" s="110"/>
      <c r="AR249" s="110"/>
      <c r="AS249" s="110"/>
      <c r="AT249" s="110"/>
      <c r="AU249" s="110"/>
      <c r="AV249" s="110"/>
      <c r="AW249" s="110"/>
      <c r="AX249" s="110"/>
      <c r="AY249" s="110"/>
      <c r="AZ249" s="110"/>
      <c r="BA249" s="110"/>
      <c r="BB249" s="110"/>
      <c r="BC249" s="110"/>
      <c r="BD249" s="110"/>
      <c r="BE249" s="110"/>
      <c r="BF249" s="110"/>
      <c r="BG249" s="110"/>
      <c r="BH249" s="110"/>
      <c r="BI249" s="110"/>
      <c r="BJ249" s="110"/>
      <c r="BK249" s="110"/>
      <c r="BL249" s="110"/>
      <c r="BM249" s="110"/>
      <c r="BN249" s="110"/>
      <c r="BO249" s="110"/>
      <c r="BP249" s="110"/>
      <c r="BQ249" s="110"/>
      <c r="BR249" s="110"/>
      <c r="BS249" s="110"/>
      <c r="BT249" s="110"/>
      <c r="BU249" s="110"/>
      <c r="BV249" s="110"/>
      <c r="BW249" s="110"/>
      <c r="BX249" s="110"/>
      <c r="BY249" s="110"/>
      <c r="BZ249" s="110"/>
      <c r="CA249" s="110"/>
      <c r="CB249" s="110"/>
      <c r="CC249" s="110"/>
      <c r="CD249" s="110"/>
      <c r="CE249" s="110"/>
      <c r="CF249" s="110"/>
    </row>
    <row r="250" spans="1:84" s="45" customFormat="1" x14ac:dyDescent="0.25">
      <c r="A250" t="str">
        <f>Funktional!A249</f>
        <v>Zezikon</v>
      </c>
      <c r="B250" t="str">
        <f>Funktional!B249</f>
        <v>KiGa</v>
      </c>
      <c r="C250" s="365">
        <v>13715.15</v>
      </c>
      <c r="D250" s="365">
        <v>233150.5</v>
      </c>
      <c r="E250" s="365">
        <v>43552.1</v>
      </c>
      <c r="F250" s="119">
        <f t="shared" si="88"/>
        <v>276702.59999999998</v>
      </c>
      <c r="G250" s="43"/>
      <c r="H250" s="119">
        <f t="shared" si="92"/>
        <v>290417.75</v>
      </c>
      <c r="I250" s="377"/>
      <c r="J250" s="124">
        <f t="shared" si="90"/>
        <v>4.7225591410993299E-2</v>
      </c>
      <c r="K250" s="42">
        <f t="shared" si="89"/>
        <v>0.95277440858900664</v>
      </c>
      <c r="L250" s="372">
        <v>0</v>
      </c>
      <c r="M250" s="372"/>
      <c r="N250" s="406"/>
      <c r="O250" s="44"/>
      <c r="P250" s="80"/>
      <c r="Q250" s="43"/>
      <c r="R250" s="43"/>
      <c r="S250" s="43"/>
      <c r="T250" s="43"/>
      <c r="U250" s="43"/>
      <c r="V250" s="43"/>
      <c r="W250" s="43"/>
      <c r="X250" s="43"/>
      <c r="Y250" s="110"/>
      <c r="Z250" s="110"/>
      <c r="AA250" s="110"/>
      <c r="AB250" s="110"/>
      <c r="AC250" s="110"/>
      <c r="AD250" s="110"/>
      <c r="AE250" s="110"/>
      <c r="AF250" s="110"/>
      <c r="AG250" s="110"/>
      <c r="AH250" s="110"/>
      <c r="AI250" s="110"/>
      <c r="AJ250" s="110"/>
      <c r="AK250" s="110"/>
      <c r="AL250" s="110"/>
      <c r="AM250" s="110"/>
      <c r="AN250" s="110"/>
      <c r="AO250" s="110"/>
      <c r="AP250" s="110"/>
      <c r="AQ250" s="110"/>
      <c r="AR250" s="110"/>
      <c r="AS250" s="110"/>
      <c r="AT250" s="110"/>
      <c r="AU250" s="110"/>
      <c r="AV250" s="110"/>
      <c r="AW250" s="110"/>
      <c r="AX250" s="110"/>
      <c r="AY250" s="110"/>
      <c r="AZ250" s="110"/>
      <c r="BA250" s="110"/>
      <c r="BB250" s="110"/>
      <c r="BC250" s="110"/>
      <c r="BD250" s="110"/>
      <c r="BE250" s="110"/>
      <c r="BF250" s="110"/>
      <c r="BG250" s="110"/>
      <c r="BH250" s="110"/>
      <c r="BI250" s="110"/>
      <c r="BJ250" s="110"/>
      <c r="BK250" s="110"/>
      <c r="BL250" s="110"/>
      <c r="BM250" s="110"/>
      <c r="BN250" s="110"/>
      <c r="BO250" s="110"/>
      <c r="BP250" s="110"/>
      <c r="BQ250" s="110"/>
      <c r="BR250" s="110"/>
      <c r="BS250" s="110"/>
      <c r="BT250" s="110"/>
      <c r="BU250" s="110"/>
      <c r="BV250" s="110"/>
      <c r="BW250" s="110"/>
      <c r="BX250" s="110"/>
      <c r="BY250" s="110"/>
      <c r="BZ250" s="110"/>
      <c r="CA250" s="110"/>
      <c r="CB250" s="110"/>
      <c r="CC250" s="110"/>
      <c r="CD250" s="110"/>
      <c r="CE250" s="110"/>
      <c r="CF250" s="110"/>
    </row>
    <row r="251" spans="1:84" s="45" customFormat="1" x14ac:dyDescent="0.25">
      <c r="A251" t="str">
        <f>Funktional!A250</f>
        <v>Zihlschlacht</v>
      </c>
      <c r="B251" t="str">
        <f>Funktional!B250</f>
        <v>KiGa</v>
      </c>
      <c r="C251" s="365">
        <v>114479.65</v>
      </c>
      <c r="D251" s="365">
        <v>695491.73</v>
      </c>
      <c r="E251" s="365">
        <v>63542.45</v>
      </c>
      <c r="F251" s="119">
        <f t="shared" si="88"/>
        <v>759034.17999999993</v>
      </c>
      <c r="G251" s="43"/>
      <c r="H251" s="119">
        <f t="shared" si="92"/>
        <v>873513.83</v>
      </c>
      <c r="I251" s="377"/>
      <c r="J251" s="124">
        <f t="shared" si="90"/>
        <v>0.13105648252873112</v>
      </c>
      <c r="K251" s="42">
        <f t="shared" si="89"/>
        <v>0.86894351747126886</v>
      </c>
      <c r="L251" s="372">
        <f>J251</f>
        <v>0.13105648252873112</v>
      </c>
      <c r="M251" s="372"/>
      <c r="N251" s="406"/>
      <c r="O251" s="44"/>
      <c r="P251" s="80"/>
      <c r="Q251" s="43"/>
      <c r="R251" s="43"/>
      <c r="S251" s="43"/>
      <c r="T251" s="43"/>
      <c r="U251" s="43"/>
      <c r="V251" s="43"/>
      <c r="W251" s="43"/>
      <c r="X251" s="43"/>
      <c r="Y251" s="110"/>
      <c r="Z251" s="110"/>
      <c r="AA251" s="110"/>
      <c r="AB251" s="110"/>
      <c r="AC251" s="110"/>
      <c r="AD251" s="110"/>
      <c r="AE251" s="110"/>
      <c r="AF251" s="110"/>
      <c r="AG251" s="110"/>
      <c r="AH251" s="110"/>
      <c r="AI251" s="110"/>
      <c r="AJ251" s="110"/>
      <c r="AK251" s="110"/>
      <c r="AL251" s="110"/>
      <c r="AM251" s="110"/>
      <c r="AN251" s="110"/>
      <c r="AO251" s="110"/>
      <c r="AP251" s="110"/>
      <c r="AQ251" s="110"/>
      <c r="AR251" s="110"/>
      <c r="AS251" s="110"/>
      <c r="AT251" s="110"/>
      <c r="AU251" s="110"/>
      <c r="AV251" s="110"/>
      <c r="AW251" s="110"/>
      <c r="AX251" s="110"/>
      <c r="AY251" s="110"/>
      <c r="AZ251" s="110"/>
      <c r="BA251" s="110"/>
      <c r="BB251" s="110"/>
      <c r="BC251" s="110"/>
      <c r="BD251" s="110"/>
      <c r="BE251" s="110"/>
      <c r="BF251" s="110"/>
      <c r="BG251" s="110"/>
      <c r="BH251" s="110"/>
      <c r="BI251" s="110"/>
      <c r="BJ251" s="110"/>
      <c r="BK251" s="110"/>
      <c r="BL251" s="110"/>
      <c r="BM251" s="110"/>
      <c r="BN251" s="110"/>
      <c r="BO251" s="110"/>
      <c r="BP251" s="110"/>
      <c r="BQ251" s="110"/>
      <c r="BR251" s="110"/>
      <c r="BS251" s="110"/>
      <c r="BT251" s="110"/>
      <c r="BU251" s="110"/>
      <c r="BV251" s="110"/>
      <c r="BW251" s="110"/>
      <c r="BX251" s="110"/>
      <c r="BY251" s="110"/>
      <c r="BZ251" s="110"/>
      <c r="CA251" s="110"/>
      <c r="CB251" s="110"/>
      <c r="CC251" s="110"/>
      <c r="CD251" s="110"/>
      <c r="CE251" s="110"/>
      <c r="CF251" s="110"/>
    </row>
    <row r="252" spans="1:84" s="45" customFormat="1" x14ac:dyDescent="0.25">
      <c r="A252" t="str">
        <f>Funktional!A251</f>
        <v>Zuben-Schönenbaumgarten</v>
      </c>
      <c r="B252" t="str">
        <f>Funktional!B251</f>
        <v>KiGa</v>
      </c>
      <c r="C252" s="365">
        <v>17352.05</v>
      </c>
      <c r="D252" s="365">
        <v>325830.84999999998</v>
      </c>
      <c r="E252" s="365">
        <v>30521.25</v>
      </c>
      <c r="F252" s="119">
        <f t="shared" si="88"/>
        <v>356352.1</v>
      </c>
      <c r="G252" s="43"/>
      <c r="H252" s="119">
        <f t="shared" si="92"/>
        <v>373704.14999999997</v>
      </c>
      <c r="I252" s="377"/>
      <c r="J252" s="124">
        <f t="shared" si="90"/>
        <v>4.6432585776743453E-2</v>
      </c>
      <c r="K252" s="42">
        <f t="shared" si="89"/>
        <v>0.95356741422325653</v>
      </c>
      <c r="L252" s="372">
        <v>0</v>
      </c>
      <c r="M252" s="372"/>
      <c r="N252" s="406"/>
      <c r="O252" s="44"/>
      <c r="P252" s="80"/>
      <c r="Q252" s="43"/>
      <c r="R252" s="43"/>
      <c r="S252" s="43"/>
      <c r="T252" s="43"/>
      <c r="U252" s="43"/>
      <c r="V252" s="43"/>
      <c r="W252" s="43"/>
      <c r="X252" s="43"/>
      <c r="Y252" s="110"/>
      <c r="Z252" s="110"/>
      <c r="AA252" s="110"/>
      <c r="AB252" s="110"/>
      <c r="AC252" s="110"/>
      <c r="AD252" s="110"/>
      <c r="AE252" s="110"/>
      <c r="AF252" s="110"/>
      <c r="AG252" s="110"/>
      <c r="AH252" s="110"/>
      <c r="AI252" s="110"/>
      <c r="AJ252" s="110"/>
      <c r="AK252" s="110"/>
      <c r="AL252" s="110"/>
      <c r="AM252" s="110"/>
      <c r="AN252" s="110"/>
      <c r="AO252" s="110"/>
      <c r="AP252" s="110"/>
      <c r="AQ252" s="110"/>
      <c r="AR252" s="110"/>
      <c r="AS252" s="110"/>
      <c r="AT252" s="110"/>
      <c r="AU252" s="110"/>
      <c r="AV252" s="110"/>
      <c r="AW252" s="110"/>
      <c r="AX252" s="110"/>
      <c r="AY252" s="110"/>
      <c r="AZ252" s="110"/>
      <c r="BA252" s="110"/>
      <c r="BB252" s="110"/>
      <c r="BC252" s="110"/>
      <c r="BD252" s="110"/>
      <c r="BE252" s="110"/>
      <c r="BF252" s="110"/>
      <c r="BG252" s="110"/>
      <c r="BH252" s="110"/>
      <c r="BI252" s="110"/>
      <c r="BJ252" s="110"/>
      <c r="BK252" s="110"/>
      <c r="BL252" s="110"/>
      <c r="BM252" s="110"/>
      <c r="BN252" s="110"/>
      <c r="BO252" s="110"/>
      <c r="BP252" s="110"/>
      <c r="BQ252" s="110"/>
      <c r="BR252" s="110"/>
      <c r="BS252" s="110"/>
      <c r="BT252" s="110"/>
      <c r="BU252" s="110"/>
      <c r="BV252" s="110"/>
      <c r="BW252" s="110"/>
      <c r="BX252" s="110"/>
      <c r="BY252" s="110"/>
      <c r="BZ252" s="110"/>
      <c r="CA252" s="110"/>
      <c r="CB252" s="110"/>
      <c r="CC252" s="110"/>
      <c r="CD252" s="110"/>
      <c r="CE252" s="110"/>
      <c r="CF252" s="110"/>
    </row>
    <row r="253" spans="1:84" s="45" customFormat="1" x14ac:dyDescent="0.25">
      <c r="A253" t="str">
        <f>Funktional!A252</f>
        <v>Arbon</v>
      </c>
      <c r="B253" t="str">
        <f>Funktional!B252</f>
        <v>VSG</v>
      </c>
      <c r="C253" s="365">
        <v>1236573.8999999999</v>
      </c>
      <c r="D253" s="365">
        <v>5686871.1500000004</v>
      </c>
      <c r="E253" s="365">
        <v>1172424.8</v>
      </c>
      <c r="F253" s="119">
        <f t="shared" ref="F253:F256" si="93">D253+E253</f>
        <v>6859295.9500000002</v>
      </c>
      <c r="G253" s="43"/>
      <c r="H253" s="119">
        <f t="shared" ref="H253:H256" si="94">C253+F253</f>
        <v>8095869.8499999996</v>
      </c>
      <c r="I253" s="377"/>
      <c r="J253" s="124">
        <f t="shared" si="90"/>
        <v>0.15274132649254482</v>
      </c>
      <c r="K253" s="42">
        <f t="shared" ref="K253:K256" si="95">F253/H253</f>
        <v>0.84725867350745521</v>
      </c>
      <c r="L253" s="372">
        <v>1</v>
      </c>
      <c r="M253" s="42"/>
      <c r="N253" s="43"/>
      <c r="O253" s="44"/>
      <c r="P253" s="80"/>
      <c r="Q253" s="43"/>
      <c r="R253" s="43"/>
      <c r="S253" s="43"/>
      <c r="T253" s="43"/>
      <c r="U253" s="43"/>
      <c r="V253" s="43"/>
      <c r="W253" s="43"/>
      <c r="X253" s="43"/>
      <c r="Y253" s="110"/>
      <c r="Z253" s="110"/>
      <c r="AA253" s="110"/>
      <c r="AB253" s="110"/>
      <c r="AC253" s="110"/>
      <c r="AD253" s="110"/>
      <c r="AE253" s="110"/>
      <c r="AF253" s="110"/>
      <c r="AG253" s="110"/>
      <c r="AH253" s="110"/>
      <c r="AI253" s="110"/>
      <c r="AJ253" s="110"/>
      <c r="AK253" s="110"/>
      <c r="AL253" s="110"/>
      <c r="AM253" s="110"/>
      <c r="AN253" s="110"/>
      <c r="AO253" s="110"/>
      <c r="AP253" s="110"/>
      <c r="AQ253" s="110"/>
      <c r="AR253" s="110"/>
      <c r="AS253" s="110"/>
      <c r="AT253" s="110"/>
      <c r="AU253" s="110"/>
      <c r="AV253" s="110"/>
      <c r="AW253" s="110"/>
      <c r="AX253" s="110"/>
      <c r="AY253" s="110"/>
      <c r="AZ253" s="110"/>
      <c r="BA253" s="110"/>
      <c r="BB253" s="110"/>
      <c r="BC253" s="110"/>
      <c r="BD253" s="110"/>
      <c r="BE253" s="110"/>
      <c r="BF253" s="110"/>
      <c r="BG253" s="110"/>
      <c r="BH253" s="110"/>
      <c r="BI253" s="110"/>
      <c r="BJ253" s="110"/>
      <c r="BK253" s="110"/>
      <c r="BL253" s="110"/>
      <c r="BM253" s="110"/>
      <c r="BN253" s="110"/>
      <c r="BO253" s="110"/>
      <c r="BP253" s="110"/>
      <c r="BQ253" s="110"/>
      <c r="BR253" s="110"/>
      <c r="BS253" s="110"/>
      <c r="BT253" s="110"/>
      <c r="BU253" s="110"/>
      <c r="BV253" s="110"/>
      <c r="BW253" s="110"/>
      <c r="BX253" s="110"/>
      <c r="BY253" s="110"/>
      <c r="BZ253" s="110"/>
      <c r="CA253" s="110"/>
      <c r="CB253" s="110"/>
      <c r="CC253" s="110"/>
      <c r="CD253" s="110"/>
      <c r="CE253" s="110"/>
      <c r="CF253" s="110"/>
    </row>
    <row r="254" spans="1:84" s="45" customFormat="1" x14ac:dyDescent="0.25">
      <c r="A254" t="str">
        <f>Funktional!A253</f>
        <v>Erlen-Riedt-Ennetaach</v>
      </c>
      <c r="B254" t="str">
        <f>Funktional!B253</f>
        <v>VSG</v>
      </c>
      <c r="C254" s="365">
        <v>324374.34999999998</v>
      </c>
      <c r="D254" s="365">
        <v>1396015</v>
      </c>
      <c r="E254" s="365">
        <v>317439.2</v>
      </c>
      <c r="F254" s="119">
        <f t="shared" si="93"/>
        <v>1713454.2</v>
      </c>
      <c r="G254" s="43"/>
      <c r="H254" s="119">
        <f t="shared" si="94"/>
        <v>2037828.5499999998</v>
      </c>
      <c r="I254" s="377"/>
      <c r="J254" s="124">
        <f t="shared" si="90"/>
        <v>0.15917646751980191</v>
      </c>
      <c r="K254" s="42">
        <f t="shared" si="95"/>
        <v>0.84082353248019814</v>
      </c>
      <c r="L254" s="372">
        <v>1</v>
      </c>
      <c r="M254" s="42"/>
      <c r="N254" s="43"/>
      <c r="O254" s="44"/>
      <c r="P254" s="80"/>
      <c r="Q254" s="43"/>
      <c r="R254" s="43"/>
      <c r="S254" s="43"/>
      <c r="T254" s="43"/>
      <c r="U254" s="43"/>
      <c r="V254" s="43"/>
      <c r="W254" s="43"/>
      <c r="X254" s="43"/>
      <c r="Y254" s="110"/>
      <c r="Z254" s="110"/>
      <c r="AA254" s="110"/>
      <c r="AB254" s="110"/>
      <c r="AC254" s="110"/>
      <c r="AD254" s="110"/>
      <c r="AE254" s="110"/>
      <c r="AF254" s="110"/>
      <c r="AG254" s="110"/>
      <c r="AH254" s="110"/>
      <c r="AI254" s="110"/>
      <c r="AJ254" s="110"/>
      <c r="AK254" s="110"/>
      <c r="AL254" s="110"/>
      <c r="AM254" s="110"/>
      <c r="AN254" s="110"/>
      <c r="AO254" s="110"/>
      <c r="AP254" s="110"/>
      <c r="AQ254" s="110"/>
      <c r="AR254" s="110"/>
      <c r="AS254" s="110"/>
      <c r="AT254" s="110"/>
      <c r="AU254" s="110"/>
      <c r="AV254" s="110"/>
      <c r="AW254" s="110"/>
      <c r="AX254" s="110"/>
      <c r="AY254" s="110"/>
      <c r="AZ254" s="110"/>
      <c r="BA254" s="110"/>
      <c r="BB254" s="110"/>
      <c r="BC254" s="110"/>
      <c r="BD254" s="110"/>
      <c r="BE254" s="110"/>
      <c r="BF254" s="110"/>
      <c r="BG254" s="110"/>
      <c r="BH254" s="110"/>
      <c r="BI254" s="110"/>
      <c r="BJ254" s="110"/>
      <c r="BK254" s="110"/>
      <c r="BL254" s="110"/>
      <c r="BM254" s="110"/>
      <c r="BN254" s="110"/>
      <c r="BO254" s="110"/>
      <c r="BP254" s="110"/>
      <c r="BQ254" s="110"/>
      <c r="BR254" s="110"/>
      <c r="BS254" s="110"/>
      <c r="BT254" s="110"/>
      <c r="BU254" s="110"/>
      <c r="BV254" s="110"/>
      <c r="BW254" s="110"/>
      <c r="BX254" s="110"/>
      <c r="BY254" s="110"/>
      <c r="BZ254" s="110"/>
      <c r="CA254" s="110"/>
      <c r="CB254" s="110"/>
      <c r="CC254" s="110"/>
      <c r="CD254" s="110"/>
      <c r="CE254" s="110"/>
      <c r="CF254" s="110"/>
    </row>
    <row r="255" spans="1:84" s="45" customFormat="1" x14ac:dyDescent="0.25">
      <c r="A255" t="str">
        <f>Funktional!A254</f>
        <v>Eschlikon</v>
      </c>
      <c r="B255" t="str">
        <f>Funktional!B254</f>
        <v>VSG</v>
      </c>
      <c r="C255" s="365">
        <v>216339.3</v>
      </c>
      <c r="D255" s="365">
        <v>1814854.1</v>
      </c>
      <c r="E255" s="365">
        <v>255528.7</v>
      </c>
      <c r="F255" s="119">
        <f t="shared" si="93"/>
        <v>2070382.8</v>
      </c>
      <c r="G255" s="43"/>
      <c r="H255" s="119">
        <f t="shared" si="94"/>
        <v>2286722.1</v>
      </c>
      <c r="I255" s="377"/>
      <c r="J255" s="124">
        <f t="shared" si="90"/>
        <v>9.4606729868924599E-2</v>
      </c>
      <c r="K255" s="42">
        <f t="shared" si="95"/>
        <v>0.9053932701310754</v>
      </c>
      <c r="L255" s="372">
        <v>1</v>
      </c>
      <c r="M255" s="42"/>
      <c r="N255" s="43"/>
      <c r="O255" s="44"/>
      <c r="P255" s="80"/>
      <c r="Q255" s="43"/>
      <c r="R255" s="43"/>
      <c r="S255" s="43"/>
      <c r="T255" s="43"/>
      <c r="U255" s="43"/>
      <c r="V255" s="43"/>
      <c r="W255" s="43"/>
      <c r="X255" s="43"/>
      <c r="Y255" s="110"/>
      <c r="Z255" s="110"/>
      <c r="AA255" s="110"/>
      <c r="AB255" s="110"/>
      <c r="AC255" s="110"/>
      <c r="AD255" s="110"/>
      <c r="AE255" s="110"/>
      <c r="AF255" s="110"/>
      <c r="AG255" s="110"/>
      <c r="AH255" s="110"/>
      <c r="AI255" s="110"/>
      <c r="AJ255" s="110"/>
      <c r="AK255" s="110"/>
      <c r="AL255" s="110"/>
      <c r="AM255" s="110"/>
      <c r="AN255" s="110"/>
      <c r="AO255" s="110"/>
      <c r="AP255" s="110"/>
      <c r="AQ255" s="110"/>
      <c r="AR255" s="110"/>
      <c r="AS255" s="110"/>
      <c r="AT255" s="110"/>
      <c r="AU255" s="110"/>
      <c r="AV255" s="110"/>
      <c r="AW255" s="110"/>
      <c r="AX255" s="110"/>
      <c r="AY255" s="110"/>
      <c r="AZ255" s="110"/>
      <c r="BA255" s="110"/>
      <c r="BB255" s="110"/>
      <c r="BC255" s="110"/>
      <c r="BD255" s="110"/>
      <c r="BE255" s="110"/>
      <c r="BF255" s="110"/>
      <c r="BG255" s="110"/>
      <c r="BH255" s="110"/>
      <c r="BI255" s="110"/>
      <c r="BJ255" s="110"/>
      <c r="BK255" s="110"/>
      <c r="BL255" s="110"/>
      <c r="BM255" s="110"/>
      <c r="BN255" s="110"/>
      <c r="BO255" s="110"/>
      <c r="BP255" s="110"/>
      <c r="BQ255" s="110"/>
      <c r="BR255" s="110"/>
      <c r="BS255" s="110"/>
      <c r="BT255" s="110"/>
      <c r="BU255" s="110"/>
      <c r="BV255" s="110"/>
      <c r="BW255" s="110"/>
      <c r="BX255" s="110"/>
      <c r="BY255" s="110"/>
      <c r="BZ255" s="110"/>
      <c r="CA255" s="110"/>
      <c r="CB255" s="110"/>
      <c r="CC255" s="110"/>
      <c r="CD255" s="110"/>
      <c r="CE255" s="110"/>
      <c r="CF255" s="110"/>
    </row>
    <row r="256" spans="1:84" s="45" customFormat="1" x14ac:dyDescent="0.25">
      <c r="A256" t="str">
        <f>Funktional!A255</f>
        <v>Horn</v>
      </c>
      <c r="B256" t="str">
        <f>Funktional!B255</f>
        <v>VSG</v>
      </c>
      <c r="C256" s="365">
        <v>289663.59999999998</v>
      </c>
      <c r="D256" s="365">
        <v>1010323.4</v>
      </c>
      <c r="E256" s="365">
        <v>185756.45</v>
      </c>
      <c r="F256" s="119">
        <f t="shared" si="93"/>
        <v>1196079.8500000001</v>
      </c>
      <c r="G256" s="43"/>
      <c r="H256" s="119">
        <f t="shared" si="94"/>
        <v>1485743.4500000002</v>
      </c>
      <c r="I256" s="377"/>
      <c r="J256" s="124">
        <f t="shared" si="90"/>
        <v>0.19496205754768761</v>
      </c>
      <c r="K256" s="42">
        <f t="shared" si="95"/>
        <v>0.80503794245231231</v>
      </c>
      <c r="L256" s="372">
        <v>1</v>
      </c>
      <c r="M256" s="42"/>
      <c r="N256" s="43"/>
      <c r="O256" s="44"/>
      <c r="P256" s="80"/>
      <c r="Q256" s="43"/>
      <c r="R256" s="43"/>
      <c r="S256" s="43"/>
      <c r="T256" s="43"/>
      <c r="U256" s="43"/>
      <c r="V256" s="43"/>
      <c r="W256" s="43"/>
      <c r="X256" s="43"/>
      <c r="Y256" s="110"/>
      <c r="Z256" s="110"/>
      <c r="AA256" s="110"/>
      <c r="AB256" s="110"/>
      <c r="AC256" s="110"/>
      <c r="AD256" s="110"/>
      <c r="AE256" s="110"/>
      <c r="AF256" s="110"/>
      <c r="AG256" s="110"/>
      <c r="AH256" s="110"/>
      <c r="AI256" s="110"/>
      <c r="AJ256" s="110"/>
      <c r="AK256" s="110"/>
      <c r="AL256" s="110"/>
      <c r="AM256" s="110"/>
      <c r="AN256" s="110"/>
      <c r="AO256" s="110"/>
      <c r="AP256" s="110"/>
      <c r="AQ256" s="110"/>
      <c r="AR256" s="110"/>
      <c r="AS256" s="110"/>
      <c r="AT256" s="110"/>
      <c r="AU256" s="110"/>
      <c r="AV256" s="110"/>
      <c r="AW256" s="110"/>
      <c r="AX256" s="110"/>
      <c r="AY256" s="110"/>
      <c r="AZ256" s="110"/>
      <c r="BA256" s="110"/>
      <c r="BB256" s="110"/>
      <c r="BC256" s="110"/>
      <c r="BD256" s="110"/>
      <c r="BE256" s="110"/>
      <c r="BF256" s="110"/>
      <c r="BG256" s="110"/>
      <c r="BH256" s="110"/>
      <c r="BI256" s="110"/>
      <c r="BJ256" s="110"/>
      <c r="BK256" s="110"/>
      <c r="BL256" s="110"/>
      <c r="BM256" s="110"/>
      <c r="BN256" s="110"/>
      <c r="BO256" s="110"/>
      <c r="BP256" s="110"/>
      <c r="BQ256" s="110"/>
      <c r="BR256" s="110"/>
      <c r="BS256" s="110"/>
      <c r="BT256" s="110"/>
      <c r="BU256" s="110"/>
      <c r="BV256" s="110"/>
      <c r="BW256" s="110"/>
      <c r="BX256" s="110"/>
      <c r="BY256" s="110"/>
      <c r="BZ256" s="110"/>
      <c r="CA256" s="110"/>
      <c r="CB256" s="110"/>
      <c r="CC256" s="110"/>
      <c r="CD256" s="110"/>
      <c r="CE256" s="110"/>
      <c r="CF256" s="110"/>
    </row>
    <row r="257" spans="1:84" s="45" customFormat="1" x14ac:dyDescent="0.25">
      <c r="A257" t="str">
        <f>Funktional!A256</f>
        <v>Münchwilen</v>
      </c>
      <c r="B257" t="str">
        <f>Funktional!B256</f>
        <v>VSG</v>
      </c>
      <c r="C257" s="365">
        <v>443596.3</v>
      </c>
      <c r="D257" s="365">
        <v>2500246.1</v>
      </c>
      <c r="E257" s="365">
        <v>389209.55</v>
      </c>
      <c r="F257" s="119">
        <f t="shared" ref="F257:F272" si="96">D257+E257</f>
        <v>2889455.65</v>
      </c>
      <c r="G257" s="43"/>
      <c r="H257" s="119">
        <f t="shared" ref="H257:H272" si="97">C257+F257</f>
        <v>3333051.9499999997</v>
      </c>
      <c r="I257" s="377"/>
      <c r="J257" s="124">
        <f t="shared" si="90"/>
        <v>0.13309012480288523</v>
      </c>
      <c r="K257" s="42">
        <f t="shared" ref="K257:K272" si="98">F257/H257</f>
        <v>0.86690987519711482</v>
      </c>
      <c r="L257" s="372">
        <v>1</v>
      </c>
      <c r="M257" s="42"/>
      <c r="N257" s="43"/>
      <c r="O257" s="44"/>
      <c r="P257" s="80"/>
      <c r="Q257" s="43"/>
      <c r="R257" s="43"/>
      <c r="S257" s="43"/>
      <c r="T257" s="43"/>
      <c r="U257" s="43"/>
      <c r="V257" s="43"/>
      <c r="W257" s="43"/>
      <c r="X257" s="43"/>
      <c r="Y257" s="110"/>
      <c r="Z257" s="110"/>
      <c r="AA257" s="110"/>
      <c r="AB257" s="110"/>
      <c r="AC257" s="110"/>
      <c r="AD257" s="110"/>
      <c r="AE257" s="110"/>
      <c r="AF257" s="110"/>
      <c r="AG257" s="110"/>
      <c r="AH257" s="110"/>
      <c r="AI257" s="110"/>
      <c r="AJ257" s="110"/>
      <c r="AK257" s="110"/>
      <c r="AL257" s="110"/>
      <c r="AM257" s="110"/>
      <c r="AN257" s="110"/>
      <c r="AO257" s="110"/>
      <c r="AP257" s="110"/>
      <c r="AQ257" s="110"/>
      <c r="AR257" s="110"/>
      <c r="AS257" s="110"/>
      <c r="AT257" s="110"/>
      <c r="AU257" s="110"/>
      <c r="AV257" s="110"/>
      <c r="AW257" s="110"/>
      <c r="AX257" s="110"/>
      <c r="AY257" s="110"/>
      <c r="AZ257" s="110"/>
      <c r="BA257" s="110"/>
      <c r="BB257" s="110"/>
      <c r="BC257" s="110"/>
      <c r="BD257" s="110"/>
      <c r="BE257" s="110"/>
      <c r="BF257" s="110"/>
      <c r="BG257" s="110"/>
      <c r="BH257" s="110"/>
      <c r="BI257" s="110"/>
      <c r="BJ257" s="110"/>
      <c r="BK257" s="110"/>
      <c r="BL257" s="110"/>
      <c r="BM257" s="110"/>
      <c r="BN257" s="110"/>
      <c r="BO257" s="110"/>
      <c r="BP257" s="110"/>
      <c r="BQ257" s="110"/>
      <c r="BR257" s="110"/>
      <c r="BS257" s="110"/>
      <c r="BT257" s="110"/>
      <c r="BU257" s="110"/>
      <c r="BV257" s="110"/>
      <c r="BW257" s="110"/>
      <c r="BX257" s="110"/>
      <c r="BY257" s="110"/>
      <c r="BZ257" s="110"/>
      <c r="CA257" s="110"/>
      <c r="CB257" s="110"/>
      <c r="CC257" s="110"/>
      <c r="CD257" s="110"/>
      <c r="CE257" s="110"/>
      <c r="CF257" s="110"/>
    </row>
    <row r="258" spans="1:84" s="45" customFormat="1" x14ac:dyDescent="0.25">
      <c r="A258" t="str">
        <f>Funktional!A257</f>
        <v>Wängi</v>
      </c>
      <c r="B258" t="str">
        <f>Funktional!B257</f>
        <v>VSG</v>
      </c>
      <c r="C258" s="365">
        <v>588092.30000000005</v>
      </c>
      <c r="D258" s="365">
        <v>2405927.35</v>
      </c>
      <c r="E258" s="365">
        <v>408522.55</v>
      </c>
      <c r="F258" s="119">
        <f t="shared" si="96"/>
        <v>2814449.9</v>
      </c>
      <c r="G258" s="43"/>
      <c r="H258" s="119">
        <f t="shared" si="97"/>
        <v>3402542.2</v>
      </c>
      <c r="I258" s="377"/>
      <c r="J258" s="124">
        <f t="shared" si="90"/>
        <v>0.17283909072457648</v>
      </c>
      <c r="K258" s="42">
        <f t="shared" si="98"/>
        <v>0.82716090927542352</v>
      </c>
      <c r="L258" s="372">
        <v>1</v>
      </c>
      <c r="M258" s="42"/>
      <c r="N258" s="43"/>
      <c r="O258" s="44"/>
      <c r="P258" s="80"/>
      <c r="Q258" s="43"/>
      <c r="R258" s="43"/>
      <c r="S258" s="43"/>
      <c r="T258" s="43"/>
      <c r="U258" s="43"/>
      <c r="V258" s="43"/>
      <c r="W258" s="43"/>
      <c r="X258" s="43"/>
      <c r="Y258" s="110"/>
      <c r="Z258" s="110"/>
      <c r="AA258" s="110"/>
      <c r="AB258" s="110"/>
      <c r="AC258" s="110"/>
      <c r="AD258" s="110"/>
      <c r="AE258" s="110"/>
      <c r="AF258" s="110"/>
      <c r="AG258" s="110"/>
      <c r="AH258" s="110"/>
      <c r="AI258" s="110"/>
      <c r="AJ258" s="110"/>
      <c r="AK258" s="110"/>
      <c r="AL258" s="110"/>
      <c r="AM258" s="110"/>
      <c r="AN258" s="110"/>
      <c r="AO258" s="110"/>
      <c r="AP258" s="110"/>
      <c r="AQ258" s="110"/>
      <c r="AR258" s="110"/>
      <c r="AS258" s="110"/>
      <c r="AT258" s="110"/>
      <c r="AU258" s="110"/>
      <c r="AV258" s="110"/>
      <c r="AW258" s="110"/>
      <c r="AX258" s="110"/>
      <c r="AY258" s="110"/>
      <c r="AZ258" s="110"/>
      <c r="BA258" s="110"/>
      <c r="BB258" s="110"/>
      <c r="BC258" s="110"/>
      <c r="BD258" s="110"/>
      <c r="BE258" s="110"/>
      <c r="BF258" s="110"/>
      <c r="BG258" s="110"/>
      <c r="BH258" s="110"/>
      <c r="BI258" s="110"/>
      <c r="BJ258" s="110"/>
      <c r="BK258" s="110"/>
      <c r="BL258" s="110"/>
      <c r="BM258" s="110"/>
      <c r="BN258" s="110"/>
      <c r="BO258" s="110"/>
      <c r="BP258" s="110"/>
      <c r="BQ258" s="110"/>
      <c r="BR258" s="110"/>
      <c r="BS258" s="110"/>
      <c r="BT258" s="110"/>
      <c r="BU258" s="110"/>
      <c r="BV258" s="110"/>
      <c r="BW258" s="110"/>
      <c r="BX258" s="110"/>
      <c r="BY258" s="110"/>
      <c r="BZ258" s="110"/>
      <c r="CA258" s="110"/>
      <c r="CB258" s="110"/>
      <c r="CC258" s="110"/>
      <c r="CD258" s="110"/>
      <c r="CE258" s="110"/>
      <c r="CF258" s="110"/>
    </row>
    <row r="259" spans="1:84" s="45" customFormat="1" x14ac:dyDescent="0.25">
      <c r="A259" t="str">
        <f>Funktional!A258</f>
        <v>Andwil</v>
      </c>
      <c r="B259" t="str">
        <f>Funktional!B258</f>
        <v>VSG*</v>
      </c>
      <c r="C259" s="365">
        <v>58345.35</v>
      </c>
      <c r="D259" s="365">
        <v>270012.40000000002</v>
      </c>
      <c r="E259" s="365">
        <v>32389.95</v>
      </c>
      <c r="F259" s="119">
        <f t="shared" si="96"/>
        <v>302402.35000000003</v>
      </c>
      <c r="G259" s="43"/>
      <c r="H259" s="119">
        <f t="shared" si="97"/>
        <v>360747.7</v>
      </c>
      <c r="I259" s="377"/>
      <c r="J259" s="124">
        <f t="shared" ref="J259:J272" si="99">C259/H259</f>
        <v>0.16173450308900097</v>
      </c>
      <c r="K259" s="42">
        <f t="shared" si="98"/>
        <v>0.83826549691099905</v>
      </c>
      <c r="L259" s="372">
        <f t="shared" ref="L259:L265" si="100">K259</f>
        <v>0.83826549691099905</v>
      </c>
      <c r="M259" s="42"/>
      <c r="N259" s="43"/>
      <c r="O259" s="44"/>
      <c r="P259" s="80"/>
      <c r="Q259" s="43"/>
      <c r="R259" s="43"/>
      <c r="S259" s="43"/>
      <c r="T259" s="43"/>
      <c r="U259" s="43"/>
      <c r="V259" s="43"/>
      <c r="W259" s="43"/>
      <c r="X259" s="43"/>
      <c r="Y259" s="110"/>
      <c r="Z259" s="110"/>
      <c r="AA259" s="110"/>
      <c r="AB259" s="110"/>
      <c r="AC259" s="110"/>
      <c r="AD259" s="110"/>
      <c r="AE259" s="110"/>
      <c r="AF259" s="110"/>
      <c r="AG259" s="110"/>
      <c r="AH259" s="110"/>
      <c r="AI259" s="110"/>
      <c r="AJ259" s="110"/>
      <c r="AK259" s="110"/>
      <c r="AL259" s="110"/>
      <c r="AM259" s="110"/>
      <c r="AN259" s="110"/>
      <c r="AO259" s="110"/>
      <c r="AP259" s="110"/>
      <c r="AQ259" s="110"/>
      <c r="AR259" s="110"/>
      <c r="AS259" s="110"/>
      <c r="AT259" s="110"/>
      <c r="AU259" s="110"/>
      <c r="AV259" s="110"/>
      <c r="AW259" s="110"/>
      <c r="AX259" s="110"/>
      <c r="AY259" s="110"/>
      <c r="AZ259" s="110"/>
      <c r="BA259" s="110"/>
      <c r="BB259" s="110"/>
      <c r="BC259" s="110"/>
      <c r="BD259" s="110"/>
      <c r="BE259" s="110"/>
      <c r="BF259" s="110"/>
      <c r="BG259" s="110"/>
      <c r="BH259" s="110"/>
      <c r="BI259" s="110"/>
      <c r="BJ259" s="110"/>
      <c r="BK259" s="110"/>
      <c r="BL259" s="110"/>
      <c r="BM259" s="110"/>
      <c r="BN259" s="110"/>
      <c r="BO259" s="110"/>
      <c r="BP259" s="110"/>
      <c r="BQ259" s="110"/>
      <c r="BR259" s="110"/>
      <c r="BS259" s="110"/>
      <c r="BT259" s="110"/>
      <c r="BU259" s="110"/>
      <c r="BV259" s="110"/>
      <c r="BW259" s="110"/>
      <c r="BX259" s="110"/>
      <c r="BY259" s="110"/>
      <c r="BZ259" s="110"/>
      <c r="CA259" s="110"/>
      <c r="CB259" s="110"/>
      <c r="CC259" s="110"/>
      <c r="CD259" s="110"/>
      <c r="CE259" s="110"/>
      <c r="CF259" s="110"/>
    </row>
    <row r="260" spans="1:84" s="45" customFormat="1" x14ac:dyDescent="0.25">
      <c r="A260" t="str">
        <f>Funktional!A259</f>
        <v>Frasnacht</v>
      </c>
      <c r="B260" t="str">
        <f>Funktional!B259</f>
        <v>VSG*</v>
      </c>
      <c r="C260" s="365">
        <v>141772.25</v>
      </c>
      <c r="D260" s="365">
        <v>535552.05000000005</v>
      </c>
      <c r="E260" s="365">
        <v>47646.3</v>
      </c>
      <c r="F260" s="119">
        <f t="shared" si="96"/>
        <v>583198.35000000009</v>
      </c>
      <c r="G260" s="43"/>
      <c r="H260" s="119">
        <f t="shared" si="97"/>
        <v>724970.60000000009</v>
      </c>
      <c r="I260" s="377"/>
      <c r="J260" s="124">
        <f t="shared" si="99"/>
        <v>0.19555586116181811</v>
      </c>
      <c r="K260" s="42">
        <f t="shared" si="98"/>
        <v>0.80444413883818189</v>
      </c>
      <c r="L260" s="372">
        <f t="shared" si="100"/>
        <v>0.80444413883818189</v>
      </c>
      <c r="M260" s="42"/>
      <c r="N260" s="43"/>
      <c r="O260" s="44"/>
      <c r="P260" s="80"/>
      <c r="Q260" s="43"/>
      <c r="R260" s="43"/>
      <c r="S260" s="43"/>
      <c r="T260" s="43"/>
      <c r="U260" s="43"/>
      <c r="V260" s="43"/>
      <c r="W260" s="43"/>
      <c r="X260" s="43"/>
      <c r="Y260" s="110"/>
      <c r="Z260" s="110"/>
      <c r="AA260" s="110"/>
      <c r="AB260" s="110"/>
      <c r="AC260" s="110"/>
      <c r="AD260" s="110"/>
      <c r="AE260" s="110"/>
      <c r="AF260" s="110"/>
      <c r="AG260" s="110"/>
      <c r="AH260" s="110"/>
      <c r="AI260" s="110"/>
      <c r="AJ260" s="110"/>
      <c r="AK260" s="110"/>
      <c r="AL260" s="110"/>
      <c r="AM260" s="110"/>
      <c r="AN260" s="110"/>
      <c r="AO260" s="110"/>
      <c r="AP260" s="110"/>
      <c r="AQ260" s="110"/>
      <c r="AR260" s="110"/>
      <c r="AS260" s="110"/>
      <c r="AT260" s="110"/>
      <c r="AU260" s="110"/>
      <c r="AV260" s="110"/>
      <c r="AW260" s="110"/>
      <c r="AX260" s="110"/>
      <c r="AY260" s="110"/>
      <c r="AZ260" s="110"/>
      <c r="BA260" s="110"/>
      <c r="BB260" s="110"/>
      <c r="BC260" s="110"/>
      <c r="BD260" s="110"/>
      <c r="BE260" s="110"/>
      <c r="BF260" s="110"/>
      <c r="BG260" s="110"/>
      <c r="BH260" s="110"/>
      <c r="BI260" s="110"/>
      <c r="BJ260" s="110"/>
      <c r="BK260" s="110"/>
      <c r="BL260" s="110"/>
      <c r="BM260" s="110"/>
      <c r="BN260" s="110"/>
      <c r="BO260" s="110"/>
      <c r="BP260" s="110"/>
      <c r="BQ260" s="110"/>
      <c r="BR260" s="110"/>
      <c r="BS260" s="110"/>
      <c r="BT260" s="110"/>
      <c r="BU260" s="110"/>
      <c r="BV260" s="110"/>
      <c r="BW260" s="110"/>
      <c r="BX260" s="110"/>
      <c r="BY260" s="110"/>
      <c r="BZ260" s="110"/>
      <c r="CA260" s="110"/>
      <c r="CB260" s="110"/>
      <c r="CC260" s="110"/>
      <c r="CD260" s="110"/>
      <c r="CE260" s="110"/>
      <c r="CF260" s="110"/>
    </row>
    <row r="261" spans="1:84" s="45" customFormat="1" x14ac:dyDescent="0.25">
      <c r="A261" t="str">
        <f>Funktional!A260</f>
        <v>Freidorf-Watt</v>
      </c>
      <c r="B261" t="str">
        <f>Funktional!B260</f>
        <v>VSG*</v>
      </c>
      <c r="C261" s="365">
        <v>110295.35</v>
      </c>
      <c r="D261" s="365">
        <v>514061.05</v>
      </c>
      <c r="E261" s="365">
        <v>43890.35</v>
      </c>
      <c r="F261" s="119">
        <f t="shared" si="96"/>
        <v>557951.4</v>
      </c>
      <c r="G261" s="43"/>
      <c r="H261" s="119">
        <f t="shared" si="97"/>
        <v>668246.75</v>
      </c>
      <c r="I261" s="377"/>
      <c r="J261" s="124">
        <f t="shared" si="99"/>
        <v>0.16505183152780017</v>
      </c>
      <c r="K261" s="42">
        <f t="shared" si="98"/>
        <v>0.83494816847219988</v>
      </c>
      <c r="L261" s="372">
        <f t="shared" si="100"/>
        <v>0.83494816847219988</v>
      </c>
      <c r="M261" s="42"/>
      <c r="N261" s="43"/>
      <c r="O261" s="44"/>
      <c r="P261" s="80"/>
      <c r="Q261" s="43"/>
      <c r="R261" s="43"/>
      <c r="S261" s="43"/>
      <c r="T261" s="43"/>
      <c r="U261" s="43"/>
      <c r="V261" s="43"/>
      <c r="W261" s="43"/>
      <c r="X261" s="43"/>
      <c r="Y261" s="110"/>
      <c r="Z261" s="110"/>
      <c r="AA261" s="110"/>
      <c r="AB261" s="110"/>
      <c r="AC261" s="110"/>
      <c r="AD261" s="110"/>
      <c r="AE261" s="110"/>
      <c r="AF261" s="110"/>
      <c r="AG261" s="110"/>
      <c r="AH261" s="110"/>
      <c r="AI261" s="110"/>
      <c r="AJ261" s="110"/>
      <c r="AK261" s="110"/>
      <c r="AL261" s="110"/>
      <c r="AM261" s="110"/>
      <c r="AN261" s="110"/>
      <c r="AO261" s="110"/>
      <c r="AP261" s="110"/>
      <c r="AQ261" s="110"/>
      <c r="AR261" s="110"/>
      <c r="AS261" s="110"/>
      <c r="AT261" s="110"/>
      <c r="AU261" s="110"/>
      <c r="AV261" s="110"/>
      <c r="AW261" s="110"/>
      <c r="AX261" s="110"/>
      <c r="AY261" s="110"/>
      <c r="AZ261" s="110"/>
      <c r="BA261" s="110"/>
      <c r="BB261" s="110"/>
      <c r="BC261" s="110"/>
      <c r="BD261" s="110"/>
      <c r="BE261" s="110"/>
      <c r="BF261" s="110"/>
      <c r="BG261" s="110"/>
      <c r="BH261" s="110"/>
      <c r="BI261" s="110"/>
      <c r="BJ261" s="110"/>
      <c r="BK261" s="110"/>
      <c r="BL261" s="110"/>
      <c r="BM261" s="110"/>
      <c r="BN261" s="110"/>
      <c r="BO261" s="110"/>
      <c r="BP261" s="110"/>
      <c r="BQ261" s="110"/>
      <c r="BR261" s="110"/>
      <c r="BS261" s="110"/>
      <c r="BT261" s="110"/>
      <c r="BU261" s="110"/>
      <c r="BV261" s="110"/>
      <c r="BW261" s="110"/>
      <c r="BX261" s="110"/>
      <c r="BY261" s="110"/>
      <c r="BZ261" s="110"/>
      <c r="CA261" s="110"/>
      <c r="CB261" s="110"/>
      <c r="CC261" s="110"/>
      <c r="CD261" s="110"/>
      <c r="CE261" s="110"/>
      <c r="CF261" s="110"/>
    </row>
    <row r="262" spans="1:84" s="45" customFormat="1" x14ac:dyDescent="0.25">
      <c r="A262" t="str">
        <f>Funktional!A261</f>
        <v>Kümmertshausen</v>
      </c>
      <c r="B262" t="str">
        <f>Funktional!B261</f>
        <v>VSG*</v>
      </c>
      <c r="C262" s="365">
        <v>83323.399999999994</v>
      </c>
      <c r="D262" s="365">
        <v>575483.80000000005</v>
      </c>
      <c r="E262" s="365">
        <v>45517.2</v>
      </c>
      <c r="F262" s="119">
        <f t="shared" si="96"/>
        <v>621001</v>
      </c>
      <c r="G262" s="43"/>
      <c r="H262" s="119">
        <f t="shared" si="97"/>
        <v>704324.4</v>
      </c>
      <c r="I262" s="377"/>
      <c r="J262" s="124">
        <f t="shared" si="99"/>
        <v>0.11830258897746548</v>
      </c>
      <c r="K262" s="42">
        <f t="shared" si="98"/>
        <v>0.88169741102253452</v>
      </c>
      <c r="L262" s="372">
        <f t="shared" si="100"/>
        <v>0.88169741102253452</v>
      </c>
      <c r="M262" s="42"/>
      <c r="N262" s="43"/>
      <c r="O262" s="44"/>
      <c r="P262" s="80"/>
      <c r="Q262" s="43"/>
      <c r="R262" s="43"/>
      <c r="S262" s="43"/>
      <c r="T262" s="43"/>
      <c r="U262" s="43"/>
      <c r="V262" s="43"/>
      <c r="W262" s="43"/>
      <c r="X262" s="43"/>
      <c r="Y262" s="110"/>
      <c r="Z262" s="110"/>
      <c r="AA262" s="110"/>
      <c r="AB262" s="110"/>
      <c r="AC262" s="110"/>
      <c r="AD262" s="110"/>
      <c r="AE262" s="110"/>
      <c r="AF262" s="110"/>
      <c r="AG262" s="110"/>
      <c r="AH262" s="110"/>
      <c r="AI262" s="110"/>
      <c r="AJ262" s="110"/>
      <c r="AK262" s="110"/>
      <c r="AL262" s="110"/>
      <c r="AM262" s="110"/>
      <c r="AN262" s="110"/>
      <c r="AO262" s="110"/>
      <c r="AP262" s="110"/>
      <c r="AQ262" s="110"/>
      <c r="AR262" s="110"/>
      <c r="AS262" s="110"/>
      <c r="AT262" s="110"/>
      <c r="AU262" s="110"/>
      <c r="AV262" s="110"/>
      <c r="AW262" s="110"/>
      <c r="AX262" s="110"/>
      <c r="AY262" s="110"/>
      <c r="AZ262" s="110"/>
      <c r="BA262" s="110"/>
      <c r="BB262" s="110"/>
      <c r="BC262" s="110"/>
      <c r="BD262" s="110"/>
      <c r="BE262" s="110"/>
      <c r="BF262" s="110"/>
      <c r="BG262" s="110"/>
      <c r="BH262" s="110"/>
      <c r="BI262" s="110"/>
      <c r="BJ262" s="110"/>
      <c r="BK262" s="110"/>
      <c r="BL262" s="110"/>
      <c r="BM262" s="110"/>
      <c r="BN262" s="110"/>
      <c r="BO262" s="110"/>
      <c r="BP262" s="110"/>
      <c r="BQ262" s="110"/>
      <c r="BR262" s="110"/>
      <c r="BS262" s="110"/>
      <c r="BT262" s="110"/>
      <c r="BU262" s="110"/>
      <c r="BV262" s="110"/>
      <c r="BW262" s="110"/>
      <c r="BX262" s="110"/>
      <c r="BY262" s="110"/>
      <c r="BZ262" s="110"/>
      <c r="CA262" s="110"/>
      <c r="CB262" s="110"/>
      <c r="CC262" s="110"/>
      <c r="CD262" s="110"/>
      <c r="CE262" s="110"/>
      <c r="CF262" s="110"/>
    </row>
    <row r="263" spans="1:84" s="45" customFormat="1" x14ac:dyDescent="0.25">
      <c r="A263" t="str">
        <f>Funktional!A262</f>
        <v>Neunforn</v>
      </c>
      <c r="B263" t="str">
        <f>Funktional!B262</f>
        <v>VSG*</v>
      </c>
      <c r="C263" s="365">
        <v>134011.45000000001</v>
      </c>
      <c r="D263" s="365">
        <v>634181.05000000005</v>
      </c>
      <c r="E263" s="365">
        <v>52750.95</v>
      </c>
      <c r="F263" s="119">
        <f t="shared" si="96"/>
        <v>686932</v>
      </c>
      <c r="G263" s="43"/>
      <c r="H263" s="119">
        <f t="shared" si="97"/>
        <v>820943.45</v>
      </c>
      <c r="I263" s="377"/>
      <c r="J263" s="124">
        <f t="shared" si="99"/>
        <v>0.16324078107937887</v>
      </c>
      <c r="K263" s="42">
        <f t="shared" si="98"/>
        <v>0.83675921892062122</v>
      </c>
      <c r="L263" s="372">
        <f t="shared" si="100"/>
        <v>0.83675921892062122</v>
      </c>
      <c r="M263" s="42"/>
      <c r="N263" s="43"/>
      <c r="O263" s="44"/>
      <c r="P263" s="80"/>
      <c r="Q263" s="43"/>
      <c r="R263" s="43"/>
      <c r="S263" s="43"/>
      <c r="T263" s="43"/>
      <c r="U263" s="43"/>
      <c r="V263" s="43"/>
      <c r="W263" s="43"/>
      <c r="X263" s="43"/>
      <c r="Y263" s="110"/>
      <c r="Z263" s="110"/>
      <c r="AA263" s="110"/>
      <c r="AB263" s="110"/>
      <c r="AC263" s="110"/>
      <c r="AD263" s="110"/>
      <c r="AE263" s="110"/>
      <c r="AF263" s="110"/>
      <c r="AG263" s="110"/>
      <c r="AH263" s="110"/>
      <c r="AI263" s="110"/>
      <c r="AJ263" s="110"/>
      <c r="AK263" s="110"/>
      <c r="AL263" s="110"/>
      <c r="AM263" s="110"/>
      <c r="AN263" s="110"/>
      <c r="AO263" s="110"/>
      <c r="AP263" s="110"/>
      <c r="AQ263" s="110"/>
      <c r="AR263" s="110"/>
      <c r="AS263" s="110"/>
      <c r="AT263" s="110"/>
      <c r="AU263" s="110"/>
      <c r="AV263" s="110"/>
      <c r="AW263" s="110"/>
      <c r="AX263" s="110"/>
      <c r="AY263" s="110"/>
      <c r="AZ263" s="110"/>
      <c r="BA263" s="110"/>
      <c r="BB263" s="110"/>
      <c r="BC263" s="110"/>
      <c r="BD263" s="110"/>
      <c r="BE263" s="110"/>
      <c r="BF263" s="110"/>
      <c r="BG263" s="110"/>
      <c r="BH263" s="110"/>
      <c r="BI263" s="110"/>
      <c r="BJ263" s="110"/>
      <c r="BK263" s="110"/>
      <c r="BL263" s="110"/>
      <c r="BM263" s="110"/>
      <c r="BN263" s="110"/>
      <c r="BO263" s="110"/>
      <c r="BP263" s="110"/>
      <c r="BQ263" s="110"/>
      <c r="BR263" s="110"/>
      <c r="BS263" s="110"/>
      <c r="BT263" s="110"/>
      <c r="BU263" s="110"/>
      <c r="BV263" s="110"/>
      <c r="BW263" s="110"/>
      <c r="BX263" s="110"/>
      <c r="BY263" s="110"/>
      <c r="BZ263" s="110"/>
      <c r="CA263" s="110"/>
      <c r="CB263" s="110"/>
      <c r="CC263" s="110"/>
      <c r="CD263" s="110"/>
      <c r="CE263" s="110"/>
      <c r="CF263" s="110"/>
    </row>
    <row r="264" spans="1:84" s="45" customFormat="1" x14ac:dyDescent="0.25">
      <c r="A264" t="str">
        <f>Funktional!A263</f>
        <v>Roggwil</v>
      </c>
      <c r="B264" t="str">
        <f>Funktional!B263</f>
        <v>VSG*</v>
      </c>
      <c r="C264" s="365">
        <v>178794.55</v>
      </c>
      <c r="D264" s="365">
        <v>815314.4</v>
      </c>
      <c r="E264" s="365">
        <v>87619.55</v>
      </c>
      <c r="F264" s="119">
        <f t="shared" si="96"/>
        <v>902933.95000000007</v>
      </c>
      <c r="G264" s="43"/>
      <c r="H264" s="119">
        <f t="shared" si="97"/>
        <v>1081728.5</v>
      </c>
      <c r="I264" s="377"/>
      <c r="J264" s="124">
        <f t="shared" si="99"/>
        <v>0.16528597517769014</v>
      </c>
      <c r="K264" s="42">
        <f t="shared" si="98"/>
        <v>0.83471402482230994</v>
      </c>
      <c r="L264" s="372">
        <f t="shared" si="100"/>
        <v>0.83471402482230994</v>
      </c>
      <c r="M264" s="42"/>
      <c r="N264" s="43"/>
      <c r="O264" s="44"/>
      <c r="P264" s="80"/>
      <c r="Q264" s="43"/>
      <c r="R264" s="43"/>
      <c r="S264" s="43"/>
      <c r="T264" s="43"/>
      <c r="U264" s="43"/>
      <c r="V264" s="43"/>
      <c r="W264" s="43"/>
      <c r="X264" s="43"/>
      <c r="Y264" s="110"/>
      <c r="Z264" s="110"/>
      <c r="AA264" s="110"/>
      <c r="AB264" s="110"/>
      <c r="AC264" s="110"/>
      <c r="AD264" s="110"/>
      <c r="AE264" s="110"/>
      <c r="AF264" s="110"/>
      <c r="AG264" s="110"/>
      <c r="AH264" s="110"/>
      <c r="AI264" s="110"/>
      <c r="AJ264" s="110"/>
      <c r="AK264" s="110"/>
      <c r="AL264" s="110"/>
      <c r="AM264" s="110"/>
      <c r="AN264" s="110"/>
      <c r="AO264" s="110"/>
      <c r="AP264" s="110"/>
      <c r="AQ264" s="110"/>
      <c r="AR264" s="110"/>
      <c r="AS264" s="110"/>
      <c r="AT264" s="110"/>
      <c r="AU264" s="110"/>
      <c r="AV264" s="110"/>
      <c r="AW264" s="110"/>
      <c r="AX264" s="110"/>
      <c r="AY264" s="110"/>
      <c r="AZ264" s="110"/>
      <c r="BA264" s="110"/>
      <c r="BB264" s="110"/>
      <c r="BC264" s="110"/>
      <c r="BD264" s="110"/>
      <c r="BE264" s="110"/>
      <c r="BF264" s="110"/>
      <c r="BG264" s="110"/>
      <c r="BH264" s="110"/>
      <c r="BI264" s="110"/>
      <c r="BJ264" s="110"/>
      <c r="BK264" s="110"/>
      <c r="BL264" s="110"/>
      <c r="BM264" s="110"/>
      <c r="BN264" s="110"/>
      <c r="BO264" s="110"/>
      <c r="BP264" s="110"/>
      <c r="BQ264" s="110"/>
      <c r="BR264" s="110"/>
      <c r="BS264" s="110"/>
      <c r="BT264" s="110"/>
      <c r="BU264" s="110"/>
      <c r="BV264" s="110"/>
      <c r="BW264" s="110"/>
      <c r="BX264" s="110"/>
      <c r="BY264" s="110"/>
      <c r="BZ264" s="110"/>
      <c r="CA264" s="110"/>
      <c r="CB264" s="110"/>
      <c r="CC264" s="110"/>
      <c r="CD264" s="110"/>
      <c r="CE264" s="110"/>
      <c r="CF264" s="110"/>
    </row>
    <row r="265" spans="1:84" s="45" customFormat="1" x14ac:dyDescent="0.25">
      <c r="A265" t="str">
        <f>Funktional!A264</f>
        <v>Speiserslehn</v>
      </c>
      <c r="B265" t="str">
        <f>Funktional!B264</f>
        <v>VSG*</v>
      </c>
      <c r="C265" s="365">
        <v>74085.600000000006</v>
      </c>
      <c r="D265" s="365">
        <v>269825.7</v>
      </c>
      <c r="E265" s="365">
        <v>0</v>
      </c>
      <c r="F265" s="119">
        <f t="shared" si="96"/>
        <v>269825.7</v>
      </c>
      <c r="G265" s="43"/>
      <c r="H265" s="119">
        <f t="shared" si="97"/>
        <v>343911.30000000005</v>
      </c>
      <c r="I265" s="377"/>
      <c r="J265" s="124">
        <f t="shared" si="99"/>
        <v>0.21542066224634082</v>
      </c>
      <c r="K265" s="42">
        <f t="shared" si="98"/>
        <v>0.78457933775365907</v>
      </c>
      <c r="L265" s="372">
        <f t="shared" si="100"/>
        <v>0.78457933775365907</v>
      </c>
      <c r="M265" s="42"/>
      <c r="N265" s="43"/>
      <c r="O265" s="44"/>
      <c r="P265" s="80"/>
      <c r="Q265" s="43"/>
      <c r="R265" s="43"/>
      <c r="S265" s="43"/>
      <c r="T265" s="43"/>
      <c r="U265" s="43"/>
      <c r="V265" s="43"/>
      <c r="W265" s="43"/>
      <c r="X265" s="43"/>
      <c r="Y265" s="110"/>
      <c r="Z265" s="110"/>
      <c r="AA265" s="110"/>
      <c r="AB265" s="110"/>
      <c r="AC265" s="110"/>
      <c r="AD265" s="110"/>
      <c r="AE265" s="110"/>
      <c r="AF265" s="110"/>
      <c r="AG265" s="110"/>
      <c r="AH265" s="110"/>
      <c r="AI265" s="110"/>
      <c r="AJ265" s="110"/>
      <c r="AK265" s="110"/>
      <c r="AL265" s="110"/>
      <c r="AM265" s="110"/>
      <c r="AN265" s="110"/>
      <c r="AO265" s="110"/>
      <c r="AP265" s="110"/>
      <c r="AQ265" s="110"/>
      <c r="AR265" s="110"/>
      <c r="AS265" s="110"/>
      <c r="AT265" s="110"/>
      <c r="AU265" s="110"/>
      <c r="AV265" s="110"/>
      <c r="AW265" s="110"/>
      <c r="AX265" s="110"/>
      <c r="AY265" s="110"/>
      <c r="AZ265" s="110"/>
      <c r="BA265" s="110"/>
      <c r="BB265" s="110"/>
      <c r="BC265" s="110"/>
      <c r="BD265" s="110"/>
      <c r="BE265" s="110"/>
      <c r="BF265" s="110"/>
      <c r="BG265" s="110"/>
      <c r="BH265" s="110"/>
      <c r="BI265" s="110"/>
      <c r="BJ265" s="110"/>
      <c r="BK265" s="110"/>
      <c r="BL265" s="110"/>
      <c r="BM265" s="110"/>
      <c r="BN265" s="110"/>
      <c r="BO265" s="110"/>
      <c r="BP265" s="110"/>
      <c r="BQ265" s="110"/>
      <c r="BR265" s="110"/>
      <c r="BS265" s="110"/>
      <c r="BT265" s="110"/>
      <c r="BU265" s="110"/>
      <c r="BV265" s="110"/>
      <c r="BW265" s="110"/>
      <c r="BX265" s="110"/>
      <c r="BY265" s="110"/>
      <c r="BZ265" s="110"/>
      <c r="CA265" s="110"/>
      <c r="CB265" s="110"/>
      <c r="CC265" s="110"/>
      <c r="CD265" s="110"/>
      <c r="CE265" s="110"/>
      <c r="CF265" s="110"/>
    </row>
    <row r="266" spans="1:84" s="45" customFormat="1" x14ac:dyDescent="0.25">
      <c r="A266" t="str">
        <f>Funktional!A265</f>
        <v>Andwil</v>
      </c>
      <c r="B266" t="str">
        <f>Funktional!B265</f>
        <v>KiGa*</v>
      </c>
      <c r="C266" s="365">
        <v>58345.35</v>
      </c>
      <c r="D266" s="365">
        <v>270012.40000000002</v>
      </c>
      <c r="E266" s="365">
        <v>32389.95</v>
      </c>
      <c r="F266" s="119">
        <f t="shared" si="96"/>
        <v>302402.35000000003</v>
      </c>
      <c r="G266" s="43"/>
      <c r="H266" s="119">
        <f t="shared" si="97"/>
        <v>360747.7</v>
      </c>
      <c r="I266" s="377"/>
      <c r="J266" s="124">
        <f t="shared" si="99"/>
        <v>0.16173450308900097</v>
      </c>
      <c r="K266" s="42">
        <f t="shared" si="98"/>
        <v>0.83826549691099905</v>
      </c>
      <c r="L266" s="372">
        <f t="shared" ref="L266:L272" si="101">J266</f>
        <v>0.16173450308900097</v>
      </c>
      <c r="M266" s="42"/>
      <c r="N266" s="43"/>
      <c r="O266" s="44"/>
      <c r="P266" s="80"/>
      <c r="Q266" s="43"/>
      <c r="R266" s="43"/>
      <c r="S266" s="43"/>
      <c r="T266" s="43"/>
      <c r="U266" s="43"/>
      <c r="V266" s="43"/>
      <c r="W266" s="43"/>
      <c r="X266" s="43"/>
      <c r="Y266" s="110"/>
      <c r="Z266" s="110"/>
      <c r="AA266" s="110"/>
      <c r="AB266" s="110"/>
      <c r="AC266" s="110"/>
      <c r="AD266" s="110"/>
      <c r="AE266" s="110"/>
      <c r="AF266" s="110"/>
      <c r="AG266" s="110"/>
      <c r="AH266" s="110"/>
      <c r="AI266" s="110"/>
      <c r="AJ266" s="110"/>
      <c r="AK266" s="110"/>
      <c r="AL266" s="110"/>
      <c r="AM266" s="110"/>
      <c r="AN266" s="110"/>
      <c r="AO266" s="110"/>
      <c r="AP266" s="110"/>
      <c r="AQ266" s="110"/>
      <c r="AR266" s="110"/>
      <c r="AS266" s="110"/>
      <c r="AT266" s="110"/>
      <c r="AU266" s="110"/>
      <c r="AV266" s="110"/>
      <c r="AW266" s="110"/>
      <c r="AX266" s="110"/>
      <c r="AY266" s="110"/>
      <c r="AZ266" s="110"/>
      <c r="BA266" s="110"/>
      <c r="BB266" s="110"/>
      <c r="BC266" s="110"/>
      <c r="BD266" s="110"/>
      <c r="BE266" s="110"/>
      <c r="BF266" s="110"/>
      <c r="BG266" s="110"/>
      <c r="BH266" s="110"/>
      <c r="BI266" s="110"/>
      <c r="BJ266" s="110"/>
      <c r="BK266" s="110"/>
      <c r="BL266" s="110"/>
      <c r="BM266" s="110"/>
      <c r="BN266" s="110"/>
      <c r="BO266" s="110"/>
      <c r="BP266" s="110"/>
      <c r="BQ266" s="110"/>
      <c r="BR266" s="110"/>
      <c r="BS266" s="110"/>
      <c r="BT266" s="110"/>
      <c r="BU266" s="110"/>
      <c r="BV266" s="110"/>
      <c r="BW266" s="110"/>
      <c r="BX266" s="110"/>
      <c r="BY266" s="110"/>
      <c r="BZ266" s="110"/>
      <c r="CA266" s="110"/>
      <c r="CB266" s="110"/>
      <c r="CC266" s="110"/>
      <c r="CD266" s="110"/>
      <c r="CE266" s="110"/>
      <c r="CF266" s="110"/>
    </row>
    <row r="267" spans="1:84" s="45" customFormat="1" x14ac:dyDescent="0.25">
      <c r="A267" t="str">
        <f>Funktional!A266</f>
        <v>Frasnacht</v>
      </c>
      <c r="B267" t="str">
        <f>Funktional!B266</f>
        <v>KiGa*</v>
      </c>
      <c r="C267" s="365">
        <v>141772.25</v>
      </c>
      <c r="D267" s="365">
        <v>535552.05000000005</v>
      </c>
      <c r="E267" s="365">
        <v>47646.3</v>
      </c>
      <c r="F267" s="119">
        <f t="shared" si="96"/>
        <v>583198.35000000009</v>
      </c>
      <c r="G267" s="43"/>
      <c r="H267" s="119">
        <f t="shared" si="97"/>
        <v>724970.60000000009</v>
      </c>
      <c r="I267" s="377"/>
      <c r="J267" s="124">
        <f t="shared" si="99"/>
        <v>0.19555586116181811</v>
      </c>
      <c r="K267" s="42">
        <f t="shared" si="98"/>
        <v>0.80444413883818189</v>
      </c>
      <c r="L267" s="372">
        <f t="shared" si="101"/>
        <v>0.19555586116181811</v>
      </c>
      <c r="M267" s="42"/>
      <c r="N267" s="43"/>
      <c r="O267" s="44"/>
      <c r="P267" s="80"/>
      <c r="Q267" s="43"/>
      <c r="R267" s="43"/>
      <c r="S267" s="43"/>
      <c r="T267" s="43"/>
      <c r="U267" s="43"/>
      <c r="V267" s="43"/>
      <c r="W267" s="43"/>
      <c r="X267" s="43"/>
      <c r="Y267" s="110"/>
      <c r="Z267" s="110"/>
      <c r="AA267" s="110"/>
      <c r="AB267" s="110"/>
      <c r="AC267" s="110"/>
      <c r="AD267" s="110"/>
      <c r="AE267" s="110"/>
      <c r="AF267" s="110"/>
      <c r="AG267" s="110"/>
      <c r="AH267" s="110"/>
      <c r="AI267" s="110"/>
      <c r="AJ267" s="110"/>
      <c r="AK267" s="110"/>
      <c r="AL267" s="110"/>
      <c r="AM267" s="110"/>
      <c r="AN267" s="110"/>
      <c r="AO267" s="110"/>
      <c r="AP267" s="110"/>
      <c r="AQ267" s="110"/>
      <c r="AR267" s="110"/>
      <c r="AS267" s="110"/>
      <c r="AT267" s="110"/>
      <c r="AU267" s="110"/>
      <c r="AV267" s="110"/>
      <c r="AW267" s="110"/>
      <c r="AX267" s="110"/>
      <c r="AY267" s="110"/>
      <c r="AZ267" s="110"/>
      <c r="BA267" s="110"/>
      <c r="BB267" s="110"/>
      <c r="BC267" s="110"/>
      <c r="BD267" s="110"/>
      <c r="BE267" s="110"/>
      <c r="BF267" s="110"/>
      <c r="BG267" s="110"/>
      <c r="BH267" s="110"/>
      <c r="BI267" s="110"/>
      <c r="BJ267" s="110"/>
      <c r="BK267" s="110"/>
      <c r="BL267" s="110"/>
      <c r="BM267" s="110"/>
      <c r="BN267" s="110"/>
      <c r="BO267" s="110"/>
      <c r="BP267" s="110"/>
      <c r="BQ267" s="110"/>
      <c r="BR267" s="110"/>
      <c r="BS267" s="110"/>
      <c r="BT267" s="110"/>
      <c r="BU267" s="110"/>
      <c r="BV267" s="110"/>
      <c r="BW267" s="110"/>
      <c r="BX267" s="110"/>
      <c r="BY267" s="110"/>
      <c r="BZ267" s="110"/>
      <c r="CA267" s="110"/>
      <c r="CB267" s="110"/>
      <c r="CC267" s="110"/>
      <c r="CD267" s="110"/>
      <c r="CE267" s="110"/>
      <c r="CF267" s="110"/>
    </row>
    <row r="268" spans="1:84" s="45" customFormat="1" x14ac:dyDescent="0.25">
      <c r="A268" t="str">
        <f>Funktional!A267</f>
        <v>Freidorf-Watt</v>
      </c>
      <c r="B268" t="str">
        <f>Funktional!B267</f>
        <v>KiGa*</v>
      </c>
      <c r="C268" s="365">
        <v>110295.35</v>
      </c>
      <c r="D268" s="365">
        <v>514061.05</v>
      </c>
      <c r="E268" s="365">
        <v>43890.35</v>
      </c>
      <c r="F268" s="119">
        <f t="shared" si="96"/>
        <v>557951.4</v>
      </c>
      <c r="G268" s="43"/>
      <c r="H268" s="119">
        <f t="shared" si="97"/>
        <v>668246.75</v>
      </c>
      <c r="I268" s="377"/>
      <c r="J268" s="124">
        <f t="shared" si="99"/>
        <v>0.16505183152780017</v>
      </c>
      <c r="K268" s="42">
        <f t="shared" si="98"/>
        <v>0.83494816847219988</v>
      </c>
      <c r="L268" s="372">
        <f t="shared" si="101"/>
        <v>0.16505183152780017</v>
      </c>
      <c r="M268" s="42"/>
      <c r="N268" s="43"/>
      <c r="O268" s="44"/>
      <c r="P268" s="80"/>
      <c r="Q268" s="43"/>
      <c r="R268" s="43"/>
      <c r="S268" s="43"/>
      <c r="T268" s="43"/>
      <c r="U268" s="43"/>
      <c r="V268" s="43"/>
      <c r="W268" s="43"/>
      <c r="X268" s="43"/>
      <c r="Y268" s="110"/>
      <c r="Z268" s="110"/>
      <c r="AA268" s="110"/>
      <c r="AB268" s="110"/>
      <c r="AC268" s="110"/>
      <c r="AD268" s="110"/>
      <c r="AE268" s="110"/>
      <c r="AF268" s="110"/>
      <c r="AG268" s="110"/>
      <c r="AH268" s="110"/>
      <c r="AI268" s="110"/>
      <c r="AJ268" s="110"/>
      <c r="AK268" s="110"/>
      <c r="AL268" s="110"/>
      <c r="AM268" s="110"/>
      <c r="AN268" s="110"/>
      <c r="AO268" s="110"/>
      <c r="AP268" s="110"/>
      <c r="AQ268" s="110"/>
      <c r="AR268" s="110"/>
      <c r="AS268" s="110"/>
      <c r="AT268" s="110"/>
      <c r="AU268" s="110"/>
      <c r="AV268" s="110"/>
      <c r="AW268" s="110"/>
      <c r="AX268" s="110"/>
      <c r="AY268" s="110"/>
      <c r="AZ268" s="110"/>
      <c r="BA268" s="110"/>
      <c r="BB268" s="110"/>
      <c r="BC268" s="110"/>
      <c r="BD268" s="110"/>
      <c r="BE268" s="110"/>
      <c r="BF268" s="110"/>
      <c r="BG268" s="110"/>
      <c r="BH268" s="110"/>
      <c r="BI268" s="110"/>
      <c r="BJ268" s="110"/>
      <c r="BK268" s="110"/>
      <c r="BL268" s="110"/>
      <c r="BM268" s="110"/>
      <c r="BN268" s="110"/>
      <c r="BO268" s="110"/>
      <c r="BP268" s="110"/>
      <c r="BQ268" s="110"/>
      <c r="BR268" s="110"/>
      <c r="BS268" s="110"/>
      <c r="BT268" s="110"/>
      <c r="BU268" s="110"/>
      <c r="BV268" s="110"/>
      <c r="BW268" s="110"/>
      <c r="BX268" s="110"/>
      <c r="BY268" s="110"/>
      <c r="BZ268" s="110"/>
      <c r="CA268" s="110"/>
      <c r="CB268" s="110"/>
      <c r="CC268" s="110"/>
      <c r="CD268" s="110"/>
      <c r="CE268" s="110"/>
      <c r="CF268" s="110"/>
    </row>
    <row r="269" spans="1:84" s="45" customFormat="1" x14ac:dyDescent="0.25">
      <c r="A269" t="str">
        <f>Funktional!A268</f>
        <v>Kümmertshausen</v>
      </c>
      <c r="B269" t="str">
        <f>Funktional!B268</f>
        <v>KiGa*</v>
      </c>
      <c r="C269" s="365">
        <v>83323.399999999994</v>
      </c>
      <c r="D269" s="365">
        <v>575483.80000000005</v>
      </c>
      <c r="E269" s="365">
        <v>45517.2</v>
      </c>
      <c r="F269" s="119">
        <f t="shared" si="96"/>
        <v>621001</v>
      </c>
      <c r="G269" s="43"/>
      <c r="H269" s="119">
        <f t="shared" si="97"/>
        <v>704324.4</v>
      </c>
      <c r="I269" s="377"/>
      <c r="J269" s="124">
        <f t="shared" si="99"/>
        <v>0.11830258897746548</v>
      </c>
      <c r="K269" s="42">
        <f t="shared" si="98"/>
        <v>0.88169741102253452</v>
      </c>
      <c r="L269" s="372">
        <f t="shared" si="101"/>
        <v>0.11830258897746548</v>
      </c>
      <c r="M269" s="42"/>
      <c r="N269" s="43"/>
      <c r="O269" s="44"/>
      <c r="P269" s="80"/>
      <c r="Q269" s="43"/>
      <c r="R269" s="43"/>
      <c r="S269" s="43"/>
      <c r="T269" s="43"/>
      <c r="U269" s="43"/>
      <c r="V269" s="43"/>
      <c r="W269" s="43"/>
      <c r="X269" s="43"/>
      <c r="Y269" s="110"/>
      <c r="Z269" s="110"/>
      <c r="AA269" s="110"/>
      <c r="AB269" s="110"/>
      <c r="AC269" s="110"/>
      <c r="AD269" s="110"/>
      <c r="AE269" s="110"/>
      <c r="AF269" s="110"/>
      <c r="AG269" s="110"/>
      <c r="AH269" s="110"/>
      <c r="AI269" s="110"/>
      <c r="AJ269" s="110"/>
      <c r="AK269" s="110"/>
      <c r="AL269" s="110"/>
      <c r="AM269" s="110"/>
      <c r="AN269" s="110"/>
      <c r="AO269" s="110"/>
      <c r="AP269" s="110"/>
      <c r="AQ269" s="110"/>
      <c r="AR269" s="110"/>
      <c r="AS269" s="110"/>
      <c r="AT269" s="110"/>
      <c r="AU269" s="110"/>
      <c r="AV269" s="110"/>
      <c r="AW269" s="110"/>
      <c r="AX269" s="110"/>
      <c r="AY269" s="110"/>
      <c r="AZ269" s="110"/>
      <c r="BA269" s="110"/>
      <c r="BB269" s="110"/>
      <c r="BC269" s="110"/>
      <c r="BD269" s="110"/>
      <c r="BE269" s="110"/>
      <c r="BF269" s="110"/>
      <c r="BG269" s="110"/>
      <c r="BH269" s="110"/>
      <c r="BI269" s="110"/>
      <c r="BJ269" s="110"/>
      <c r="BK269" s="110"/>
      <c r="BL269" s="110"/>
      <c r="BM269" s="110"/>
      <c r="BN269" s="110"/>
      <c r="BO269" s="110"/>
      <c r="BP269" s="110"/>
      <c r="BQ269" s="110"/>
      <c r="BR269" s="110"/>
      <c r="BS269" s="110"/>
      <c r="BT269" s="110"/>
      <c r="BU269" s="110"/>
      <c r="BV269" s="110"/>
      <c r="BW269" s="110"/>
      <c r="BX269" s="110"/>
      <c r="BY269" s="110"/>
      <c r="BZ269" s="110"/>
      <c r="CA269" s="110"/>
      <c r="CB269" s="110"/>
      <c r="CC269" s="110"/>
      <c r="CD269" s="110"/>
      <c r="CE269" s="110"/>
      <c r="CF269" s="110"/>
    </row>
    <row r="270" spans="1:84" s="45" customFormat="1" x14ac:dyDescent="0.25">
      <c r="A270" t="str">
        <f>Funktional!A269</f>
        <v>Neunforn</v>
      </c>
      <c r="B270" t="str">
        <f>Funktional!B269</f>
        <v>KiGa*</v>
      </c>
      <c r="C270" s="365">
        <v>134011.45000000001</v>
      </c>
      <c r="D270" s="365">
        <v>634181.05000000005</v>
      </c>
      <c r="E270" s="365">
        <v>52750.95</v>
      </c>
      <c r="F270" s="119">
        <f t="shared" si="96"/>
        <v>686932</v>
      </c>
      <c r="G270" s="43"/>
      <c r="H270" s="119">
        <f t="shared" si="97"/>
        <v>820943.45</v>
      </c>
      <c r="I270" s="377"/>
      <c r="J270" s="124">
        <f t="shared" si="99"/>
        <v>0.16324078107937887</v>
      </c>
      <c r="K270" s="42">
        <f t="shared" si="98"/>
        <v>0.83675921892062122</v>
      </c>
      <c r="L270" s="372">
        <f t="shared" si="101"/>
        <v>0.16324078107937887</v>
      </c>
      <c r="M270" s="42"/>
      <c r="N270" s="43"/>
      <c r="O270" s="44"/>
      <c r="P270" s="80"/>
      <c r="Q270" s="43"/>
      <c r="R270" s="43"/>
      <c r="S270" s="43"/>
      <c r="T270" s="43"/>
      <c r="U270" s="43"/>
      <c r="V270" s="43"/>
      <c r="W270" s="43"/>
      <c r="X270" s="43"/>
      <c r="Y270" s="110"/>
      <c r="Z270" s="110"/>
      <c r="AA270" s="110"/>
      <c r="AB270" s="110"/>
      <c r="AC270" s="110"/>
      <c r="AD270" s="110"/>
      <c r="AE270" s="110"/>
      <c r="AF270" s="110"/>
      <c r="AG270" s="110"/>
      <c r="AH270" s="110"/>
      <c r="AI270" s="110"/>
      <c r="AJ270" s="110"/>
      <c r="AK270" s="110"/>
      <c r="AL270" s="110"/>
      <c r="AM270" s="110"/>
      <c r="AN270" s="110"/>
      <c r="AO270" s="110"/>
      <c r="AP270" s="110"/>
      <c r="AQ270" s="110"/>
      <c r="AR270" s="110"/>
      <c r="AS270" s="110"/>
      <c r="AT270" s="110"/>
      <c r="AU270" s="110"/>
      <c r="AV270" s="110"/>
      <c r="AW270" s="110"/>
      <c r="AX270" s="110"/>
      <c r="AY270" s="110"/>
      <c r="AZ270" s="110"/>
      <c r="BA270" s="110"/>
      <c r="BB270" s="110"/>
      <c r="BC270" s="110"/>
      <c r="BD270" s="110"/>
      <c r="BE270" s="110"/>
      <c r="BF270" s="110"/>
      <c r="BG270" s="110"/>
      <c r="BH270" s="110"/>
      <c r="BI270" s="110"/>
      <c r="BJ270" s="110"/>
      <c r="BK270" s="110"/>
      <c r="BL270" s="110"/>
      <c r="BM270" s="110"/>
      <c r="BN270" s="110"/>
      <c r="BO270" s="110"/>
      <c r="BP270" s="110"/>
      <c r="BQ270" s="110"/>
      <c r="BR270" s="110"/>
      <c r="BS270" s="110"/>
      <c r="BT270" s="110"/>
      <c r="BU270" s="110"/>
      <c r="BV270" s="110"/>
      <c r="BW270" s="110"/>
      <c r="BX270" s="110"/>
      <c r="BY270" s="110"/>
      <c r="BZ270" s="110"/>
      <c r="CA270" s="110"/>
      <c r="CB270" s="110"/>
      <c r="CC270" s="110"/>
      <c r="CD270" s="110"/>
      <c r="CE270" s="110"/>
      <c r="CF270" s="110"/>
    </row>
    <row r="271" spans="1:84" s="45" customFormat="1" x14ac:dyDescent="0.25">
      <c r="A271" t="str">
        <f>Funktional!A270</f>
        <v>Roggwil</v>
      </c>
      <c r="B271" t="str">
        <f>Funktional!B270</f>
        <v>KiGa*</v>
      </c>
      <c r="C271" s="365">
        <v>178794.55</v>
      </c>
      <c r="D271" s="365">
        <v>815314.4</v>
      </c>
      <c r="E271" s="365">
        <v>87619.55</v>
      </c>
      <c r="F271" s="119">
        <f t="shared" si="96"/>
        <v>902933.95000000007</v>
      </c>
      <c r="G271" s="43"/>
      <c r="H271" s="119">
        <f t="shared" si="97"/>
        <v>1081728.5</v>
      </c>
      <c r="I271" s="377"/>
      <c r="J271" s="124">
        <f t="shared" si="99"/>
        <v>0.16528597517769014</v>
      </c>
      <c r="K271" s="42">
        <f t="shared" si="98"/>
        <v>0.83471402482230994</v>
      </c>
      <c r="L271" s="372">
        <f t="shared" si="101"/>
        <v>0.16528597517769014</v>
      </c>
      <c r="M271" s="42"/>
      <c r="N271" s="43"/>
      <c r="O271" s="44"/>
      <c r="P271" s="80"/>
      <c r="Q271" s="43"/>
      <c r="R271" s="43"/>
      <c r="S271" s="43"/>
      <c r="T271" s="43"/>
      <c r="U271" s="43"/>
      <c r="V271" s="43"/>
      <c r="W271" s="43"/>
      <c r="X271" s="43"/>
      <c r="Y271" s="110"/>
      <c r="Z271" s="110"/>
      <c r="AA271" s="110"/>
      <c r="AB271" s="110"/>
      <c r="AC271" s="110"/>
      <c r="AD271" s="110"/>
      <c r="AE271" s="110"/>
      <c r="AF271" s="110"/>
      <c r="AG271" s="110"/>
      <c r="AH271" s="110"/>
      <c r="AI271" s="110"/>
      <c r="AJ271" s="110"/>
      <c r="AK271" s="110"/>
      <c r="AL271" s="110"/>
      <c r="AM271" s="110"/>
      <c r="AN271" s="110"/>
      <c r="AO271" s="110"/>
      <c r="AP271" s="110"/>
      <c r="AQ271" s="110"/>
      <c r="AR271" s="110"/>
      <c r="AS271" s="110"/>
      <c r="AT271" s="110"/>
      <c r="AU271" s="110"/>
      <c r="AV271" s="110"/>
      <c r="AW271" s="110"/>
      <c r="AX271" s="110"/>
      <c r="AY271" s="110"/>
      <c r="AZ271" s="110"/>
      <c r="BA271" s="110"/>
      <c r="BB271" s="110"/>
      <c r="BC271" s="110"/>
      <c r="BD271" s="110"/>
      <c r="BE271" s="110"/>
      <c r="BF271" s="110"/>
      <c r="BG271" s="110"/>
      <c r="BH271" s="110"/>
      <c r="BI271" s="110"/>
      <c r="BJ271" s="110"/>
      <c r="BK271" s="110"/>
      <c r="BL271" s="110"/>
      <c r="BM271" s="110"/>
      <c r="BN271" s="110"/>
      <c r="BO271" s="110"/>
      <c r="BP271" s="110"/>
      <c r="BQ271" s="110"/>
      <c r="BR271" s="110"/>
      <c r="BS271" s="110"/>
      <c r="BT271" s="110"/>
      <c r="BU271" s="110"/>
      <c r="BV271" s="110"/>
      <c r="BW271" s="110"/>
      <c r="BX271" s="110"/>
      <c r="BY271" s="110"/>
      <c r="BZ271" s="110"/>
      <c r="CA271" s="110"/>
      <c r="CB271" s="110"/>
      <c r="CC271" s="110"/>
      <c r="CD271" s="110"/>
      <c r="CE271" s="110"/>
      <c r="CF271" s="110"/>
    </row>
    <row r="272" spans="1:84" s="45" customFormat="1" x14ac:dyDescent="0.25">
      <c r="A272" t="str">
        <f>Funktional!A271</f>
        <v>Speiserslehn</v>
      </c>
      <c r="B272" t="str">
        <f>Funktional!B271</f>
        <v>KiGa*</v>
      </c>
      <c r="C272" s="365">
        <v>74085.600000000006</v>
      </c>
      <c r="D272" s="365">
        <v>269825.7</v>
      </c>
      <c r="E272" s="365">
        <v>0</v>
      </c>
      <c r="F272" s="119">
        <f t="shared" si="96"/>
        <v>269825.7</v>
      </c>
      <c r="G272" s="43"/>
      <c r="H272" s="119">
        <f t="shared" si="97"/>
        <v>343911.30000000005</v>
      </c>
      <c r="I272" s="377"/>
      <c r="J272" s="124">
        <f t="shared" si="99"/>
        <v>0.21542066224634082</v>
      </c>
      <c r="K272" s="42">
        <f t="shared" si="98"/>
        <v>0.78457933775365907</v>
      </c>
      <c r="L272" s="372">
        <f t="shared" si="101"/>
        <v>0.21542066224634082</v>
      </c>
      <c r="M272" s="42"/>
      <c r="N272" s="43"/>
      <c r="O272" s="44"/>
      <c r="P272" s="80"/>
      <c r="Q272" s="43"/>
      <c r="R272" s="43"/>
      <c r="S272" s="43"/>
      <c r="T272" s="43"/>
      <c r="U272" s="43"/>
      <c r="V272" s="43"/>
      <c r="W272" s="43"/>
      <c r="X272" s="43"/>
      <c r="Y272" s="110"/>
      <c r="Z272" s="110"/>
      <c r="AA272" s="110"/>
      <c r="AB272" s="110"/>
      <c r="AC272" s="110"/>
      <c r="AD272" s="110"/>
      <c r="AE272" s="110"/>
      <c r="AF272" s="110"/>
      <c r="AG272" s="110"/>
      <c r="AH272" s="110"/>
      <c r="AI272" s="110"/>
      <c r="AJ272" s="110"/>
      <c r="AK272" s="110"/>
      <c r="AL272" s="110"/>
      <c r="AM272" s="110"/>
      <c r="AN272" s="110"/>
      <c r="AO272" s="110"/>
      <c r="AP272" s="110"/>
      <c r="AQ272" s="110"/>
      <c r="AR272" s="110"/>
      <c r="AS272" s="110"/>
      <c r="AT272" s="110"/>
      <c r="AU272" s="110"/>
      <c r="AV272" s="110"/>
      <c r="AW272" s="110"/>
      <c r="AX272" s="110"/>
      <c r="AY272" s="110"/>
      <c r="AZ272" s="110"/>
      <c r="BA272" s="110"/>
      <c r="BB272" s="110"/>
      <c r="BC272" s="110"/>
      <c r="BD272" s="110"/>
      <c r="BE272" s="110"/>
      <c r="BF272" s="110"/>
      <c r="BG272" s="110"/>
      <c r="BH272" s="110"/>
      <c r="BI272" s="110"/>
      <c r="BJ272" s="110"/>
      <c r="BK272" s="110"/>
      <c r="BL272" s="110"/>
      <c r="BM272" s="110"/>
      <c r="BN272" s="110"/>
      <c r="BO272" s="110"/>
      <c r="BP272" s="110"/>
      <c r="BQ272" s="110"/>
      <c r="BR272" s="110"/>
      <c r="BS272" s="110"/>
      <c r="BT272" s="110"/>
      <c r="BU272" s="110"/>
      <c r="BV272" s="110"/>
      <c r="BW272" s="110"/>
      <c r="BX272" s="110"/>
      <c r="BY272" s="110"/>
      <c r="BZ272" s="110"/>
      <c r="CA272" s="110"/>
      <c r="CB272" s="110"/>
      <c r="CC272" s="110"/>
      <c r="CD272" s="110"/>
      <c r="CE272" s="110"/>
      <c r="CF272" s="110"/>
    </row>
    <row r="273" spans="1:84" s="45" customFormat="1" x14ac:dyDescent="0.25">
      <c r="A273" t="str">
        <f>Funktional!A272</f>
        <v>Aadorf</v>
      </c>
      <c r="B273" t="str">
        <f>Funktional!B272</f>
        <v>OSG</v>
      </c>
      <c r="C273" s="367"/>
      <c r="D273" s="367"/>
      <c r="E273" s="367"/>
      <c r="F273" s="119">
        <f t="shared" ref="F273:F279" si="102">D273+E273</f>
        <v>0</v>
      </c>
      <c r="G273" s="43"/>
      <c r="H273" s="119">
        <f t="shared" ref="H273:H279" si="103">C273+F273</f>
        <v>0</v>
      </c>
      <c r="I273" s="377"/>
      <c r="J273" s="124" t="e">
        <f t="shared" ref="J273:J279" si="104">C273/H273</f>
        <v>#DIV/0!</v>
      </c>
      <c r="K273" s="42" t="e">
        <f t="shared" ref="K273:K279" si="105">F273/H273</f>
        <v>#DIV/0!</v>
      </c>
      <c r="L273" s="372">
        <v>1</v>
      </c>
      <c r="M273" s="42"/>
      <c r="N273" s="43"/>
      <c r="O273" s="44"/>
      <c r="P273" s="80"/>
      <c r="Q273" s="43"/>
      <c r="R273" s="43"/>
      <c r="S273" s="43"/>
      <c r="T273" s="43"/>
      <c r="U273" s="43"/>
      <c r="V273" s="43"/>
      <c r="W273" s="43"/>
      <c r="X273" s="43"/>
      <c r="Y273" s="110"/>
      <c r="Z273" s="110"/>
      <c r="AA273" s="110"/>
      <c r="AB273" s="110"/>
      <c r="AC273" s="110"/>
      <c r="AD273" s="110"/>
      <c r="AE273" s="110"/>
      <c r="AF273" s="110"/>
      <c r="AG273" s="110"/>
      <c r="AH273" s="110"/>
      <c r="AI273" s="110"/>
      <c r="AJ273" s="110"/>
      <c r="AK273" s="110"/>
      <c r="AL273" s="110"/>
      <c r="AM273" s="110"/>
      <c r="AN273" s="110"/>
      <c r="AO273" s="110"/>
      <c r="AP273" s="110"/>
      <c r="AQ273" s="110"/>
      <c r="AR273" s="110"/>
      <c r="AS273" s="110"/>
      <c r="AT273" s="110"/>
      <c r="AU273" s="110"/>
      <c r="AV273" s="110"/>
      <c r="AW273" s="110"/>
      <c r="AX273" s="110"/>
      <c r="AY273" s="110"/>
      <c r="AZ273" s="110"/>
      <c r="BA273" s="110"/>
      <c r="BB273" s="110"/>
      <c r="BC273" s="110"/>
      <c r="BD273" s="110"/>
      <c r="BE273" s="110"/>
      <c r="BF273" s="110"/>
      <c r="BG273" s="110"/>
      <c r="BH273" s="110"/>
      <c r="BI273" s="110"/>
      <c r="BJ273" s="110"/>
      <c r="BK273" s="110"/>
      <c r="BL273" s="110"/>
      <c r="BM273" s="110"/>
      <c r="BN273" s="110"/>
      <c r="BO273" s="110"/>
      <c r="BP273" s="110"/>
      <c r="BQ273" s="110"/>
      <c r="BR273" s="110"/>
      <c r="BS273" s="110"/>
      <c r="BT273" s="110"/>
      <c r="BU273" s="110"/>
      <c r="BV273" s="110"/>
      <c r="BW273" s="110"/>
      <c r="BX273" s="110"/>
      <c r="BY273" s="110"/>
      <c r="BZ273" s="110"/>
      <c r="CA273" s="110"/>
      <c r="CB273" s="110"/>
      <c r="CC273" s="110"/>
      <c r="CD273" s="110"/>
      <c r="CE273" s="110"/>
      <c r="CF273" s="110"/>
    </row>
    <row r="274" spans="1:84" s="45" customFormat="1" x14ac:dyDescent="0.25">
      <c r="A274" t="str">
        <f>Funktional!A273</f>
        <v>Affeltrangen</v>
      </c>
      <c r="B274" t="str">
        <f>Funktional!B273</f>
        <v>OSG</v>
      </c>
      <c r="C274" s="367"/>
      <c r="D274" s="367"/>
      <c r="E274" s="367"/>
      <c r="F274" s="119">
        <f t="shared" si="102"/>
        <v>0</v>
      </c>
      <c r="G274" s="43"/>
      <c r="H274" s="119">
        <f t="shared" si="103"/>
        <v>0</v>
      </c>
      <c r="I274" s="377"/>
      <c r="J274" s="124" t="e">
        <f t="shared" si="104"/>
        <v>#DIV/0!</v>
      </c>
      <c r="K274" s="42" t="e">
        <f t="shared" si="105"/>
        <v>#DIV/0!</v>
      </c>
      <c r="L274" s="372">
        <v>1</v>
      </c>
      <c r="M274" s="42"/>
      <c r="N274" s="43"/>
      <c r="O274" s="44"/>
      <c r="P274" s="80"/>
      <c r="Q274" s="43"/>
      <c r="R274" s="43"/>
      <c r="S274" s="43"/>
      <c r="T274" s="43"/>
      <c r="U274" s="43"/>
      <c r="V274" s="43"/>
      <c r="W274" s="43"/>
      <c r="X274" s="43"/>
      <c r="Y274" s="110"/>
      <c r="Z274" s="110"/>
      <c r="AA274" s="110"/>
      <c r="AB274" s="110"/>
      <c r="AC274" s="110"/>
      <c r="AD274" s="110"/>
      <c r="AE274" s="110"/>
      <c r="AF274" s="110"/>
      <c r="AG274" s="110"/>
      <c r="AH274" s="110"/>
      <c r="AI274" s="110"/>
      <c r="AJ274" s="110"/>
      <c r="AK274" s="110"/>
      <c r="AL274" s="110"/>
      <c r="AM274" s="110"/>
      <c r="AN274" s="110"/>
      <c r="AO274" s="110"/>
      <c r="AP274" s="110"/>
      <c r="AQ274" s="110"/>
      <c r="AR274" s="110"/>
      <c r="AS274" s="110"/>
      <c r="AT274" s="110"/>
      <c r="AU274" s="110"/>
      <c r="AV274" s="110"/>
      <c r="AW274" s="110"/>
      <c r="AX274" s="110"/>
      <c r="AY274" s="110"/>
      <c r="AZ274" s="110"/>
      <c r="BA274" s="110"/>
      <c r="BB274" s="110"/>
      <c r="BC274" s="110"/>
      <c r="BD274" s="110"/>
      <c r="BE274" s="110"/>
      <c r="BF274" s="110"/>
      <c r="BG274" s="110"/>
      <c r="BH274" s="110"/>
      <c r="BI274" s="110"/>
      <c r="BJ274" s="110"/>
      <c r="BK274" s="110"/>
      <c r="BL274" s="110"/>
      <c r="BM274" s="110"/>
      <c r="BN274" s="110"/>
      <c r="BO274" s="110"/>
      <c r="BP274" s="110"/>
      <c r="BQ274" s="110"/>
      <c r="BR274" s="110"/>
      <c r="BS274" s="110"/>
      <c r="BT274" s="110"/>
      <c r="BU274" s="110"/>
      <c r="BV274" s="110"/>
      <c r="BW274" s="110"/>
      <c r="BX274" s="110"/>
      <c r="BY274" s="110"/>
      <c r="BZ274" s="110"/>
      <c r="CA274" s="110"/>
      <c r="CB274" s="110"/>
      <c r="CC274" s="110"/>
      <c r="CD274" s="110"/>
      <c r="CE274" s="110"/>
      <c r="CF274" s="110"/>
    </row>
    <row r="275" spans="1:84" s="45" customFormat="1" x14ac:dyDescent="0.25">
      <c r="A275" t="str">
        <f>Funktional!A274</f>
        <v>Alterswilen</v>
      </c>
      <c r="B275" t="str">
        <f>Funktional!B274</f>
        <v>OSG</v>
      </c>
      <c r="C275" s="367"/>
      <c r="D275" s="367"/>
      <c r="E275" s="367"/>
      <c r="F275" s="119">
        <f t="shared" si="102"/>
        <v>0</v>
      </c>
      <c r="G275" s="43"/>
      <c r="H275" s="119">
        <f t="shared" si="103"/>
        <v>0</v>
      </c>
      <c r="I275" s="377"/>
      <c r="J275" s="124" t="e">
        <f t="shared" si="104"/>
        <v>#DIV/0!</v>
      </c>
      <c r="K275" s="42" t="e">
        <f t="shared" si="105"/>
        <v>#DIV/0!</v>
      </c>
      <c r="L275" s="372">
        <v>1</v>
      </c>
      <c r="M275" s="42"/>
      <c r="N275" s="43"/>
      <c r="O275" s="44"/>
      <c r="P275" s="80"/>
      <c r="Q275" s="43"/>
      <c r="R275" s="43"/>
      <c r="S275" s="43"/>
      <c r="T275" s="43"/>
      <c r="U275" s="43"/>
      <c r="V275" s="43"/>
      <c r="W275" s="43"/>
      <c r="X275" s="43"/>
      <c r="Y275" s="110"/>
      <c r="Z275" s="110"/>
      <c r="AA275" s="110"/>
      <c r="AB275" s="110"/>
      <c r="AC275" s="110"/>
      <c r="AD275" s="110"/>
      <c r="AE275" s="110"/>
      <c r="AF275" s="110"/>
      <c r="AG275" s="110"/>
      <c r="AH275" s="110"/>
      <c r="AI275" s="110"/>
      <c r="AJ275" s="110"/>
      <c r="AK275" s="110"/>
      <c r="AL275" s="110"/>
      <c r="AM275" s="110"/>
      <c r="AN275" s="110"/>
      <c r="AO275" s="110"/>
      <c r="AP275" s="110"/>
      <c r="AQ275" s="110"/>
      <c r="AR275" s="110"/>
      <c r="AS275" s="110"/>
      <c r="AT275" s="110"/>
      <c r="AU275" s="110"/>
      <c r="AV275" s="110"/>
      <c r="AW275" s="110"/>
      <c r="AX275" s="110"/>
      <c r="AY275" s="110"/>
      <c r="AZ275" s="110"/>
      <c r="BA275" s="110"/>
      <c r="BB275" s="110"/>
      <c r="BC275" s="110"/>
      <c r="BD275" s="110"/>
      <c r="BE275" s="110"/>
      <c r="BF275" s="110"/>
      <c r="BG275" s="110"/>
      <c r="BH275" s="110"/>
      <c r="BI275" s="110"/>
      <c r="BJ275" s="110"/>
      <c r="BK275" s="110"/>
      <c r="BL275" s="110"/>
      <c r="BM275" s="110"/>
      <c r="BN275" s="110"/>
      <c r="BO275" s="110"/>
      <c r="BP275" s="110"/>
      <c r="BQ275" s="110"/>
      <c r="BR275" s="110"/>
      <c r="BS275" s="110"/>
      <c r="BT275" s="110"/>
      <c r="BU275" s="110"/>
      <c r="BV275" s="110"/>
      <c r="BW275" s="110"/>
      <c r="BX275" s="110"/>
      <c r="BY275" s="110"/>
      <c r="BZ275" s="110"/>
      <c r="CA275" s="110"/>
      <c r="CB275" s="110"/>
      <c r="CC275" s="110"/>
      <c r="CD275" s="110"/>
      <c r="CE275" s="110"/>
      <c r="CF275" s="110"/>
    </row>
    <row r="276" spans="1:84" s="45" customFormat="1" x14ac:dyDescent="0.25">
      <c r="A276" t="str">
        <f>Funktional!A275</f>
        <v>Altnau</v>
      </c>
      <c r="B276" t="str">
        <f>Funktional!B275</f>
        <v>OSG</v>
      </c>
      <c r="C276" s="367"/>
      <c r="D276" s="367"/>
      <c r="E276" s="367"/>
      <c r="F276" s="119">
        <f t="shared" si="102"/>
        <v>0</v>
      </c>
      <c r="G276" s="43"/>
      <c r="H276" s="119">
        <f t="shared" si="103"/>
        <v>0</v>
      </c>
      <c r="I276" s="377"/>
      <c r="J276" s="124" t="e">
        <f t="shared" si="104"/>
        <v>#DIV/0!</v>
      </c>
      <c r="K276" s="42" t="e">
        <f t="shared" si="105"/>
        <v>#DIV/0!</v>
      </c>
      <c r="L276" s="372">
        <v>1</v>
      </c>
      <c r="M276" s="42"/>
      <c r="N276" s="43"/>
      <c r="O276" s="44"/>
      <c r="P276" s="80"/>
      <c r="Q276" s="43"/>
      <c r="R276" s="43"/>
      <c r="S276" s="43"/>
      <c r="T276" s="43"/>
      <c r="U276" s="43"/>
      <c r="V276" s="43"/>
      <c r="W276" s="43"/>
      <c r="X276" s="43"/>
      <c r="Y276" s="110"/>
      <c r="Z276" s="110"/>
      <c r="AA276" s="110"/>
      <c r="AB276" s="110"/>
      <c r="AC276" s="110"/>
      <c r="AD276" s="110"/>
      <c r="AE276" s="110"/>
      <c r="AF276" s="110"/>
      <c r="AG276" s="110"/>
      <c r="AH276" s="110"/>
      <c r="AI276" s="110"/>
      <c r="AJ276" s="110"/>
      <c r="AK276" s="110"/>
      <c r="AL276" s="110"/>
      <c r="AM276" s="110"/>
      <c r="AN276" s="110"/>
      <c r="AO276" s="110"/>
      <c r="AP276" s="110"/>
      <c r="AQ276" s="110"/>
      <c r="AR276" s="110"/>
      <c r="AS276" s="110"/>
      <c r="AT276" s="110"/>
      <c r="AU276" s="110"/>
      <c r="AV276" s="110"/>
      <c r="AW276" s="110"/>
      <c r="AX276" s="110"/>
      <c r="AY276" s="110"/>
      <c r="AZ276" s="110"/>
      <c r="BA276" s="110"/>
      <c r="BB276" s="110"/>
      <c r="BC276" s="110"/>
      <c r="BD276" s="110"/>
      <c r="BE276" s="110"/>
      <c r="BF276" s="110"/>
      <c r="BG276" s="110"/>
      <c r="BH276" s="110"/>
      <c r="BI276" s="110"/>
      <c r="BJ276" s="110"/>
      <c r="BK276" s="110"/>
      <c r="BL276" s="110"/>
      <c r="BM276" s="110"/>
      <c r="BN276" s="110"/>
      <c r="BO276" s="110"/>
      <c r="BP276" s="110"/>
      <c r="BQ276" s="110"/>
      <c r="BR276" s="110"/>
      <c r="BS276" s="110"/>
      <c r="BT276" s="110"/>
      <c r="BU276" s="110"/>
      <c r="BV276" s="110"/>
      <c r="BW276" s="110"/>
      <c r="BX276" s="110"/>
      <c r="BY276" s="110"/>
      <c r="BZ276" s="110"/>
      <c r="CA276" s="110"/>
      <c r="CB276" s="110"/>
      <c r="CC276" s="110"/>
      <c r="CD276" s="110"/>
      <c r="CE276" s="110"/>
      <c r="CF276" s="110"/>
    </row>
    <row r="277" spans="1:84" s="45" customFormat="1" x14ac:dyDescent="0.25">
      <c r="A277" t="str">
        <f>Funktional!A276</f>
        <v>Amriswil</v>
      </c>
      <c r="B277" t="str">
        <f>Funktional!B276</f>
        <v>OSG</v>
      </c>
      <c r="C277" s="367"/>
      <c r="D277" s="367"/>
      <c r="E277" s="367"/>
      <c r="F277" s="119">
        <f t="shared" si="102"/>
        <v>0</v>
      </c>
      <c r="G277" s="43"/>
      <c r="H277" s="119">
        <f t="shared" si="103"/>
        <v>0</v>
      </c>
      <c r="I277" s="377"/>
      <c r="J277" s="124" t="e">
        <f t="shared" si="104"/>
        <v>#DIV/0!</v>
      </c>
      <c r="K277" s="42" t="e">
        <f t="shared" si="105"/>
        <v>#DIV/0!</v>
      </c>
      <c r="L277" s="372">
        <v>1</v>
      </c>
      <c r="M277" s="42"/>
      <c r="N277" s="43"/>
      <c r="O277" s="44"/>
      <c r="P277" s="80"/>
      <c r="Q277" s="43"/>
      <c r="R277" s="43"/>
      <c r="S277" s="43"/>
      <c r="T277" s="43"/>
      <c r="U277" s="43"/>
      <c r="V277" s="43"/>
      <c r="W277" s="43"/>
      <c r="X277" s="43"/>
      <c r="Y277" s="110"/>
      <c r="Z277" s="110"/>
      <c r="AA277" s="110"/>
      <c r="AB277" s="110"/>
      <c r="AC277" s="110"/>
      <c r="AD277" s="110"/>
      <c r="AE277" s="110"/>
      <c r="AF277" s="110"/>
      <c r="AG277" s="110"/>
      <c r="AH277" s="110"/>
      <c r="AI277" s="110"/>
      <c r="AJ277" s="110"/>
      <c r="AK277" s="110"/>
      <c r="AL277" s="110"/>
      <c r="AM277" s="110"/>
      <c r="AN277" s="110"/>
      <c r="AO277" s="110"/>
      <c r="AP277" s="110"/>
      <c r="AQ277" s="110"/>
      <c r="AR277" s="110"/>
      <c r="AS277" s="110"/>
      <c r="AT277" s="110"/>
      <c r="AU277" s="110"/>
      <c r="AV277" s="110"/>
      <c r="AW277" s="110"/>
      <c r="AX277" s="110"/>
      <c r="AY277" s="110"/>
      <c r="AZ277" s="110"/>
      <c r="BA277" s="110"/>
      <c r="BB277" s="110"/>
      <c r="BC277" s="110"/>
      <c r="BD277" s="110"/>
      <c r="BE277" s="110"/>
      <c r="BF277" s="110"/>
      <c r="BG277" s="110"/>
      <c r="BH277" s="110"/>
      <c r="BI277" s="110"/>
      <c r="BJ277" s="110"/>
      <c r="BK277" s="110"/>
      <c r="BL277" s="110"/>
      <c r="BM277" s="110"/>
      <c r="BN277" s="110"/>
      <c r="BO277" s="110"/>
      <c r="BP277" s="110"/>
      <c r="BQ277" s="110"/>
      <c r="BR277" s="110"/>
      <c r="BS277" s="110"/>
      <c r="BT277" s="110"/>
      <c r="BU277" s="110"/>
      <c r="BV277" s="110"/>
      <c r="BW277" s="110"/>
      <c r="BX277" s="110"/>
      <c r="BY277" s="110"/>
      <c r="BZ277" s="110"/>
      <c r="CA277" s="110"/>
      <c r="CB277" s="110"/>
      <c r="CC277" s="110"/>
      <c r="CD277" s="110"/>
      <c r="CE277" s="110"/>
      <c r="CF277" s="110"/>
    </row>
    <row r="278" spans="1:84" s="45" customFormat="1" x14ac:dyDescent="0.25">
      <c r="A278" t="str">
        <f>Funktional!A277</f>
        <v>Balterswil-Bichelsee</v>
      </c>
      <c r="B278" t="str">
        <f>Funktional!B277</f>
        <v>OSG</v>
      </c>
      <c r="C278" s="367"/>
      <c r="D278" s="367"/>
      <c r="E278" s="367"/>
      <c r="F278" s="119">
        <f t="shared" si="102"/>
        <v>0</v>
      </c>
      <c r="G278" s="43"/>
      <c r="H278" s="119">
        <f t="shared" si="103"/>
        <v>0</v>
      </c>
      <c r="I278" s="377"/>
      <c r="J278" s="124" t="e">
        <f t="shared" si="104"/>
        <v>#DIV/0!</v>
      </c>
      <c r="K278" s="42" t="e">
        <f t="shared" si="105"/>
        <v>#DIV/0!</v>
      </c>
      <c r="L278" s="372">
        <v>1</v>
      </c>
      <c r="M278" s="42"/>
      <c r="N278" s="43"/>
      <c r="O278" s="44"/>
      <c r="P278" s="80"/>
      <c r="Q278" s="43"/>
      <c r="R278" s="43"/>
      <c r="S278" s="43"/>
      <c r="T278" s="43"/>
      <c r="U278" s="43"/>
      <c r="V278" s="43"/>
      <c r="W278" s="43"/>
      <c r="X278" s="43"/>
      <c r="Y278" s="110"/>
      <c r="Z278" s="110"/>
      <c r="AA278" s="110"/>
      <c r="AB278" s="110"/>
      <c r="AC278" s="110"/>
      <c r="AD278" s="110"/>
      <c r="AE278" s="110"/>
      <c r="AF278" s="110"/>
      <c r="AG278" s="110"/>
      <c r="AH278" s="110"/>
      <c r="AI278" s="110"/>
      <c r="AJ278" s="110"/>
      <c r="AK278" s="110"/>
      <c r="AL278" s="110"/>
      <c r="AM278" s="110"/>
      <c r="AN278" s="110"/>
      <c r="AO278" s="110"/>
      <c r="AP278" s="110"/>
      <c r="AQ278" s="110"/>
      <c r="AR278" s="110"/>
      <c r="AS278" s="110"/>
      <c r="AT278" s="110"/>
      <c r="AU278" s="110"/>
      <c r="AV278" s="110"/>
      <c r="AW278" s="110"/>
      <c r="AX278" s="110"/>
      <c r="AY278" s="110"/>
      <c r="AZ278" s="110"/>
      <c r="BA278" s="110"/>
      <c r="BB278" s="110"/>
      <c r="BC278" s="110"/>
      <c r="BD278" s="110"/>
      <c r="BE278" s="110"/>
      <c r="BF278" s="110"/>
      <c r="BG278" s="110"/>
      <c r="BH278" s="110"/>
      <c r="BI278" s="110"/>
      <c r="BJ278" s="110"/>
      <c r="BK278" s="110"/>
      <c r="BL278" s="110"/>
      <c r="BM278" s="110"/>
      <c r="BN278" s="110"/>
      <c r="BO278" s="110"/>
      <c r="BP278" s="110"/>
      <c r="BQ278" s="110"/>
      <c r="BR278" s="110"/>
      <c r="BS278" s="110"/>
      <c r="BT278" s="110"/>
      <c r="BU278" s="110"/>
      <c r="BV278" s="110"/>
      <c r="BW278" s="110"/>
      <c r="BX278" s="110"/>
      <c r="BY278" s="110"/>
      <c r="BZ278" s="110"/>
      <c r="CA278" s="110"/>
      <c r="CB278" s="110"/>
      <c r="CC278" s="110"/>
      <c r="CD278" s="110"/>
      <c r="CE278" s="110"/>
      <c r="CF278" s="110"/>
    </row>
    <row r="279" spans="1:84" s="45" customFormat="1" x14ac:dyDescent="0.25">
      <c r="A279" t="str">
        <f>Funktional!A278</f>
        <v>Berg</v>
      </c>
      <c r="B279" t="str">
        <f>Funktional!B278</f>
        <v>OSG</v>
      </c>
      <c r="C279" s="367"/>
      <c r="D279" s="367"/>
      <c r="E279" s="367"/>
      <c r="F279" s="119">
        <f t="shared" si="102"/>
        <v>0</v>
      </c>
      <c r="G279" s="43"/>
      <c r="H279" s="119">
        <f t="shared" si="103"/>
        <v>0</v>
      </c>
      <c r="I279" s="377"/>
      <c r="J279" s="124" t="e">
        <f t="shared" si="104"/>
        <v>#DIV/0!</v>
      </c>
      <c r="K279" s="42" t="e">
        <f t="shared" si="105"/>
        <v>#DIV/0!</v>
      </c>
      <c r="L279" s="372">
        <v>1</v>
      </c>
      <c r="M279" s="42"/>
      <c r="N279" s="43"/>
      <c r="O279" s="44"/>
      <c r="P279" s="80"/>
      <c r="Q279" s="43"/>
      <c r="R279" s="43"/>
      <c r="S279" s="43"/>
      <c r="T279" s="43"/>
      <c r="U279" s="43"/>
      <c r="V279" s="43"/>
      <c r="W279" s="43"/>
      <c r="X279" s="43"/>
      <c r="Y279" s="110"/>
      <c r="Z279" s="110"/>
      <c r="AA279" s="110"/>
      <c r="AB279" s="110"/>
      <c r="AC279" s="110"/>
      <c r="AD279" s="110"/>
      <c r="AE279" s="110"/>
      <c r="AF279" s="110"/>
      <c r="AG279" s="110"/>
      <c r="AH279" s="110"/>
      <c r="AI279" s="110"/>
      <c r="AJ279" s="110"/>
      <c r="AK279" s="110"/>
      <c r="AL279" s="110"/>
      <c r="AM279" s="110"/>
      <c r="AN279" s="110"/>
      <c r="AO279" s="110"/>
      <c r="AP279" s="110"/>
      <c r="AQ279" s="110"/>
      <c r="AR279" s="110"/>
      <c r="AS279" s="110"/>
      <c r="AT279" s="110"/>
      <c r="AU279" s="110"/>
      <c r="AV279" s="110"/>
      <c r="AW279" s="110"/>
      <c r="AX279" s="110"/>
      <c r="AY279" s="110"/>
      <c r="AZ279" s="110"/>
      <c r="BA279" s="110"/>
      <c r="BB279" s="110"/>
      <c r="BC279" s="110"/>
      <c r="BD279" s="110"/>
      <c r="BE279" s="110"/>
      <c r="BF279" s="110"/>
      <c r="BG279" s="110"/>
      <c r="BH279" s="110"/>
      <c r="BI279" s="110"/>
      <c r="BJ279" s="110"/>
      <c r="BK279" s="110"/>
      <c r="BL279" s="110"/>
      <c r="BM279" s="110"/>
      <c r="BN279" s="110"/>
      <c r="BO279" s="110"/>
      <c r="BP279" s="110"/>
      <c r="BQ279" s="110"/>
      <c r="BR279" s="110"/>
      <c r="BS279" s="110"/>
      <c r="BT279" s="110"/>
      <c r="BU279" s="110"/>
      <c r="BV279" s="110"/>
      <c r="BW279" s="110"/>
      <c r="BX279" s="110"/>
      <c r="BY279" s="110"/>
      <c r="BZ279" s="110"/>
      <c r="CA279" s="110"/>
      <c r="CB279" s="110"/>
      <c r="CC279" s="110"/>
      <c r="CD279" s="110"/>
      <c r="CE279" s="110"/>
      <c r="CF279" s="110"/>
    </row>
    <row r="280" spans="1:84" s="45" customFormat="1" x14ac:dyDescent="0.25">
      <c r="A280" t="str">
        <f>Funktional!A279</f>
        <v>Bischofszell</v>
      </c>
      <c r="B280" t="str">
        <f>Funktional!B279</f>
        <v>OSG</v>
      </c>
      <c r="C280" s="367"/>
      <c r="D280" s="367"/>
      <c r="E280" s="367"/>
      <c r="F280" s="119">
        <f t="shared" ref="F280:F295" si="106">D280+E280</f>
        <v>0</v>
      </c>
      <c r="G280" s="43"/>
      <c r="H280" s="119">
        <f t="shared" ref="H280:H295" si="107">C280+F280</f>
        <v>0</v>
      </c>
      <c r="I280" s="377"/>
      <c r="J280" s="124" t="e">
        <f t="shared" ref="J280:J295" si="108">C280/H280</f>
        <v>#DIV/0!</v>
      </c>
      <c r="K280" s="42" t="e">
        <f t="shared" ref="K280:K295" si="109">F280/H280</f>
        <v>#DIV/0!</v>
      </c>
      <c r="L280" s="372">
        <v>1</v>
      </c>
      <c r="M280" s="42"/>
      <c r="N280" s="43"/>
      <c r="O280" s="44"/>
      <c r="P280" s="80"/>
      <c r="Q280" s="43"/>
      <c r="R280" s="43"/>
      <c r="S280" s="43"/>
      <c r="T280" s="43"/>
      <c r="U280" s="43"/>
      <c r="V280" s="43"/>
      <c r="W280" s="43"/>
      <c r="X280" s="43"/>
      <c r="Y280" s="110"/>
      <c r="Z280" s="110"/>
      <c r="AA280" s="110"/>
      <c r="AB280" s="110"/>
      <c r="AC280" s="110"/>
      <c r="AD280" s="110"/>
      <c r="AE280" s="110"/>
      <c r="AF280" s="110"/>
      <c r="AG280" s="110"/>
      <c r="AH280" s="110"/>
      <c r="AI280" s="110"/>
      <c r="AJ280" s="110"/>
      <c r="AK280" s="110"/>
      <c r="AL280" s="110"/>
      <c r="AM280" s="110"/>
      <c r="AN280" s="110"/>
      <c r="AO280" s="110"/>
      <c r="AP280" s="110"/>
      <c r="AQ280" s="110"/>
      <c r="AR280" s="110"/>
      <c r="AS280" s="110"/>
      <c r="AT280" s="110"/>
      <c r="AU280" s="110"/>
      <c r="AV280" s="110"/>
      <c r="AW280" s="110"/>
      <c r="AX280" s="110"/>
      <c r="AY280" s="110"/>
      <c r="AZ280" s="110"/>
      <c r="BA280" s="110"/>
      <c r="BB280" s="110"/>
      <c r="BC280" s="110"/>
      <c r="BD280" s="110"/>
      <c r="BE280" s="110"/>
      <c r="BF280" s="110"/>
      <c r="BG280" s="110"/>
      <c r="BH280" s="110"/>
      <c r="BI280" s="110"/>
      <c r="BJ280" s="110"/>
      <c r="BK280" s="110"/>
      <c r="BL280" s="110"/>
      <c r="BM280" s="110"/>
      <c r="BN280" s="110"/>
      <c r="BO280" s="110"/>
      <c r="BP280" s="110"/>
      <c r="BQ280" s="110"/>
      <c r="BR280" s="110"/>
      <c r="BS280" s="110"/>
      <c r="BT280" s="110"/>
      <c r="BU280" s="110"/>
      <c r="BV280" s="110"/>
      <c r="BW280" s="110"/>
      <c r="BX280" s="110"/>
      <c r="BY280" s="110"/>
      <c r="BZ280" s="110"/>
      <c r="CA280" s="110"/>
      <c r="CB280" s="110"/>
      <c r="CC280" s="110"/>
      <c r="CD280" s="110"/>
      <c r="CE280" s="110"/>
      <c r="CF280" s="110"/>
    </row>
    <row r="281" spans="1:84" s="45" customFormat="1" x14ac:dyDescent="0.25">
      <c r="A281" t="str">
        <f>Funktional!A280</f>
        <v>Bürglen</v>
      </c>
      <c r="B281" t="str">
        <f>Funktional!B280</f>
        <v>OSG</v>
      </c>
      <c r="C281" s="367"/>
      <c r="D281" s="367"/>
      <c r="E281" s="367"/>
      <c r="F281" s="119">
        <f t="shared" si="106"/>
        <v>0</v>
      </c>
      <c r="G281" s="43"/>
      <c r="H281" s="119">
        <f t="shared" si="107"/>
        <v>0</v>
      </c>
      <c r="I281" s="377"/>
      <c r="J281" s="124" t="e">
        <f t="shared" si="108"/>
        <v>#DIV/0!</v>
      </c>
      <c r="K281" s="42" t="e">
        <f t="shared" si="109"/>
        <v>#DIV/0!</v>
      </c>
      <c r="L281" s="372">
        <v>1</v>
      </c>
      <c r="M281" s="42"/>
      <c r="N281" s="43"/>
      <c r="O281" s="44"/>
      <c r="P281" s="80"/>
      <c r="Q281" s="43"/>
      <c r="R281" s="43"/>
      <c r="S281" s="43"/>
      <c r="T281" s="43"/>
      <c r="U281" s="43"/>
      <c r="V281" s="43"/>
      <c r="W281" s="43"/>
      <c r="X281" s="43"/>
      <c r="Y281" s="110"/>
      <c r="Z281" s="110"/>
      <c r="AA281" s="110"/>
      <c r="AB281" s="110"/>
      <c r="AC281" s="110"/>
      <c r="AD281" s="110"/>
      <c r="AE281" s="110"/>
      <c r="AF281" s="110"/>
      <c r="AG281" s="110"/>
      <c r="AH281" s="110"/>
      <c r="AI281" s="110"/>
      <c r="AJ281" s="110"/>
      <c r="AK281" s="110"/>
      <c r="AL281" s="110"/>
      <c r="AM281" s="110"/>
      <c r="AN281" s="110"/>
      <c r="AO281" s="110"/>
      <c r="AP281" s="110"/>
      <c r="AQ281" s="110"/>
      <c r="AR281" s="110"/>
      <c r="AS281" s="110"/>
      <c r="AT281" s="110"/>
      <c r="AU281" s="110"/>
      <c r="AV281" s="110"/>
      <c r="AW281" s="110"/>
      <c r="AX281" s="110"/>
      <c r="AY281" s="110"/>
      <c r="AZ281" s="110"/>
      <c r="BA281" s="110"/>
      <c r="BB281" s="110"/>
      <c r="BC281" s="110"/>
      <c r="BD281" s="110"/>
      <c r="BE281" s="110"/>
      <c r="BF281" s="110"/>
      <c r="BG281" s="110"/>
      <c r="BH281" s="110"/>
      <c r="BI281" s="110"/>
      <c r="BJ281" s="110"/>
      <c r="BK281" s="110"/>
      <c r="BL281" s="110"/>
      <c r="BM281" s="110"/>
      <c r="BN281" s="110"/>
      <c r="BO281" s="110"/>
      <c r="BP281" s="110"/>
      <c r="BQ281" s="110"/>
      <c r="BR281" s="110"/>
      <c r="BS281" s="110"/>
      <c r="BT281" s="110"/>
      <c r="BU281" s="110"/>
      <c r="BV281" s="110"/>
      <c r="BW281" s="110"/>
      <c r="BX281" s="110"/>
      <c r="BY281" s="110"/>
      <c r="BZ281" s="110"/>
      <c r="CA281" s="110"/>
      <c r="CB281" s="110"/>
      <c r="CC281" s="110"/>
      <c r="CD281" s="110"/>
      <c r="CE281" s="110"/>
      <c r="CF281" s="110"/>
    </row>
    <row r="282" spans="1:84" s="45" customFormat="1" x14ac:dyDescent="0.25">
      <c r="A282" t="str">
        <f>Funktional!A281</f>
        <v>Diessenhofen</v>
      </c>
      <c r="B282" t="str">
        <f>Funktional!B281</f>
        <v>OSG</v>
      </c>
      <c r="C282" s="367"/>
      <c r="D282" s="367"/>
      <c r="E282" s="367"/>
      <c r="F282" s="119">
        <f t="shared" si="106"/>
        <v>0</v>
      </c>
      <c r="G282" s="43"/>
      <c r="H282" s="119">
        <f t="shared" si="107"/>
        <v>0</v>
      </c>
      <c r="I282" s="377"/>
      <c r="J282" s="124" t="e">
        <f t="shared" si="108"/>
        <v>#DIV/0!</v>
      </c>
      <c r="K282" s="42" t="e">
        <f t="shared" si="109"/>
        <v>#DIV/0!</v>
      </c>
      <c r="L282" s="372">
        <v>1</v>
      </c>
      <c r="M282" s="42"/>
      <c r="N282" s="43"/>
      <c r="O282" s="44"/>
      <c r="P282" s="80"/>
      <c r="Q282" s="43"/>
      <c r="R282" s="43"/>
      <c r="S282" s="43"/>
      <c r="T282" s="43"/>
      <c r="U282" s="43"/>
      <c r="V282" s="43"/>
      <c r="W282" s="43"/>
      <c r="X282" s="43"/>
      <c r="Y282" s="110"/>
      <c r="Z282" s="110"/>
      <c r="AA282" s="110"/>
      <c r="AB282" s="110"/>
      <c r="AC282" s="110"/>
      <c r="AD282" s="110"/>
      <c r="AE282" s="110"/>
      <c r="AF282" s="110"/>
      <c r="AG282" s="110"/>
      <c r="AH282" s="110"/>
      <c r="AI282" s="110"/>
      <c r="AJ282" s="110"/>
      <c r="AK282" s="110"/>
      <c r="AL282" s="110"/>
      <c r="AM282" s="110"/>
      <c r="AN282" s="110"/>
      <c r="AO282" s="110"/>
      <c r="AP282" s="110"/>
      <c r="AQ282" s="110"/>
      <c r="AR282" s="110"/>
      <c r="AS282" s="110"/>
      <c r="AT282" s="110"/>
      <c r="AU282" s="110"/>
      <c r="AV282" s="110"/>
      <c r="AW282" s="110"/>
      <c r="AX282" s="110"/>
      <c r="AY282" s="110"/>
      <c r="AZ282" s="110"/>
      <c r="BA282" s="110"/>
      <c r="BB282" s="110"/>
      <c r="BC282" s="110"/>
      <c r="BD282" s="110"/>
      <c r="BE282" s="110"/>
      <c r="BF282" s="110"/>
      <c r="BG282" s="110"/>
      <c r="BH282" s="110"/>
      <c r="BI282" s="110"/>
      <c r="BJ282" s="110"/>
      <c r="BK282" s="110"/>
      <c r="BL282" s="110"/>
      <c r="BM282" s="110"/>
      <c r="BN282" s="110"/>
      <c r="BO282" s="110"/>
      <c r="BP282" s="110"/>
      <c r="BQ282" s="110"/>
      <c r="BR282" s="110"/>
      <c r="BS282" s="110"/>
      <c r="BT282" s="110"/>
      <c r="BU282" s="110"/>
      <c r="BV282" s="110"/>
      <c r="BW282" s="110"/>
      <c r="BX282" s="110"/>
      <c r="BY282" s="110"/>
      <c r="BZ282" s="110"/>
      <c r="CA282" s="110"/>
      <c r="CB282" s="110"/>
      <c r="CC282" s="110"/>
      <c r="CD282" s="110"/>
      <c r="CE282" s="110"/>
      <c r="CF282" s="110"/>
    </row>
    <row r="283" spans="1:84" s="45" customFormat="1" x14ac:dyDescent="0.25">
      <c r="A283" t="str">
        <f>Funktional!A282</f>
        <v>Dozwil-Kesswil-Uttwil</v>
      </c>
      <c r="B283" t="str">
        <f>Funktional!B282</f>
        <v>OSG</v>
      </c>
      <c r="C283" s="367"/>
      <c r="D283" s="367"/>
      <c r="E283" s="367"/>
      <c r="F283" s="119">
        <f t="shared" si="106"/>
        <v>0</v>
      </c>
      <c r="G283" s="43"/>
      <c r="H283" s="119">
        <f t="shared" si="107"/>
        <v>0</v>
      </c>
      <c r="I283" s="377"/>
      <c r="J283" s="124" t="e">
        <f t="shared" si="108"/>
        <v>#DIV/0!</v>
      </c>
      <c r="K283" s="42" t="e">
        <f t="shared" si="109"/>
        <v>#DIV/0!</v>
      </c>
      <c r="L283" s="372">
        <v>1</v>
      </c>
      <c r="M283" s="42"/>
      <c r="N283" s="43"/>
      <c r="O283" s="44"/>
      <c r="P283" s="80"/>
      <c r="Q283" s="43"/>
      <c r="R283" s="43"/>
      <c r="S283" s="43"/>
      <c r="T283" s="43"/>
      <c r="U283" s="43"/>
      <c r="V283" s="43"/>
      <c r="W283" s="43"/>
      <c r="X283" s="43"/>
      <c r="Y283" s="110"/>
      <c r="Z283" s="110"/>
      <c r="AA283" s="110"/>
      <c r="AB283" s="110"/>
      <c r="AC283" s="110"/>
      <c r="AD283" s="110"/>
      <c r="AE283" s="110"/>
      <c r="AF283" s="110"/>
      <c r="AG283" s="110"/>
      <c r="AH283" s="110"/>
      <c r="AI283" s="110"/>
      <c r="AJ283" s="110"/>
      <c r="AK283" s="110"/>
      <c r="AL283" s="110"/>
      <c r="AM283" s="110"/>
      <c r="AN283" s="110"/>
      <c r="AO283" s="110"/>
      <c r="AP283" s="110"/>
      <c r="AQ283" s="110"/>
      <c r="AR283" s="110"/>
      <c r="AS283" s="110"/>
      <c r="AT283" s="110"/>
      <c r="AU283" s="110"/>
      <c r="AV283" s="110"/>
      <c r="AW283" s="110"/>
      <c r="AX283" s="110"/>
      <c r="AY283" s="110"/>
      <c r="AZ283" s="110"/>
      <c r="BA283" s="110"/>
      <c r="BB283" s="110"/>
      <c r="BC283" s="110"/>
      <c r="BD283" s="110"/>
      <c r="BE283" s="110"/>
      <c r="BF283" s="110"/>
      <c r="BG283" s="110"/>
      <c r="BH283" s="110"/>
      <c r="BI283" s="110"/>
      <c r="BJ283" s="110"/>
      <c r="BK283" s="110"/>
      <c r="BL283" s="110"/>
      <c r="BM283" s="110"/>
      <c r="BN283" s="110"/>
      <c r="BO283" s="110"/>
      <c r="BP283" s="110"/>
      <c r="BQ283" s="110"/>
      <c r="BR283" s="110"/>
      <c r="BS283" s="110"/>
      <c r="BT283" s="110"/>
      <c r="BU283" s="110"/>
      <c r="BV283" s="110"/>
      <c r="BW283" s="110"/>
      <c r="BX283" s="110"/>
      <c r="BY283" s="110"/>
      <c r="BZ283" s="110"/>
      <c r="CA283" s="110"/>
      <c r="CB283" s="110"/>
      <c r="CC283" s="110"/>
      <c r="CD283" s="110"/>
      <c r="CE283" s="110"/>
      <c r="CF283" s="110"/>
    </row>
    <row r="284" spans="1:84" s="45" customFormat="1" x14ac:dyDescent="0.25">
      <c r="A284" t="str">
        <f>Funktional!A283</f>
        <v>Ermatingen</v>
      </c>
      <c r="B284" t="str">
        <f>Funktional!B283</f>
        <v>OSG</v>
      </c>
      <c r="C284" s="367"/>
      <c r="D284" s="367"/>
      <c r="E284" s="367"/>
      <c r="F284" s="119">
        <f t="shared" si="106"/>
        <v>0</v>
      </c>
      <c r="G284" s="43"/>
      <c r="H284" s="119">
        <f t="shared" si="107"/>
        <v>0</v>
      </c>
      <c r="I284" s="377"/>
      <c r="J284" s="124" t="e">
        <f t="shared" si="108"/>
        <v>#DIV/0!</v>
      </c>
      <c r="K284" s="42" t="e">
        <f t="shared" si="109"/>
        <v>#DIV/0!</v>
      </c>
      <c r="L284" s="372">
        <v>1</v>
      </c>
      <c r="M284" s="42"/>
      <c r="N284" s="43"/>
      <c r="O284" s="44"/>
      <c r="P284" s="80"/>
      <c r="Q284" s="43"/>
      <c r="R284" s="43"/>
      <c r="S284" s="43"/>
      <c r="T284" s="43"/>
      <c r="U284" s="43"/>
      <c r="V284" s="43"/>
      <c r="W284" s="43"/>
      <c r="X284" s="43"/>
      <c r="Y284" s="110"/>
      <c r="Z284" s="110"/>
      <c r="AA284" s="110"/>
      <c r="AB284" s="110"/>
      <c r="AC284" s="110"/>
      <c r="AD284" s="110"/>
      <c r="AE284" s="110"/>
      <c r="AF284" s="110"/>
      <c r="AG284" s="110"/>
      <c r="AH284" s="110"/>
      <c r="AI284" s="110"/>
      <c r="AJ284" s="110"/>
      <c r="AK284" s="110"/>
      <c r="AL284" s="110"/>
      <c r="AM284" s="110"/>
      <c r="AN284" s="110"/>
      <c r="AO284" s="110"/>
      <c r="AP284" s="110"/>
      <c r="AQ284" s="110"/>
      <c r="AR284" s="110"/>
      <c r="AS284" s="110"/>
      <c r="AT284" s="110"/>
      <c r="AU284" s="110"/>
      <c r="AV284" s="110"/>
      <c r="AW284" s="110"/>
      <c r="AX284" s="110"/>
      <c r="AY284" s="110"/>
      <c r="AZ284" s="110"/>
      <c r="BA284" s="110"/>
      <c r="BB284" s="110"/>
      <c r="BC284" s="110"/>
      <c r="BD284" s="110"/>
      <c r="BE284" s="110"/>
      <c r="BF284" s="110"/>
      <c r="BG284" s="110"/>
      <c r="BH284" s="110"/>
      <c r="BI284" s="110"/>
      <c r="BJ284" s="110"/>
      <c r="BK284" s="110"/>
      <c r="BL284" s="110"/>
      <c r="BM284" s="110"/>
      <c r="BN284" s="110"/>
      <c r="BO284" s="110"/>
      <c r="BP284" s="110"/>
      <c r="BQ284" s="110"/>
      <c r="BR284" s="110"/>
      <c r="BS284" s="110"/>
      <c r="BT284" s="110"/>
      <c r="BU284" s="110"/>
      <c r="BV284" s="110"/>
      <c r="BW284" s="110"/>
      <c r="BX284" s="110"/>
      <c r="BY284" s="110"/>
      <c r="BZ284" s="110"/>
      <c r="CA284" s="110"/>
      <c r="CB284" s="110"/>
      <c r="CC284" s="110"/>
      <c r="CD284" s="110"/>
      <c r="CE284" s="110"/>
      <c r="CF284" s="110"/>
    </row>
    <row r="285" spans="1:84" s="45" customFormat="1" x14ac:dyDescent="0.25">
      <c r="A285" t="str">
        <f>Funktional!A284</f>
        <v>Eschenz</v>
      </c>
      <c r="B285" t="str">
        <f>Funktional!B284</f>
        <v>OSG</v>
      </c>
      <c r="C285" s="367"/>
      <c r="D285" s="367"/>
      <c r="E285" s="367"/>
      <c r="F285" s="119">
        <f t="shared" si="106"/>
        <v>0</v>
      </c>
      <c r="G285" s="43"/>
      <c r="H285" s="119">
        <f t="shared" si="107"/>
        <v>0</v>
      </c>
      <c r="I285" s="377"/>
      <c r="J285" s="124" t="e">
        <f t="shared" si="108"/>
        <v>#DIV/0!</v>
      </c>
      <c r="K285" s="42" t="e">
        <f t="shared" si="109"/>
        <v>#DIV/0!</v>
      </c>
      <c r="L285" s="372">
        <v>1</v>
      </c>
      <c r="M285" s="42"/>
      <c r="N285" s="43"/>
      <c r="O285" s="44"/>
      <c r="P285" s="80"/>
      <c r="Q285" s="43"/>
      <c r="R285" s="43"/>
      <c r="S285" s="43"/>
      <c r="T285" s="43"/>
      <c r="U285" s="43"/>
      <c r="V285" s="43"/>
      <c r="W285" s="43"/>
      <c r="X285" s="43"/>
      <c r="Y285" s="110"/>
      <c r="Z285" s="110"/>
      <c r="AA285" s="110"/>
      <c r="AB285" s="110"/>
      <c r="AC285" s="110"/>
      <c r="AD285" s="110"/>
      <c r="AE285" s="110"/>
      <c r="AF285" s="110"/>
      <c r="AG285" s="110"/>
      <c r="AH285" s="110"/>
      <c r="AI285" s="110"/>
      <c r="AJ285" s="110"/>
      <c r="AK285" s="110"/>
      <c r="AL285" s="110"/>
      <c r="AM285" s="110"/>
      <c r="AN285" s="110"/>
      <c r="AO285" s="110"/>
      <c r="AP285" s="110"/>
      <c r="AQ285" s="110"/>
      <c r="AR285" s="110"/>
      <c r="AS285" s="110"/>
      <c r="AT285" s="110"/>
      <c r="AU285" s="110"/>
      <c r="AV285" s="110"/>
      <c r="AW285" s="110"/>
      <c r="AX285" s="110"/>
      <c r="AY285" s="110"/>
      <c r="AZ285" s="110"/>
      <c r="BA285" s="110"/>
      <c r="BB285" s="110"/>
      <c r="BC285" s="110"/>
      <c r="BD285" s="110"/>
      <c r="BE285" s="110"/>
      <c r="BF285" s="110"/>
      <c r="BG285" s="110"/>
      <c r="BH285" s="110"/>
      <c r="BI285" s="110"/>
      <c r="BJ285" s="110"/>
      <c r="BK285" s="110"/>
      <c r="BL285" s="110"/>
      <c r="BM285" s="110"/>
      <c r="BN285" s="110"/>
      <c r="BO285" s="110"/>
      <c r="BP285" s="110"/>
      <c r="BQ285" s="110"/>
      <c r="BR285" s="110"/>
      <c r="BS285" s="110"/>
      <c r="BT285" s="110"/>
      <c r="BU285" s="110"/>
      <c r="BV285" s="110"/>
      <c r="BW285" s="110"/>
      <c r="BX285" s="110"/>
      <c r="BY285" s="110"/>
      <c r="BZ285" s="110"/>
      <c r="CA285" s="110"/>
      <c r="CB285" s="110"/>
      <c r="CC285" s="110"/>
      <c r="CD285" s="110"/>
      <c r="CE285" s="110"/>
      <c r="CF285" s="110"/>
    </row>
    <row r="286" spans="1:84" s="45" customFormat="1" x14ac:dyDescent="0.25">
      <c r="A286" t="str">
        <f>Funktional!A285</f>
        <v>Fischingen</v>
      </c>
      <c r="B286" t="str">
        <f>Funktional!B285</f>
        <v>OSG</v>
      </c>
      <c r="C286" s="367"/>
      <c r="D286" s="367"/>
      <c r="E286" s="367"/>
      <c r="F286" s="119">
        <f t="shared" si="106"/>
        <v>0</v>
      </c>
      <c r="G286" s="43"/>
      <c r="H286" s="119">
        <f t="shared" si="107"/>
        <v>0</v>
      </c>
      <c r="I286" s="377"/>
      <c r="J286" s="124" t="e">
        <f t="shared" si="108"/>
        <v>#DIV/0!</v>
      </c>
      <c r="K286" s="42" t="e">
        <f t="shared" si="109"/>
        <v>#DIV/0!</v>
      </c>
      <c r="L286" s="372">
        <v>1</v>
      </c>
      <c r="M286" s="42"/>
      <c r="N286" s="43"/>
      <c r="O286" s="44"/>
      <c r="P286" s="80"/>
      <c r="Q286" s="43"/>
      <c r="R286" s="43"/>
      <c r="S286" s="43"/>
      <c r="T286" s="43"/>
      <c r="U286" s="43"/>
      <c r="V286" s="43"/>
      <c r="W286" s="43"/>
      <c r="X286" s="43"/>
      <c r="Y286" s="110"/>
      <c r="Z286" s="110"/>
      <c r="AA286" s="110"/>
      <c r="AB286" s="110"/>
      <c r="AC286" s="110"/>
      <c r="AD286" s="110"/>
      <c r="AE286" s="110"/>
      <c r="AF286" s="110"/>
      <c r="AG286" s="110"/>
      <c r="AH286" s="110"/>
      <c r="AI286" s="110"/>
      <c r="AJ286" s="110"/>
      <c r="AK286" s="110"/>
      <c r="AL286" s="110"/>
      <c r="AM286" s="110"/>
      <c r="AN286" s="110"/>
      <c r="AO286" s="110"/>
      <c r="AP286" s="110"/>
      <c r="AQ286" s="110"/>
      <c r="AR286" s="110"/>
      <c r="AS286" s="110"/>
      <c r="AT286" s="110"/>
      <c r="AU286" s="110"/>
      <c r="AV286" s="110"/>
      <c r="AW286" s="110"/>
      <c r="AX286" s="110"/>
      <c r="AY286" s="110"/>
      <c r="AZ286" s="110"/>
      <c r="BA286" s="110"/>
      <c r="BB286" s="110"/>
      <c r="BC286" s="110"/>
      <c r="BD286" s="110"/>
      <c r="BE286" s="110"/>
      <c r="BF286" s="110"/>
      <c r="BG286" s="110"/>
      <c r="BH286" s="110"/>
      <c r="BI286" s="110"/>
      <c r="BJ286" s="110"/>
      <c r="BK286" s="110"/>
      <c r="BL286" s="110"/>
      <c r="BM286" s="110"/>
      <c r="BN286" s="110"/>
      <c r="BO286" s="110"/>
      <c r="BP286" s="110"/>
      <c r="BQ286" s="110"/>
      <c r="BR286" s="110"/>
      <c r="BS286" s="110"/>
      <c r="BT286" s="110"/>
      <c r="BU286" s="110"/>
      <c r="BV286" s="110"/>
      <c r="BW286" s="110"/>
      <c r="BX286" s="110"/>
      <c r="BY286" s="110"/>
      <c r="BZ286" s="110"/>
      <c r="CA286" s="110"/>
      <c r="CB286" s="110"/>
      <c r="CC286" s="110"/>
      <c r="CD286" s="110"/>
      <c r="CE286" s="110"/>
      <c r="CF286" s="110"/>
    </row>
    <row r="287" spans="1:84" s="45" customFormat="1" x14ac:dyDescent="0.25">
      <c r="A287" t="str">
        <f>Funktional!A286</f>
        <v>Frauenfeld</v>
      </c>
      <c r="B287" t="str">
        <f>Funktional!B286</f>
        <v>OSG</v>
      </c>
      <c r="C287" s="367"/>
      <c r="D287" s="367"/>
      <c r="E287" s="367"/>
      <c r="F287" s="119">
        <f t="shared" si="106"/>
        <v>0</v>
      </c>
      <c r="G287" s="43"/>
      <c r="H287" s="119">
        <f t="shared" si="107"/>
        <v>0</v>
      </c>
      <c r="I287" s="377"/>
      <c r="J287" s="124" t="e">
        <f t="shared" si="108"/>
        <v>#DIV/0!</v>
      </c>
      <c r="K287" s="42" t="e">
        <f t="shared" si="109"/>
        <v>#DIV/0!</v>
      </c>
      <c r="L287" s="372">
        <v>1</v>
      </c>
      <c r="M287" s="42"/>
      <c r="N287" s="43"/>
      <c r="O287" s="44"/>
      <c r="P287" s="80"/>
      <c r="Q287" s="43"/>
      <c r="R287" s="43"/>
      <c r="S287" s="43"/>
      <c r="T287" s="43"/>
      <c r="U287" s="43"/>
      <c r="V287" s="43"/>
      <c r="W287" s="43"/>
      <c r="X287" s="43"/>
      <c r="Y287" s="110"/>
      <c r="Z287" s="110"/>
      <c r="AA287" s="110"/>
      <c r="AB287" s="110"/>
      <c r="AC287" s="110"/>
      <c r="AD287" s="110"/>
      <c r="AE287" s="110"/>
      <c r="AF287" s="110"/>
      <c r="AG287" s="110"/>
      <c r="AH287" s="110"/>
      <c r="AI287" s="110"/>
      <c r="AJ287" s="110"/>
      <c r="AK287" s="110"/>
      <c r="AL287" s="110"/>
      <c r="AM287" s="110"/>
      <c r="AN287" s="110"/>
      <c r="AO287" s="110"/>
      <c r="AP287" s="110"/>
      <c r="AQ287" s="110"/>
      <c r="AR287" s="110"/>
      <c r="AS287" s="110"/>
      <c r="AT287" s="110"/>
      <c r="AU287" s="110"/>
      <c r="AV287" s="110"/>
      <c r="AW287" s="110"/>
      <c r="AX287" s="110"/>
      <c r="AY287" s="110"/>
      <c r="AZ287" s="110"/>
      <c r="BA287" s="110"/>
      <c r="BB287" s="110"/>
      <c r="BC287" s="110"/>
      <c r="BD287" s="110"/>
      <c r="BE287" s="110"/>
      <c r="BF287" s="110"/>
      <c r="BG287" s="110"/>
      <c r="BH287" s="110"/>
      <c r="BI287" s="110"/>
      <c r="BJ287" s="110"/>
      <c r="BK287" s="110"/>
      <c r="BL287" s="110"/>
      <c r="BM287" s="110"/>
      <c r="BN287" s="110"/>
      <c r="BO287" s="110"/>
      <c r="BP287" s="110"/>
      <c r="BQ287" s="110"/>
      <c r="BR287" s="110"/>
      <c r="BS287" s="110"/>
      <c r="BT287" s="110"/>
      <c r="BU287" s="110"/>
      <c r="BV287" s="110"/>
      <c r="BW287" s="110"/>
      <c r="BX287" s="110"/>
      <c r="BY287" s="110"/>
      <c r="BZ287" s="110"/>
      <c r="CA287" s="110"/>
      <c r="CB287" s="110"/>
      <c r="CC287" s="110"/>
      <c r="CD287" s="110"/>
      <c r="CE287" s="110"/>
      <c r="CF287" s="110"/>
    </row>
    <row r="288" spans="1:84" s="45" customFormat="1" x14ac:dyDescent="0.25">
      <c r="A288" t="str">
        <f>Funktional!A287</f>
        <v>Halingen</v>
      </c>
      <c r="B288" t="str">
        <f>Funktional!B287</f>
        <v>OSG</v>
      </c>
      <c r="C288" s="367"/>
      <c r="D288" s="367"/>
      <c r="E288" s="367"/>
      <c r="F288" s="119">
        <f t="shared" si="106"/>
        <v>0</v>
      </c>
      <c r="G288" s="43"/>
      <c r="H288" s="119">
        <f t="shared" si="107"/>
        <v>0</v>
      </c>
      <c r="I288" s="377"/>
      <c r="J288" s="124" t="e">
        <f t="shared" si="108"/>
        <v>#DIV/0!</v>
      </c>
      <c r="K288" s="42" t="e">
        <f t="shared" si="109"/>
        <v>#DIV/0!</v>
      </c>
      <c r="L288" s="372">
        <v>1</v>
      </c>
      <c r="M288" s="42"/>
      <c r="N288" s="43"/>
      <c r="O288" s="44"/>
      <c r="P288" s="80"/>
      <c r="Q288" s="43"/>
      <c r="R288" s="43"/>
      <c r="S288" s="43"/>
      <c r="T288" s="43"/>
      <c r="U288" s="43"/>
      <c r="V288" s="43"/>
      <c r="W288" s="43"/>
      <c r="X288" s="43"/>
      <c r="Y288" s="110"/>
      <c r="Z288" s="110"/>
      <c r="AA288" s="110"/>
      <c r="AB288" s="110"/>
      <c r="AC288" s="110"/>
      <c r="AD288" s="110"/>
      <c r="AE288" s="110"/>
      <c r="AF288" s="110"/>
      <c r="AG288" s="110"/>
      <c r="AH288" s="110"/>
      <c r="AI288" s="110"/>
      <c r="AJ288" s="110"/>
      <c r="AK288" s="110"/>
      <c r="AL288" s="110"/>
      <c r="AM288" s="110"/>
      <c r="AN288" s="110"/>
      <c r="AO288" s="110"/>
      <c r="AP288" s="110"/>
      <c r="AQ288" s="110"/>
      <c r="AR288" s="110"/>
      <c r="AS288" s="110"/>
      <c r="AT288" s="110"/>
      <c r="AU288" s="110"/>
      <c r="AV288" s="110"/>
      <c r="AW288" s="110"/>
      <c r="AX288" s="110"/>
      <c r="AY288" s="110"/>
      <c r="AZ288" s="110"/>
      <c r="BA288" s="110"/>
      <c r="BB288" s="110"/>
      <c r="BC288" s="110"/>
      <c r="BD288" s="110"/>
      <c r="BE288" s="110"/>
      <c r="BF288" s="110"/>
      <c r="BG288" s="110"/>
      <c r="BH288" s="110"/>
      <c r="BI288" s="110"/>
      <c r="BJ288" s="110"/>
      <c r="BK288" s="110"/>
      <c r="BL288" s="110"/>
      <c r="BM288" s="110"/>
      <c r="BN288" s="110"/>
      <c r="BO288" s="110"/>
      <c r="BP288" s="110"/>
      <c r="BQ288" s="110"/>
      <c r="BR288" s="110"/>
      <c r="BS288" s="110"/>
      <c r="BT288" s="110"/>
      <c r="BU288" s="110"/>
      <c r="BV288" s="110"/>
      <c r="BW288" s="110"/>
      <c r="BX288" s="110"/>
      <c r="BY288" s="110"/>
      <c r="BZ288" s="110"/>
      <c r="CA288" s="110"/>
      <c r="CB288" s="110"/>
      <c r="CC288" s="110"/>
      <c r="CD288" s="110"/>
      <c r="CE288" s="110"/>
      <c r="CF288" s="110"/>
    </row>
    <row r="289" spans="1:84" s="45" customFormat="1" x14ac:dyDescent="0.25">
      <c r="A289" t="str">
        <f>Funktional!A288</f>
        <v>Hüttwilen</v>
      </c>
      <c r="B289" t="str">
        <f>Funktional!B288</f>
        <v>OSG</v>
      </c>
      <c r="C289" s="367"/>
      <c r="D289" s="367"/>
      <c r="E289" s="367"/>
      <c r="F289" s="119">
        <f t="shared" si="106"/>
        <v>0</v>
      </c>
      <c r="G289" s="43"/>
      <c r="H289" s="119">
        <f t="shared" si="107"/>
        <v>0</v>
      </c>
      <c r="I289" s="377"/>
      <c r="J289" s="124" t="e">
        <f t="shared" si="108"/>
        <v>#DIV/0!</v>
      </c>
      <c r="K289" s="42" t="e">
        <f t="shared" si="109"/>
        <v>#DIV/0!</v>
      </c>
      <c r="L289" s="372">
        <v>1</v>
      </c>
      <c r="M289" s="42"/>
      <c r="N289" s="43"/>
      <c r="O289" s="44"/>
      <c r="P289" s="80"/>
      <c r="Q289" s="43"/>
      <c r="R289" s="43"/>
      <c r="S289" s="43"/>
      <c r="T289" s="43"/>
      <c r="U289" s="43"/>
      <c r="V289" s="43"/>
      <c r="W289" s="43"/>
      <c r="X289" s="43"/>
      <c r="Y289" s="110"/>
      <c r="Z289" s="110"/>
      <c r="AA289" s="110"/>
      <c r="AB289" s="110"/>
      <c r="AC289" s="110"/>
      <c r="AD289" s="110"/>
      <c r="AE289" s="110"/>
      <c r="AF289" s="110"/>
      <c r="AG289" s="110"/>
      <c r="AH289" s="110"/>
      <c r="AI289" s="110"/>
      <c r="AJ289" s="110"/>
      <c r="AK289" s="110"/>
      <c r="AL289" s="110"/>
      <c r="AM289" s="110"/>
      <c r="AN289" s="110"/>
      <c r="AO289" s="110"/>
      <c r="AP289" s="110"/>
      <c r="AQ289" s="110"/>
      <c r="AR289" s="110"/>
      <c r="AS289" s="110"/>
      <c r="AT289" s="110"/>
      <c r="AU289" s="110"/>
      <c r="AV289" s="110"/>
      <c r="AW289" s="110"/>
      <c r="AX289" s="110"/>
      <c r="AY289" s="110"/>
      <c r="AZ289" s="110"/>
      <c r="BA289" s="110"/>
      <c r="BB289" s="110"/>
      <c r="BC289" s="110"/>
      <c r="BD289" s="110"/>
      <c r="BE289" s="110"/>
      <c r="BF289" s="110"/>
      <c r="BG289" s="110"/>
      <c r="BH289" s="110"/>
      <c r="BI289" s="110"/>
      <c r="BJ289" s="110"/>
      <c r="BK289" s="110"/>
      <c r="BL289" s="110"/>
      <c r="BM289" s="110"/>
      <c r="BN289" s="110"/>
      <c r="BO289" s="110"/>
      <c r="BP289" s="110"/>
      <c r="BQ289" s="110"/>
      <c r="BR289" s="110"/>
      <c r="BS289" s="110"/>
      <c r="BT289" s="110"/>
      <c r="BU289" s="110"/>
      <c r="BV289" s="110"/>
      <c r="BW289" s="110"/>
      <c r="BX289" s="110"/>
      <c r="BY289" s="110"/>
      <c r="BZ289" s="110"/>
      <c r="CA289" s="110"/>
      <c r="CB289" s="110"/>
      <c r="CC289" s="110"/>
      <c r="CD289" s="110"/>
      <c r="CE289" s="110"/>
      <c r="CF289" s="110"/>
    </row>
    <row r="290" spans="1:84" s="45" customFormat="1" x14ac:dyDescent="0.25">
      <c r="A290" t="str">
        <f>Funktional!A289</f>
        <v>Kreuzlingen</v>
      </c>
      <c r="B290" t="str">
        <f>Funktional!B289</f>
        <v>OSG</v>
      </c>
      <c r="C290" s="367"/>
      <c r="D290" s="367"/>
      <c r="E290" s="367"/>
      <c r="F290" s="119">
        <f t="shared" si="106"/>
        <v>0</v>
      </c>
      <c r="G290" s="43"/>
      <c r="H290" s="119">
        <f t="shared" si="107"/>
        <v>0</v>
      </c>
      <c r="I290" s="377"/>
      <c r="J290" s="124" t="e">
        <f t="shared" si="108"/>
        <v>#DIV/0!</v>
      </c>
      <c r="K290" s="42" t="e">
        <f t="shared" si="109"/>
        <v>#DIV/0!</v>
      </c>
      <c r="L290" s="372">
        <v>1</v>
      </c>
      <c r="M290" s="42"/>
      <c r="N290" s="43"/>
      <c r="O290" s="44"/>
      <c r="P290" s="80"/>
      <c r="Q290" s="43"/>
      <c r="R290" s="43"/>
      <c r="S290" s="43"/>
      <c r="T290" s="43"/>
      <c r="U290" s="43"/>
      <c r="V290" s="43"/>
      <c r="W290" s="43"/>
      <c r="X290" s="43"/>
      <c r="Y290" s="110"/>
      <c r="Z290" s="110"/>
      <c r="AA290" s="110"/>
      <c r="AB290" s="110"/>
      <c r="AC290" s="110"/>
      <c r="AD290" s="110"/>
      <c r="AE290" s="110"/>
      <c r="AF290" s="110"/>
      <c r="AG290" s="110"/>
      <c r="AH290" s="110"/>
      <c r="AI290" s="110"/>
      <c r="AJ290" s="110"/>
      <c r="AK290" s="110"/>
      <c r="AL290" s="110"/>
      <c r="AM290" s="110"/>
      <c r="AN290" s="110"/>
      <c r="AO290" s="110"/>
      <c r="AP290" s="110"/>
      <c r="AQ290" s="110"/>
      <c r="AR290" s="110"/>
      <c r="AS290" s="110"/>
      <c r="AT290" s="110"/>
      <c r="AU290" s="110"/>
      <c r="AV290" s="110"/>
      <c r="AW290" s="110"/>
      <c r="AX290" s="110"/>
      <c r="AY290" s="110"/>
      <c r="AZ290" s="110"/>
      <c r="BA290" s="110"/>
      <c r="BB290" s="110"/>
      <c r="BC290" s="110"/>
      <c r="BD290" s="110"/>
      <c r="BE290" s="110"/>
      <c r="BF290" s="110"/>
      <c r="BG290" s="110"/>
      <c r="BH290" s="110"/>
      <c r="BI290" s="110"/>
      <c r="BJ290" s="110"/>
      <c r="BK290" s="110"/>
      <c r="BL290" s="110"/>
      <c r="BM290" s="110"/>
      <c r="BN290" s="110"/>
      <c r="BO290" s="110"/>
      <c r="BP290" s="110"/>
      <c r="BQ290" s="110"/>
      <c r="BR290" s="110"/>
      <c r="BS290" s="110"/>
      <c r="BT290" s="110"/>
      <c r="BU290" s="110"/>
      <c r="BV290" s="110"/>
      <c r="BW290" s="110"/>
      <c r="BX290" s="110"/>
      <c r="BY290" s="110"/>
      <c r="BZ290" s="110"/>
      <c r="CA290" s="110"/>
      <c r="CB290" s="110"/>
      <c r="CC290" s="110"/>
      <c r="CD290" s="110"/>
      <c r="CE290" s="110"/>
      <c r="CF290" s="110"/>
    </row>
    <row r="291" spans="1:84" s="45" customFormat="1" x14ac:dyDescent="0.25">
      <c r="A291" t="str">
        <f>Funktional!A290</f>
        <v>Müllheim</v>
      </c>
      <c r="B291" t="str">
        <f>Funktional!B290</f>
        <v>OSG</v>
      </c>
      <c r="C291" s="367"/>
      <c r="D291" s="367"/>
      <c r="E291" s="367"/>
      <c r="F291" s="119">
        <f t="shared" si="106"/>
        <v>0</v>
      </c>
      <c r="G291" s="43"/>
      <c r="H291" s="119">
        <f t="shared" si="107"/>
        <v>0</v>
      </c>
      <c r="I291" s="377"/>
      <c r="J291" s="124" t="e">
        <f t="shared" si="108"/>
        <v>#DIV/0!</v>
      </c>
      <c r="K291" s="42" t="e">
        <f t="shared" si="109"/>
        <v>#DIV/0!</v>
      </c>
      <c r="L291" s="372">
        <v>1</v>
      </c>
      <c r="M291" s="42"/>
      <c r="N291" s="43"/>
      <c r="O291" s="44"/>
      <c r="P291" s="80"/>
      <c r="Q291" s="43"/>
      <c r="R291" s="43"/>
      <c r="S291" s="43"/>
      <c r="T291" s="43"/>
      <c r="U291" s="43"/>
      <c r="V291" s="43"/>
      <c r="W291" s="43"/>
      <c r="X291" s="43"/>
      <c r="Y291" s="110"/>
      <c r="Z291" s="110"/>
      <c r="AA291" s="110"/>
      <c r="AB291" s="110"/>
      <c r="AC291" s="110"/>
      <c r="AD291" s="110"/>
      <c r="AE291" s="110"/>
      <c r="AF291" s="110"/>
      <c r="AG291" s="110"/>
      <c r="AH291" s="110"/>
      <c r="AI291" s="110"/>
      <c r="AJ291" s="110"/>
      <c r="AK291" s="110"/>
      <c r="AL291" s="110"/>
      <c r="AM291" s="110"/>
      <c r="AN291" s="110"/>
      <c r="AO291" s="110"/>
      <c r="AP291" s="110"/>
      <c r="AQ291" s="110"/>
      <c r="AR291" s="110"/>
      <c r="AS291" s="110"/>
      <c r="AT291" s="110"/>
      <c r="AU291" s="110"/>
      <c r="AV291" s="110"/>
      <c r="AW291" s="110"/>
      <c r="AX291" s="110"/>
      <c r="AY291" s="110"/>
      <c r="AZ291" s="110"/>
      <c r="BA291" s="110"/>
      <c r="BB291" s="110"/>
      <c r="BC291" s="110"/>
      <c r="BD291" s="110"/>
      <c r="BE291" s="110"/>
      <c r="BF291" s="110"/>
      <c r="BG291" s="110"/>
      <c r="BH291" s="110"/>
      <c r="BI291" s="110"/>
      <c r="BJ291" s="110"/>
      <c r="BK291" s="110"/>
      <c r="BL291" s="110"/>
      <c r="BM291" s="110"/>
      <c r="BN291" s="110"/>
      <c r="BO291" s="110"/>
      <c r="BP291" s="110"/>
      <c r="BQ291" s="110"/>
      <c r="BR291" s="110"/>
      <c r="BS291" s="110"/>
      <c r="BT291" s="110"/>
      <c r="BU291" s="110"/>
      <c r="BV291" s="110"/>
      <c r="BW291" s="110"/>
      <c r="BX291" s="110"/>
      <c r="BY291" s="110"/>
      <c r="BZ291" s="110"/>
      <c r="CA291" s="110"/>
      <c r="CB291" s="110"/>
      <c r="CC291" s="110"/>
      <c r="CD291" s="110"/>
      <c r="CE291" s="110"/>
      <c r="CF291" s="110"/>
    </row>
    <row r="292" spans="1:84" s="45" customFormat="1" x14ac:dyDescent="0.25">
      <c r="A292" t="str">
        <f>Funktional!A291</f>
        <v>Neukirch-Egnach</v>
      </c>
      <c r="B292" t="str">
        <f>Funktional!B291</f>
        <v>OSG</v>
      </c>
      <c r="C292" s="367"/>
      <c r="D292" s="367"/>
      <c r="E292" s="367"/>
      <c r="F292" s="119">
        <f t="shared" si="106"/>
        <v>0</v>
      </c>
      <c r="G292" s="43"/>
      <c r="H292" s="119">
        <f t="shared" si="107"/>
        <v>0</v>
      </c>
      <c r="I292" s="377"/>
      <c r="J292" s="124" t="e">
        <f t="shared" si="108"/>
        <v>#DIV/0!</v>
      </c>
      <c r="K292" s="42" t="e">
        <f t="shared" si="109"/>
        <v>#DIV/0!</v>
      </c>
      <c r="L292" s="372">
        <v>1</v>
      </c>
      <c r="M292" s="42"/>
      <c r="N292" s="43"/>
      <c r="O292" s="44"/>
      <c r="P292" s="80"/>
      <c r="Q292" s="43"/>
      <c r="R292" s="43"/>
      <c r="S292" s="43"/>
      <c r="T292" s="43"/>
      <c r="U292" s="43"/>
      <c r="V292" s="43"/>
      <c r="W292" s="43"/>
      <c r="X292" s="43"/>
      <c r="Y292" s="110"/>
      <c r="Z292" s="110"/>
      <c r="AA292" s="110"/>
      <c r="AB292" s="110"/>
      <c r="AC292" s="110"/>
      <c r="AD292" s="110"/>
      <c r="AE292" s="110"/>
      <c r="AF292" s="110"/>
      <c r="AG292" s="110"/>
      <c r="AH292" s="110"/>
      <c r="AI292" s="110"/>
      <c r="AJ292" s="110"/>
      <c r="AK292" s="110"/>
      <c r="AL292" s="110"/>
      <c r="AM292" s="110"/>
      <c r="AN292" s="110"/>
      <c r="AO292" s="110"/>
      <c r="AP292" s="110"/>
      <c r="AQ292" s="110"/>
      <c r="AR292" s="110"/>
      <c r="AS292" s="110"/>
      <c r="AT292" s="110"/>
      <c r="AU292" s="110"/>
      <c r="AV292" s="110"/>
      <c r="AW292" s="110"/>
      <c r="AX292" s="110"/>
      <c r="AY292" s="110"/>
      <c r="AZ292" s="110"/>
      <c r="BA292" s="110"/>
      <c r="BB292" s="110"/>
      <c r="BC292" s="110"/>
      <c r="BD292" s="110"/>
      <c r="BE292" s="110"/>
      <c r="BF292" s="110"/>
      <c r="BG292" s="110"/>
      <c r="BH292" s="110"/>
      <c r="BI292" s="110"/>
      <c r="BJ292" s="110"/>
      <c r="BK292" s="110"/>
      <c r="BL292" s="110"/>
      <c r="BM292" s="110"/>
      <c r="BN292" s="110"/>
      <c r="BO292" s="110"/>
      <c r="BP292" s="110"/>
      <c r="BQ292" s="110"/>
      <c r="BR292" s="110"/>
      <c r="BS292" s="110"/>
      <c r="BT292" s="110"/>
      <c r="BU292" s="110"/>
      <c r="BV292" s="110"/>
      <c r="BW292" s="110"/>
      <c r="BX292" s="110"/>
      <c r="BY292" s="110"/>
      <c r="BZ292" s="110"/>
      <c r="CA292" s="110"/>
      <c r="CB292" s="110"/>
      <c r="CC292" s="110"/>
      <c r="CD292" s="110"/>
      <c r="CE292" s="110"/>
      <c r="CF292" s="110"/>
    </row>
    <row r="293" spans="1:84" s="45" customFormat="1" x14ac:dyDescent="0.25">
      <c r="A293" t="str">
        <f>Funktional!A292</f>
        <v>Rickenbach</v>
      </c>
      <c r="B293" t="str">
        <f>Funktional!B292</f>
        <v>OSG</v>
      </c>
      <c r="C293" s="367"/>
      <c r="D293" s="367"/>
      <c r="E293" s="367"/>
      <c r="F293" s="119">
        <f t="shared" si="106"/>
        <v>0</v>
      </c>
      <c r="G293" s="43"/>
      <c r="H293" s="119">
        <f t="shared" si="107"/>
        <v>0</v>
      </c>
      <c r="I293" s="377"/>
      <c r="J293" s="124" t="e">
        <f t="shared" si="108"/>
        <v>#DIV/0!</v>
      </c>
      <c r="K293" s="42" t="e">
        <f t="shared" si="109"/>
        <v>#DIV/0!</v>
      </c>
      <c r="L293" s="372">
        <v>1</v>
      </c>
      <c r="M293" s="42"/>
      <c r="N293" s="43"/>
      <c r="O293" s="44"/>
      <c r="P293" s="80"/>
      <c r="Q293" s="43"/>
      <c r="R293" s="43"/>
      <c r="S293" s="43"/>
      <c r="T293" s="43"/>
      <c r="U293" s="43"/>
      <c r="V293" s="43"/>
      <c r="W293" s="43"/>
      <c r="X293" s="43"/>
      <c r="Y293" s="110"/>
      <c r="Z293" s="110"/>
      <c r="AA293" s="110"/>
      <c r="AB293" s="110"/>
      <c r="AC293" s="110"/>
      <c r="AD293" s="110"/>
      <c r="AE293" s="110"/>
      <c r="AF293" s="110"/>
      <c r="AG293" s="110"/>
      <c r="AH293" s="110"/>
      <c r="AI293" s="110"/>
      <c r="AJ293" s="110"/>
      <c r="AK293" s="110"/>
      <c r="AL293" s="110"/>
      <c r="AM293" s="110"/>
      <c r="AN293" s="110"/>
      <c r="AO293" s="110"/>
      <c r="AP293" s="110"/>
      <c r="AQ293" s="110"/>
      <c r="AR293" s="110"/>
      <c r="AS293" s="110"/>
      <c r="AT293" s="110"/>
      <c r="AU293" s="110"/>
      <c r="AV293" s="110"/>
      <c r="AW293" s="110"/>
      <c r="AX293" s="110"/>
      <c r="AY293" s="110"/>
      <c r="AZ293" s="110"/>
      <c r="BA293" s="110"/>
      <c r="BB293" s="110"/>
      <c r="BC293" s="110"/>
      <c r="BD293" s="110"/>
      <c r="BE293" s="110"/>
      <c r="BF293" s="110"/>
      <c r="BG293" s="110"/>
      <c r="BH293" s="110"/>
      <c r="BI293" s="110"/>
      <c r="BJ293" s="110"/>
      <c r="BK293" s="110"/>
      <c r="BL293" s="110"/>
      <c r="BM293" s="110"/>
      <c r="BN293" s="110"/>
      <c r="BO293" s="110"/>
      <c r="BP293" s="110"/>
      <c r="BQ293" s="110"/>
      <c r="BR293" s="110"/>
      <c r="BS293" s="110"/>
      <c r="BT293" s="110"/>
      <c r="BU293" s="110"/>
      <c r="BV293" s="110"/>
      <c r="BW293" s="110"/>
      <c r="BX293" s="110"/>
      <c r="BY293" s="110"/>
      <c r="BZ293" s="110"/>
      <c r="CA293" s="110"/>
      <c r="CB293" s="110"/>
      <c r="CC293" s="110"/>
      <c r="CD293" s="110"/>
      <c r="CE293" s="110"/>
      <c r="CF293" s="110"/>
    </row>
    <row r="294" spans="1:84" s="45" customFormat="1" x14ac:dyDescent="0.25">
      <c r="A294" t="str">
        <f>Funktional!A293</f>
        <v>Romanshorn-Salmsach</v>
      </c>
      <c r="B294" t="str">
        <f>Funktional!B293</f>
        <v>OSG</v>
      </c>
      <c r="C294" s="367"/>
      <c r="D294" s="367"/>
      <c r="E294" s="367"/>
      <c r="F294" s="119">
        <f t="shared" si="106"/>
        <v>0</v>
      </c>
      <c r="G294" s="43"/>
      <c r="H294" s="119">
        <f t="shared" si="107"/>
        <v>0</v>
      </c>
      <c r="I294" s="377"/>
      <c r="J294" s="124" t="e">
        <f t="shared" si="108"/>
        <v>#DIV/0!</v>
      </c>
      <c r="K294" s="42" t="e">
        <f t="shared" si="109"/>
        <v>#DIV/0!</v>
      </c>
      <c r="L294" s="372">
        <v>1</v>
      </c>
      <c r="M294" s="42"/>
      <c r="N294" s="43"/>
      <c r="O294" s="44"/>
      <c r="P294" s="80"/>
      <c r="Q294" s="43"/>
      <c r="R294" s="43"/>
      <c r="S294" s="43"/>
      <c r="T294" s="43"/>
      <c r="U294" s="43"/>
      <c r="V294" s="43"/>
      <c r="W294" s="43"/>
      <c r="X294" s="43"/>
      <c r="Y294" s="110"/>
      <c r="Z294" s="110"/>
      <c r="AA294" s="110"/>
      <c r="AB294" s="110"/>
      <c r="AC294" s="110"/>
      <c r="AD294" s="110"/>
      <c r="AE294" s="110"/>
      <c r="AF294" s="110"/>
      <c r="AG294" s="110"/>
      <c r="AH294" s="110"/>
      <c r="AI294" s="110"/>
      <c r="AJ294" s="110"/>
      <c r="AK294" s="110"/>
      <c r="AL294" s="110"/>
      <c r="AM294" s="110"/>
      <c r="AN294" s="110"/>
      <c r="AO294" s="110"/>
      <c r="AP294" s="110"/>
      <c r="AQ294" s="110"/>
      <c r="AR294" s="110"/>
      <c r="AS294" s="110"/>
      <c r="AT294" s="110"/>
      <c r="AU294" s="110"/>
      <c r="AV294" s="110"/>
      <c r="AW294" s="110"/>
      <c r="AX294" s="110"/>
      <c r="AY294" s="110"/>
      <c r="AZ294" s="110"/>
      <c r="BA294" s="110"/>
      <c r="BB294" s="110"/>
      <c r="BC294" s="110"/>
      <c r="BD294" s="110"/>
      <c r="BE294" s="110"/>
      <c r="BF294" s="110"/>
      <c r="BG294" s="110"/>
      <c r="BH294" s="110"/>
      <c r="BI294" s="110"/>
      <c r="BJ294" s="110"/>
      <c r="BK294" s="110"/>
      <c r="BL294" s="110"/>
      <c r="BM294" s="110"/>
      <c r="BN294" s="110"/>
      <c r="BO294" s="110"/>
      <c r="BP294" s="110"/>
      <c r="BQ294" s="110"/>
      <c r="BR294" s="110"/>
      <c r="BS294" s="110"/>
      <c r="BT294" s="110"/>
      <c r="BU294" s="110"/>
      <c r="BV294" s="110"/>
      <c r="BW294" s="110"/>
      <c r="BX294" s="110"/>
      <c r="BY294" s="110"/>
      <c r="BZ294" s="110"/>
      <c r="CA294" s="110"/>
      <c r="CB294" s="110"/>
      <c r="CC294" s="110"/>
      <c r="CD294" s="110"/>
      <c r="CE294" s="110"/>
      <c r="CF294" s="110"/>
    </row>
    <row r="295" spans="1:84" s="45" customFormat="1" x14ac:dyDescent="0.25">
      <c r="A295" t="str">
        <f>Funktional!A294</f>
        <v>Schönholzerswilen</v>
      </c>
      <c r="B295" t="str">
        <f>Funktional!B294</f>
        <v>OSG</v>
      </c>
      <c r="C295" s="367"/>
      <c r="D295" s="367"/>
      <c r="E295" s="367"/>
      <c r="F295" s="119">
        <f t="shared" si="106"/>
        <v>0</v>
      </c>
      <c r="G295" s="43"/>
      <c r="H295" s="119">
        <f t="shared" si="107"/>
        <v>0</v>
      </c>
      <c r="I295" s="377"/>
      <c r="J295" s="124" t="e">
        <f t="shared" si="108"/>
        <v>#DIV/0!</v>
      </c>
      <c r="K295" s="42" t="e">
        <f t="shared" si="109"/>
        <v>#DIV/0!</v>
      </c>
      <c r="L295" s="372">
        <v>1</v>
      </c>
      <c r="M295" s="42"/>
      <c r="N295" s="43"/>
      <c r="O295" s="44"/>
      <c r="P295" s="80"/>
      <c r="Q295" s="43"/>
      <c r="R295" s="43"/>
      <c r="S295" s="43"/>
      <c r="T295" s="43"/>
      <c r="U295" s="43"/>
      <c r="V295" s="43"/>
      <c r="W295" s="43"/>
      <c r="X295" s="43"/>
      <c r="Y295" s="110"/>
      <c r="Z295" s="110"/>
      <c r="AA295" s="110"/>
      <c r="AB295" s="110"/>
      <c r="AC295" s="110"/>
      <c r="AD295" s="110"/>
      <c r="AE295" s="110"/>
      <c r="AF295" s="110"/>
      <c r="AG295" s="110"/>
      <c r="AH295" s="110"/>
      <c r="AI295" s="110"/>
      <c r="AJ295" s="110"/>
      <c r="AK295" s="110"/>
      <c r="AL295" s="110"/>
      <c r="AM295" s="110"/>
      <c r="AN295" s="110"/>
      <c r="AO295" s="110"/>
      <c r="AP295" s="110"/>
      <c r="AQ295" s="110"/>
      <c r="AR295" s="110"/>
      <c r="AS295" s="110"/>
      <c r="AT295" s="110"/>
      <c r="AU295" s="110"/>
      <c r="AV295" s="110"/>
      <c r="AW295" s="110"/>
      <c r="AX295" s="110"/>
      <c r="AY295" s="110"/>
      <c r="AZ295" s="110"/>
      <c r="BA295" s="110"/>
      <c r="BB295" s="110"/>
      <c r="BC295" s="110"/>
      <c r="BD295" s="110"/>
      <c r="BE295" s="110"/>
      <c r="BF295" s="110"/>
      <c r="BG295" s="110"/>
      <c r="BH295" s="110"/>
      <c r="BI295" s="110"/>
      <c r="BJ295" s="110"/>
      <c r="BK295" s="110"/>
      <c r="BL295" s="110"/>
      <c r="BM295" s="110"/>
      <c r="BN295" s="110"/>
      <c r="BO295" s="110"/>
      <c r="BP295" s="110"/>
      <c r="BQ295" s="110"/>
      <c r="BR295" s="110"/>
      <c r="BS295" s="110"/>
      <c r="BT295" s="110"/>
      <c r="BU295" s="110"/>
      <c r="BV295" s="110"/>
      <c r="BW295" s="110"/>
      <c r="BX295" s="110"/>
      <c r="BY295" s="110"/>
      <c r="BZ295" s="110"/>
      <c r="CA295" s="110"/>
      <c r="CB295" s="110"/>
      <c r="CC295" s="110"/>
      <c r="CD295" s="110"/>
      <c r="CE295" s="110"/>
      <c r="CF295" s="110"/>
    </row>
    <row r="296" spans="1:84" s="45" customFormat="1" x14ac:dyDescent="0.25">
      <c r="A296" t="str">
        <f>Funktional!A295</f>
        <v>Sirnach</v>
      </c>
      <c r="B296" t="str">
        <f>Funktional!B295</f>
        <v>OSG</v>
      </c>
      <c r="C296" s="367"/>
      <c r="D296" s="367"/>
      <c r="E296" s="367"/>
      <c r="F296" s="119">
        <f t="shared" ref="F296:F301" si="110">D296+E296</f>
        <v>0</v>
      </c>
      <c r="G296" s="43"/>
      <c r="H296" s="119">
        <f t="shared" ref="H296:H301" si="111">C296+F296</f>
        <v>0</v>
      </c>
      <c r="I296" s="377"/>
      <c r="J296" s="124" t="e">
        <f t="shared" ref="J296:J301" si="112">C296/H296</f>
        <v>#DIV/0!</v>
      </c>
      <c r="K296" s="42" t="e">
        <f t="shared" ref="K296:K301" si="113">F296/H296</f>
        <v>#DIV/0!</v>
      </c>
      <c r="L296" s="372">
        <v>1</v>
      </c>
      <c r="M296" s="42"/>
      <c r="N296" s="43"/>
      <c r="O296" s="44"/>
      <c r="P296" s="80"/>
      <c r="Q296" s="43"/>
      <c r="R296" s="43"/>
      <c r="S296" s="43"/>
      <c r="T296" s="43"/>
      <c r="U296" s="43"/>
      <c r="V296" s="43"/>
      <c r="W296" s="43"/>
      <c r="X296" s="43"/>
      <c r="Y296" s="110"/>
      <c r="Z296" s="110"/>
      <c r="AA296" s="110"/>
      <c r="AB296" s="110"/>
      <c r="AC296" s="110"/>
      <c r="AD296" s="110"/>
      <c r="AE296" s="110"/>
      <c r="AF296" s="110"/>
      <c r="AG296" s="110"/>
      <c r="AH296" s="110"/>
      <c r="AI296" s="110"/>
      <c r="AJ296" s="110"/>
      <c r="AK296" s="110"/>
      <c r="AL296" s="110"/>
      <c r="AM296" s="110"/>
      <c r="AN296" s="110"/>
      <c r="AO296" s="110"/>
      <c r="AP296" s="110"/>
      <c r="AQ296" s="110"/>
      <c r="AR296" s="110"/>
      <c r="AS296" s="110"/>
      <c r="AT296" s="110"/>
      <c r="AU296" s="110"/>
      <c r="AV296" s="110"/>
      <c r="AW296" s="110"/>
      <c r="AX296" s="110"/>
      <c r="AY296" s="110"/>
      <c r="AZ296" s="110"/>
      <c r="BA296" s="110"/>
      <c r="BB296" s="110"/>
      <c r="BC296" s="110"/>
      <c r="BD296" s="110"/>
      <c r="BE296" s="110"/>
      <c r="BF296" s="110"/>
      <c r="BG296" s="110"/>
      <c r="BH296" s="110"/>
      <c r="BI296" s="110"/>
      <c r="BJ296" s="110"/>
      <c r="BK296" s="110"/>
      <c r="BL296" s="110"/>
      <c r="BM296" s="110"/>
      <c r="BN296" s="110"/>
      <c r="BO296" s="110"/>
      <c r="BP296" s="110"/>
      <c r="BQ296" s="110"/>
      <c r="BR296" s="110"/>
      <c r="BS296" s="110"/>
      <c r="BT296" s="110"/>
      <c r="BU296" s="110"/>
      <c r="BV296" s="110"/>
      <c r="BW296" s="110"/>
      <c r="BX296" s="110"/>
      <c r="BY296" s="110"/>
      <c r="BZ296" s="110"/>
      <c r="CA296" s="110"/>
      <c r="CB296" s="110"/>
      <c r="CC296" s="110"/>
      <c r="CD296" s="110"/>
      <c r="CE296" s="110"/>
      <c r="CF296" s="110"/>
    </row>
    <row r="297" spans="1:84" s="45" customFormat="1" x14ac:dyDescent="0.25">
      <c r="A297" t="str">
        <f>Funktional!A296</f>
        <v>Steckborn</v>
      </c>
      <c r="B297" t="str">
        <f>Funktional!B296</f>
        <v>OSG</v>
      </c>
      <c r="C297" s="367"/>
      <c r="D297" s="367"/>
      <c r="E297" s="367"/>
      <c r="F297" s="119">
        <f t="shared" si="110"/>
        <v>0</v>
      </c>
      <c r="G297" s="43"/>
      <c r="H297" s="119">
        <f t="shared" si="111"/>
        <v>0</v>
      </c>
      <c r="I297" s="377"/>
      <c r="J297" s="124" t="e">
        <f t="shared" si="112"/>
        <v>#DIV/0!</v>
      </c>
      <c r="K297" s="42" t="e">
        <f t="shared" si="113"/>
        <v>#DIV/0!</v>
      </c>
      <c r="L297" s="372">
        <v>1</v>
      </c>
      <c r="M297" s="42"/>
      <c r="N297" s="43"/>
      <c r="O297" s="44"/>
      <c r="P297" s="80"/>
      <c r="Q297" s="43"/>
      <c r="R297" s="43"/>
      <c r="S297" s="43"/>
      <c r="T297" s="43"/>
      <c r="U297" s="43"/>
      <c r="V297" s="43"/>
      <c r="W297" s="43"/>
      <c r="X297" s="43"/>
      <c r="Y297" s="110"/>
      <c r="Z297" s="110"/>
      <c r="AA297" s="110"/>
      <c r="AB297" s="110"/>
      <c r="AC297" s="110"/>
      <c r="AD297" s="110"/>
      <c r="AE297" s="110"/>
      <c r="AF297" s="110"/>
      <c r="AG297" s="110"/>
      <c r="AH297" s="110"/>
      <c r="AI297" s="110"/>
      <c r="AJ297" s="110"/>
      <c r="AK297" s="110"/>
      <c r="AL297" s="110"/>
      <c r="AM297" s="110"/>
      <c r="AN297" s="110"/>
      <c r="AO297" s="110"/>
      <c r="AP297" s="110"/>
      <c r="AQ297" s="110"/>
      <c r="AR297" s="110"/>
      <c r="AS297" s="110"/>
      <c r="AT297" s="110"/>
      <c r="AU297" s="110"/>
      <c r="AV297" s="110"/>
      <c r="AW297" s="110"/>
      <c r="AX297" s="110"/>
      <c r="AY297" s="110"/>
      <c r="AZ297" s="110"/>
      <c r="BA297" s="110"/>
      <c r="BB297" s="110"/>
      <c r="BC297" s="110"/>
      <c r="BD297" s="110"/>
      <c r="BE297" s="110"/>
      <c r="BF297" s="110"/>
      <c r="BG297" s="110"/>
      <c r="BH297" s="110"/>
      <c r="BI297" s="110"/>
      <c r="BJ297" s="110"/>
      <c r="BK297" s="110"/>
      <c r="BL297" s="110"/>
      <c r="BM297" s="110"/>
      <c r="BN297" s="110"/>
      <c r="BO297" s="110"/>
      <c r="BP297" s="110"/>
      <c r="BQ297" s="110"/>
      <c r="BR297" s="110"/>
      <c r="BS297" s="110"/>
      <c r="BT297" s="110"/>
      <c r="BU297" s="110"/>
      <c r="BV297" s="110"/>
      <c r="BW297" s="110"/>
      <c r="BX297" s="110"/>
      <c r="BY297" s="110"/>
      <c r="BZ297" s="110"/>
      <c r="CA297" s="110"/>
      <c r="CB297" s="110"/>
      <c r="CC297" s="110"/>
      <c r="CD297" s="110"/>
      <c r="CE297" s="110"/>
      <c r="CF297" s="110"/>
    </row>
    <row r="298" spans="1:84" s="45" customFormat="1" x14ac:dyDescent="0.25">
      <c r="A298" t="str">
        <f>Funktional!A297</f>
        <v>Sulgen-Schönenberg-Kradolf</v>
      </c>
      <c r="B298" t="str">
        <f>Funktional!B297</f>
        <v>OSG</v>
      </c>
      <c r="C298" s="367"/>
      <c r="D298" s="367"/>
      <c r="E298" s="367"/>
      <c r="F298" s="119">
        <f t="shared" si="110"/>
        <v>0</v>
      </c>
      <c r="G298" s="43"/>
      <c r="H298" s="119">
        <f t="shared" si="111"/>
        <v>0</v>
      </c>
      <c r="I298" s="377"/>
      <c r="J298" s="124" t="e">
        <f t="shared" si="112"/>
        <v>#DIV/0!</v>
      </c>
      <c r="K298" s="42" t="e">
        <f t="shared" si="113"/>
        <v>#DIV/0!</v>
      </c>
      <c r="L298" s="372">
        <v>1</v>
      </c>
      <c r="M298" s="42"/>
      <c r="N298" s="43"/>
      <c r="O298" s="44"/>
      <c r="P298" s="80"/>
      <c r="Q298" s="43"/>
      <c r="R298" s="43"/>
      <c r="S298" s="43"/>
      <c r="T298" s="43"/>
      <c r="U298" s="43"/>
      <c r="V298" s="43"/>
      <c r="W298" s="43"/>
      <c r="X298" s="43"/>
      <c r="Y298" s="110"/>
      <c r="Z298" s="110"/>
      <c r="AA298" s="110"/>
      <c r="AB298" s="110"/>
      <c r="AC298" s="110"/>
      <c r="AD298" s="110"/>
      <c r="AE298" s="110"/>
      <c r="AF298" s="110"/>
      <c r="AG298" s="110"/>
      <c r="AH298" s="110"/>
      <c r="AI298" s="110"/>
      <c r="AJ298" s="110"/>
      <c r="AK298" s="110"/>
      <c r="AL298" s="110"/>
      <c r="AM298" s="110"/>
      <c r="AN298" s="110"/>
      <c r="AO298" s="110"/>
      <c r="AP298" s="110"/>
      <c r="AQ298" s="110"/>
      <c r="AR298" s="110"/>
      <c r="AS298" s="110"/>
      <c r="AT298" s="110"/>
      <c r="AU298" s="110"/>
      <c r="AV298" s="110"/>
      <c r="AW298" s="110"/>
      <c r="AX298" s="110"/>
      <c r="AY298" s="110"/>
      <c r="AZ298" s="110"/>
      <c r="BA298" s="110"/>
      <c r="BB298" s="110"/>
      <c r="BC298" s="110"/>
      <c r="BD298" s="110"/>
      <c r="BE298" s="110"/>
      <c r="BF298" s="110"/>
      <c r="BG298" s="110"/>
      <c r="BH298" s="110"/>
      <c r="BI298" s="110"/>
      <c r="BJ298" s="110"/>
      <c r="BK298" s="110"/>
      <c r="BL298" s="110"/>
      <c r="BM298" s="110"/>
      <c r="BN298" s="110"/>
      <c r="BO298" s="110"/>
      <c r="BP298" s="110"/>
      <c r="BQ298" s="110"/>
      <c r="BR298" s="110"/>
      <c r="BS298" s="110"/>
      <c r="BT298" s="110"/>
      <c r="BU298" s="110"/>
      <c r="BV298" s="110"/>
      <c r="BW298" s="110"/>
      <c r="BX298" s="110"/>
      <c r="BY298" s="110"/>
      <c r="BZ298" s="110"/>
      <c r="CA298" s="110"/>
      <c r="CB298" s="110"/>
      <c r="CC298" s="110"/>
      <c r="CD298" s="110"/>
      <c r="CE298" s="110"/>
      <c r="CF298" s="110"/>
    </row>
    <row r="299" spans="1:84" s="45" customFormat="1" x14ac:dyDescent="0.25">
      <c r="A299" t="str">
        <f>Funktional!A298</f>
        <v>Tägerwilen</v>
      </c>
      <c r="B299" t="str">
        <f>Funktional!B298</f>
        <v>OSG</v>
      </c>
      <c r="C299" s="367"/>
      <c r="D299" s="367"/>
      <c r="E299" s="367"/>
      <c r="F299" s="119">
        <f t="shared" si="110"/>
        <v>0</v>
      </c>
      <c r="G299" s="43"/>
      <c r="H299" s="119">
        <f t="shared" si="111"/>
        <v>0</v>
      </c>
      <c r="I299" s="377"/>
      <c r="J299" s="124" t="e">
        <f t="shared" si="112"/>
        <v>#DIV/0!</v>
      </c>
      <c r="K299" s="42" t="e">
        <f t="shared" si="113"/>
        <v>#DIV/0!</v>
      </c>
      <c r="L299" s="372">
        <v>1</v>
      </c>
      <c r="M299" s="42"/>
      <c r="N299" s="43"/>
      <c r="O299" s="44"/>
      <c r="P299" s="80"/>
      <c r="Q299" s="43"/>
      <c r="R299" s="43"/>
      <c r="S299" s="43"/>
      <c r="T299" s="43"/>
      <c r="U299" s="43"/>
      <c r="V299" s="43"/>
      <c r="W299" s="43"/>
      <c r="X299" s="43"/>
      <c r="Y299" s="110"/>
      <c r="Z299" s="110"/>
      <c r="AA299" s="110"/>
      <c r="AB299" s="110"/>
      <c r="AC299" s="110"/>
      <c r="AD299" s="110"/>
      <c r="AE299" s="110"/>
      <c r="AF299" s="110"/>
      <c r="AG299" s="110"/>
      <c r="AH299" s="110"/>
      <c r="AI299" s="110"/>
      <c r="AJ299" s="110"/>
      <c r="AK299" s="110"/>
      <c r="AL299" s="110"/>
      <c r="AM299" s="110"/>
      <c r="AN299" s="110"/>
      <c r="AO299" s="110"/>
      <c r="AP299" s="110"/>
      <c r="AQ299" s="110"/>
      <c r="AR299" s="110"/>
      <c r="AS299" s="110"/>
      <c r="AT299" s="110"/>
      <c r="AU299" s="110"/>
      <c r="AV299" s="110"/>
      <c r="AW299" s="110"/>
      <c r="AX299" s="110"/>
      <c r="AY299" s="110"/>
      <c r="AZ299" s="110"/>
      <c r="BA299" s="110"/>
      <c r="BB299" s="110"/>
      <c r="BC299" s="110"/>
      <c r="BD299" s="110"/>
      <c r="BE299" s="110"/>
      <c r="BF299" s="110"/>
      <c r="BG299" s="110"/>
      <c r="BH299" s="110"/>
      <c r="BI299" s="110"/>
      <c r="BJ299" s="110"/>
      <c r="BK299" s="110"/>
      <c r="BL299" s="110"/>
      <c r="BM299" s="110"/>
      <c r="BN299" s="110"/>
      <c r="BO299" s="110"/>
      <c r="BP299" s="110"/>
      <c r="BQ299" s="110"/>
      <c r="BR299" s="110"/>
      <c r="BS299" s="110"/>
      <c r="BT299" s="110"/>
      <c r="BU299" s="110"/>
      <c r="BV299" s="110"/>
      <c r="BW299" s="110"/>
      <c r="BX299" s="110"/>
      <c r="BY299" s="110"/>
      <c r="BZ299" s="110"/>
      <c r="CA299" s="110"/>
      <c r="CB299" s="110"/>
      <c r="CC299" s="110"/>
      <c r="CD299" s="110"/>
      <c r="CE299" s="110"/>
      <c r="CF299" s="110"/>
    </row>
    <row r="300" spans="1:84" s="45" customFormat="1" x14ac:dyDescent="0.25">
      <c r="A300" t="str">
        <f>Funktional!A299</f>
        <v>Weinfelden</v>
      </c>
      <c r="B300" t="str">
        <f>Funktional!B299</f>
        <v>OSG</v>
      </c>
      <c r="C300" s="367"/>
      <c r="D300" s="367"/>
      <c r="E300" s="367"/>
      <c r="F300" s="119">
        <f t="shared" si="110"/>
        <v>0</v>
      </c>
      <c r="G300" s="43"/>
      <c r="H300" s="119">
        <f t="shared" si="111"/>
        <v>0</v>
      </c>
      <c r="I300" s="377"/>
      <c r="J300" s="124" t="e">
        <f t="shared" si="112"/>
        <v>#DIV/0!</v>
      </c>
      <c r="K300" s="42" t="e">
        <f t="shared" si="113"/>
        <v>#DIV/0!</v>
      </c>
      <c r="L300" s="372">
        <v>1</v>
      </c>
      <c r="M300" s="42"/>
      <c r="N300" s="43"/>
      <c r="O300" s="44"/>
      <c r="P300" s="80"/>
      <c r="Q300" s="43"/>
      <c r="R300" s="43"/>
      <c r="S300" s="43"/>
      <c r="T300" s="43"/>
      <c r="U300" s="43"/>
      <c r="V300" s="43"/>
      <c r="W300" s="43"/>
      <c r="X300" s="43"/>
      <c r="Y300" s="110"/>
      <c r="Z300" s="110"/>
      <c r="AA300" s="110"/>
      <c r="AB300" s="110"/>
      <c r="AC300" s="110"/>
      <c r="AD300" s="110"/>
      <c r="AE300" s="110"/>
      <c r="AF300" s="110"/>
      <c r="AG300" s="110"/>
      <c r="AH300" s="110"/>
      <c r="AI300" s="110"/>
      <c r="AJ300" s="110"/>
      <c r="AK300" s="110"/>
      <c r="AL300" s="110"/>
      <c r="AM300" s="110"/>
      <c r="AN300" s="110"/>
      <c r="AO300" s="110"/>
      <c r="AP300" s="110"/>
      <c r="AQ300" s="110"/>
      <c r="AR300" s="110"/>
      <c r="AS300" s="110"/>
      <c r="AT300" s="110"/>
      <c r="AU300" s="110"/>
      <c r="AV300" s="110"/>
      <c r="AW300" s="110"/>
      <c r="AX300" s="110"/>
      <c r="AY300" s="110"/>
      <c r="AZ300" s="110"/>
      <c r="BA300" s="110"/>
      <c r="BB300" s="110"/>
      <c r="BC300" s="110"/>
      <c r="BD300" s="110"/>
      <c r="BE300" s="110"/>
      <c r="BF300" s="110"/>
      <c r="BG300" s="110"/>
      <c r="BH300" s="110"/>
      <c r="BI300" s="110"/>
      <c r="BJ300" s="110"/>
      <c r="BK300" s="110"/>
      <c r="BL300" s="110"/>
      <c r="BM300" s="110"/>
      <c r="BN300" s="110"/>
      <c r="BO300" s="110"/>
      <c r="BP300" s="110"/>
      <c r="BQ300" s="110"/>
      <c r="BR300" s="110"/>
      <c r="BS300" s="110"/>
      <c r="BT300" s="110"/>
      <c r="BU300" s="110"/>
      <c r="BV300" s="110"/>
      <c r="BW300" s="110"/>
      <c r="BX300" s="110"/>
      <c r="BY300" s="110"/>
      <c r="BZ300" s="110"/>
      <c r="CA300" s="110"/>
      <c r="CB300" s="110"/>
      <c r="CC300" s="110"/>
      <c r="CD300" s="110"/>
      <c r="CE300" s="110"/>
      <c r="CF300" s="110"/>
    </row>
    <row r="301" spans="1:84" s="45" customFormat="1" x14ac:dyDescent="0.25">
      <c r="A301" t="str">
        <f>Funktional!A300</f>
        <v>Wigoltingen</v>
      </c>
      <c r="B301" t="str">
        <f>Funktional!B300</f>
        <v>OSG</v>
      </c>
      <c r="C301" s="367"/>
      <c r="D301" s="367"/>
      <c r="E301" s="367"/>
      <c r="F301" s="119">
        <f t="shared" si="110"/>
        <v>0</v>
      </c>
      <c r="G301" s="43"/>
      <c r="H301" s="119">
        <f t="shared" si="111"/>
        <v>0</v>
      </c>
      <c r="I301" s="377"/>
      <c r="J301" s="124" t="e">
        <f t="shared" si="112"/>
        <v>#DIV/0!</v>
      </c>
      <c r="K301" s="42" t="e">
        <f t="shared" si="113"/>
        <v>#DIV/0!</v>
      </c>
      <c r="L301" s="372">
        <v>1</v>
      </c>
      <c r="M301" s="42"/>
      <c r="N301" s="43"/>
      <c r="O301" s="44"/>
      <c r="P301" s="80"/>
      <c r="Q301" s="43"/>
      <c r="R301" s="43"/>
      <c r="S301" s="43"/>
      <c r="T301" s="43"/>
      <c r="U301" s="43"/>
      <c r="V301" s="43"/>
      <c r="W301" s="43"/>
      <c r="X301" s="43"/>
      <c r="Y301" s="110"/>
      <c r="Z301" s="110"/>
      <c r="AA301" s="110"/>
      <c r="AB301" s="110"/>
      <c r="AC301" s="110"/>
      <c r="AD301" s="110"/>
      <c r="AE301" s="110"/>
      <c r="AF301" s="110"/>
      <c r="AG301" s="110"/>
      <c r="AH301" s="110"/>
      <c r="AI301" s="110"/>
      <c r="AJ301" s="110"/>
      <c r="AK301" s="110"/>
      <c r="AL301" s="110"/>
      <c r="AM301" s="110"/>
      <c r="AN301" s="110"/>
      <c r="AO301" s="110"/>
      <c r="AP301" s="110"/>
      <c r="AQ301" s="110"/>
      <c r="AR301" s="110"/>
      <c r="AS301" s="110"/>
      <c r="AT301" s="110"/>
      <c r="AU301" s="110"/>
      <c r="AV301" s="110"/>
      <c r="AW301" s="110"/>
      <c r="AX301" s="110"/>
      <c r="AY301" s="110"/>
      <c r="AZ301" s="110"/>
      <c r="BA301" s="110"/>
      <c r="BB301" s="110"/>
      <c r="BC301" s="110"/>
      <c r="BD301" s="110"/>
      <c r="BE301" s="110"/>
      <c r="BF301" s="110"/>
      <c r="BG301" s="110"/>
      <c r="BH301" s="110"/>
      <c r="BI301" s="110"/>
      <c r="BJ301" s="110"/>
      <c r="BK301" s="110"/>
      <c r="BL301" s="110"/>
      <c r="BM301" s="110"/>
      <c r="BN301" s="110"/>
      <c r="BO301" s="110"/>
      <c r="BP301" s="110"/>
      <c r="BQ301" s="110"/>
      <c r="BR301" s="110"/>
      <c r="BS301" s="110"/>
      <c r="BT301" s="110"/>
      <c r="BU301" s="110"/>
      <c r="BV301" s="110"/>
      <c r="BW301" s="110"/>
      <c r="BX301" s="110"/>
      <c r="BY301" s="110"/>
      <c r="BZ301" s="110"/>
      <c r="CA301" s="110"/>
      <c r="CB301" s="110"/>
      <c r="CC301" s="110"/>
      <c r="CD301" s="110"/>
      <c r="CE301" s="110"/>
      <c r="CF301" s="110"/>
    </row>
    <row r="302" spans="1:84" ht="51.6" customHeight="1" x14ac:dyDescent="0.25">
      <c r="A302" s="2"/>
      <c r="B302" s="2"/>
      <c r="K302" s="25"/>
      <c r="O302" s="10"/>
      <c r="P302" s="81"/>
    </row>
    <row r="303" spans="1:84" x14ac:dyDescent="0.25">
      <c r="A303" s="5" t="s">
        <v>28</v>
      </c>
      <c r="K303" s="25"/>
      <c r="O303" s="10"/>
      <c r="P303" s="81"/>
    </row>
    <row r="304" spans="1:84" s="45" customFormat="1" x14ac:dyDescent="0.25">
      <c r="A304" s="45" t="s">
        <v>29</v>
      </c>
      <c r="C304" s="340"/>
      <c r="D304" s="340"/>
      <c r="E304" s="340"/>
      <c r="F304" s="119"/>
      <c r="G304" s="43"/>
      <c r="H304" s="119"/>
      <c r="I304" s="377"/>
      <c r="J304" s="124"/>
      <c r="K304" s="42"/>
      <c r="L304" s="372"/>
      <c r="M304" s="42"/>
      <c r="N304" s="43"/>
      <c r="O304" s="44"/>
      <c r="P304" s="80"/>
      <c r="Q304" s="80"/>
      <c r="R304" s="80"/>
      <c r="S304" s="80"/>
      <c r="T304" s="80"/>
      <c r="U304" s="80"/>
      <c r="V304" s="80"/>
      <c r="W304" s="80"/>
      <c r="X304" s="80"/>
      <c r="Y304" s="110"/>
      <c r="Z304" s="110"/>
      <c r="AA304" s="110"/>
      <c r="AB304" s="110"/>
      <c r="AC304" s="110"/>
      <c r="AD304" s="110"/>
      <c r="AE304" s="110"/>
      <c r="AF304" s="110"/>
      <c r="AG304" s="110"/>
      <c r="AH304" s="110"/>
      <c r="AI304" s="110"/>
      <c r="AJ304" s="110"/>
      <c r="AK304" s="110"/>
      <c r="AL304" s="110"/>
      <c r="AM304" s="110"/>
      <c r="AN304" s="110"/>
      <c r="AO304" s="110"/>
      <c r="AP304" s="110"/>
      <c r="AQ304" s="110"/>
      <c r="AR304" s="110"/>
      <c r="AS304" s="110"/>
      <c r="AT304" s="110"/>
      <c r="AU304" s="110"/>
      <c r="AV304" s="110"/>
      <c r="AW304" s="110"/>
      <c r="AX304" s="110"/>
      <c r="AY304" s="110"/>
      <c r="AZ304" s="110"/>
      <c r="BA304" s="110"/>
      <c r="BB304" s="110"/>
      <c r="BC304" s="110"/>
      <c r="BD304" s="110"/>
      <c r="BE304" s="110"/>
      <c r="BF304" s="110"/>
      <c r="BG304" s="110"/>
      <c r="BH304" s="110"/>
      <c r="BI304" s="110"/>
      <c r="BJ304" s="110"/>
      <c r="BK304" s="110"/>
      <c r="BL304" s="110"/>
      <c r="BM304" s="110"/>
      <c r="BN304" s="110"/>
      <c r="BO304" s="110"/>
      <c r="BP304" s="110"/>
      <c r="BQ304" s="110"/>
      <c r="BR304" s="110"/>
      <c r="BS304" s="110"/>
      <c r="BT304" s="110"/>
      <c r="BU304" s="110"/>
      <c r="BV304" s="110"/>
      <c r="BW304" s="110"/>
      <c r="BX304" s="110"/>
      <c r="BY304" s="110"/>
      <c r="BZ304" s="110"/>
      <c r="CA304" s="110"/>
      <c r="CB304" s="110"/>
      <c r="CC304" s="110"/>
      <c r="CD304" s="110"/>
      <c r="CE304" s="110"/>
      <c r="CF304" s="110"/>
    </row>
    <row r="305" spans="1:84" s="45" customFormat="1" x14ac:dyDescent="0.25">
      <c r="A305" s="45" t="s">
        <v>30</v>
      </c>
      <c r="C305" s="340"/>
      <c r="D305" s="340"/>
      <c r="E305" s="340"/>
      <c r="F305" s="119"/>
      <c r="G305" s="43"/>
      <c r="H305" s="119"/>
      <c r="I305" s="377"/>
      <c r="J305" s="124"/>
      <c r="K305" s="42"/>
      <c r="L305" s="372"/>
      <c r="M305" s="42"/>
      <c r="N305" s="43"/>
      <c r="O305" s="44"/>
      <c r="P305" s="80"/>
      <c r="Q305" s="43"/>
      <c r="R305" s="43"/>
      <c r="S305" s="43"/>
      <c r="T305" s="43"/>
      <c r="U305" s="43"/>
      <c r="V305" s="43"/>
      <c r="W305" s="43"/>
      <c r="X305" s="43"/>
      <c r="Y305" s="110"/>
      <c r="Z305" s="110"/>
      <c r="AA305" s="110"/>
      <c r="AB305" s="110"/>
      <c r="AC305" s="110"/>
      <c r="AD305" s="110"/>
      <c r="AE305" s="110"/>
      <c r="AF305" s="110"/>
      <c r="AG305" s="110"/>
      <c r="AH305" s="110"/>
      <c r="AI305" s="110"/>
      <c r="AJ305" s="110"/>
      <c r="AK305" s="110"/>
      <c r="AL305" s="110"/>
      <c r="AM305" s="110"/>
      <c r="AN305" s="110"/>
      <c r="AO305" s="110"/>
      <c r="AP305" s="110"/>
      <c r="AQ305" s="110"/>
      <c r="AR305" s="110"/>
      <c r="AS305" s="110"/>
      <c r="AT305" s="110"/>
      <c r="AU305" s="110"/>
      <c r="AV305" s="110"/>
      <c r="AW305" s="110"/>
      <c r="AX305" s="110"/>
      <c r="AY305" s="110"/>
      <c r="AZ305" s="110"/>
      <c r="BA305" s="110"/>
      <c r="BB305" s="110"/>
      <c r="BC305" s="110"/>
      <c r="BD305" s="110"/>
      <c r="BE305" s="110"/>
      <c r="BF305" s="110"/>
      <c r="BG305" s="110"/>
      <c r="BH305" s="110"/>
      <c r="BI305" s="110"/>
      <c r="BJ305" s="110"/>
      <c r="BK305" s="110"/>
      <c r="BL305" s="110"/>
      <c r="BM305" s="110"/>
      <c r="BN305" s="110"/>
      <c r="BO305" s="110"/>
      <c r="BP305" s="110"/>
      <c r="BQ305" s="110"/>
      <c r="BR305" s="110"/>
      <c r="BS305" s="110"/>
      <c r="BT305" s="110"/>
      <c r="BU305" s="110"/>
      <c r="BV305" s="110"/>
      <c r="BW305" s="110"/>
      <c r="BX305" s="110"/>
      <c r="BY305" s="110"/>
      <c r="BZ305" s="110"/>
      <c r="CA305" s="110"/>
      <c r="CB305" s="110"/>
      <c r="CC305" s="110"/>
      <c r="CD305" s="110"/>
      <c r="CE305" s="110"/>
      <c r="CF305" s="110"/>
    </row>
    <row r="306" spans="1:84" s="45" customFormat="1" x14ac:dyDescent="0.25">
      <c r="A306" s="45" t="s">
        <v>31</v>
      </c>
      <c r="C306" s="340"/>
      <c r="D306" s="340"/>
      <c r="E306" s="340"/>
      <c r="F306" s="119"/>
      <c r="G306" s="43"/>
      <c r="H306" s="119"/>
      <c r="I306" s="377"/>
      <c r="J306" s="124"/>
      <c r="K306" s="42"/>
      <c r="L306" s="372"/>
      <c r="M306" s="42"/>
      <c r="N306" s="43"/>
      <c r="O306" s="44"/>
      <c r="P306" s="80"/>
      <c r="Q306" s="43"/>
      <c r="R306" s="43"/>
      <c r="S306" s="43"/>
      <c r="T306" s="43"/>
      <c r="U306" s="43"/>
      <c r="V306" s="43"/>
      <c r="W306" s="43"/>
      <c r="X306" s="43"/>
      <c r="Y306" s="110"/>
      <c r="Z306" s="110"/>
      <c r="AA306" s="110"/>
      <c r="AB306" s="110"/>
      <c r="AC306" s="110"/>
      <c r="AD306" s="110"/>
      <c r="AE306" s="110"/>
      <c r="AF306" s="110"/>
      <c r="AG306" s="110"/>
      <c r="AH306" s="110"/>
      <c r="AI306" s="110"/>
      <c r="AJ306" s="110"/>
      <c r="AK306" s="110"/>
      <c r="AL306" s="110"/>
      <c r="AM306" s="110"/>
      <c r="AN306" s="110"/>
      <c r="AO306" s="110"/>
      <c r="AP306" s="110"/>
      <c r="AQ306" s="110"/>
      <c r="AR306" s="110"/>
      <c r="AS306" s="110"/>
      <c r="AT306" s="110"/>
      <c r="AU306" s="110"/>
      <c r="AV306" s="110"/>
      <c r="AW306" s="110"/>
      <c r="AX306" s="110"/>
      <c r="AY306" s="110"/>
      <c r="AZ306" s="110"/>
      <c r="BA306" s="110"/>
      <c r="BB306" s="110"/>
      <c r="BC306" s="110"/>
      <c r="BD306" s="110"/>
      <c r="BE306" s="110"/>
      <c r="BF306" s="110"/>
      <c r="BG306" s="110"/>
      <c r="BH306" s="110"/>
      <c r="BI306" s="110"/>
      <c r="BJ306" s="110"/>
      <c r="BK306" s="110"/>
      <c r="BL306" s="110"/>
      <c r="BM306" s="110"/>
      <c r="BN306" s="110"/>
      <c r="BO306" s="110"/>
      <c r="BP306" s="110"/>
      <c r="BQ306" s="110"/>
      <c r="BR306" s="110"/>
      <c r="BS306" s="110"/>
      <c r="BT306" s="110"/>
      <c r="BU306" s="110"/>
      <c r="BV306" s="110"/>
      <c r="BW306" s="110"/>
      <c r="BX306" s="110"/>
      <c r="BY306" s="110"/>
      <c r="BZ306" s="110"/>
      <c r="CA306" s="110"/>
      <c r="CB306" s="110"/>
      <c r="CC306" s="110"/>
      <c r="CD306" s="110"/>
      <c r="CE306" s="110"/>
      <c r="CF306" s="110"/>
    </row>
    <row r="307" spans="1:84" s="45" customFormat="1" x14ac:dyDescent="0.25">
      <c r="A307" s="45" t="s">
        <v>32</v>
      </c>
      <c r="C307" s="340"/>
      <c r="D307" s="340"/>
      <c r="E307" s="340"/>
      <c r="F307" s="119"/>
      <c r="G307" s="43"/>
      <c r="H307" s="119"/>
      <c r="I307" s="377"/>
      <c r="J307" s="124"/>
      <c r="K307" s="42"/>
      <c r="L307" s="372"/>
      <c r="M307" s="42"/>
      <c r="N307" s="43"/>
      <c r="O307" s="44"/>
      <c r="P307" s="80"/>
      <c r="Q307" s="43"/>
      <c r="R307" s="43"/>
      <c r="S307" s="43"/>
      <c r="T307" s="43"/>
      <c r="U307" s="43"/>
      <c r="V307" s="43"/>
      <c r="W307" s="43"/>
      <c r="X307" s="43"/>
      <c r="Y307" s="110"/>
      <c r="Z307" s="110"/>
      <c r="AA307" s="110"/>
      <c r="AB307" s="110"/>
      <c r="AC307" s="110"/>
      <c r="AD307" s="110"/>
      <c r="AE307" s="110"/>
      <c r="AF307" s="110"/>
      <c r="AG307" s="110"/>
      <c r="AH307" s="110"/>
      <c r="AI307" s="110"/>
      <c r="AJ307" s="110"/>
      <c r="AK307" s="110"/>
      <c r="AL307" s="110"/>
      <c r="AM307" s="110"/>
      <c r="AN307" s="110"/>
      <c r="AO307" s="110"/>
      <c r="AP307" s="110"/>
      <c r="AQ307" s="110"/>
      <c r="AR307" s="110"/>
      <c r="AS307" s="110"/>
      <c r="AT307" s="110"/>
      <c r="AU307" s="110"/>
      <c r="AV307" s="110"/>
      <c r="AW307" s="110"/>
      <c r="AX307" s="110"/>
      <c r="AY307" s="110"/>
      <c r="AZ307" s="110"/>
      <c r="BA307" s="110"/>
      <c r="BB307" s="110"/>
      <c r="BC307" s="110"/>
      <c r="BD307" s="110"/>
      <c r="BE307" s="110"/>
      <c r="BF307" s="110"/>
      <c r="BG307" s="110"/>
      <c r="BH307" s="110"/>
      <c r="BI307" s="110"/>
      <c r="BJ307" s="110"/>
      <c r="BK307" s="110"/>
      <c r="BL307" s="110"/>
      <c r="BM307" s="110"/>
      <c r="BN307" s="110"/>
      <c r="BO307" s="110"/>
      <c r="BP307" s="110"/>
      <c r="BQ307" s="110"/>
      <c r="BR307" s="110"/>
      <c r="BS307" s="110"/>
      <c r="BT307" s="110"/>
      <c r="BU307" s="110"/>
      <c r="BV307" s="110"/>
      <c r="BW307" s="110"/>
      <c r="BX307" s="110"/>
      <c r="BY307" s="110"/>
      <c r="BZ307" s="110"/>
      <c r="CA307" s="110"/>
      <c r="CB307" s="110"/>
      <c r="CC307" s="110"/>
      <c r="CD307" s="110"/>
      <c r="CE307" s="110"/>
      <c r="CF307" s="110"/>
    </row>
    <row r="308" spans="1:84" x14ac:dyDescent="0.25">
      <c r="O308" s="10"/>
      <c r="P308" s="81"/>
    </row>
    <row r="309" spans="1:84" x14ac:dyDescent="0.25">
      <c r="A309" s="5" t="s">
        <v>33</v>
      </c>
      <c r="O309" s="10"/>
      <c r="P309" s="81"/>
    </row>
    <row r="310" spans="1:84" s="45" customFormat="1" x14ac:dyDescent="0.25">
      <c r="A310" s="45" t="s">
        <v>34</v>
      </c>
      <c r="C310" s="340"/>
      <c r="D310" s="340"/>
      <c r="E310" s="340"/>
      <c r="F310" s="119"/>
      <c r="G310" s="43"/>
      <c r="H310" s="119"/>
      <c r="I310" s="377"/>
      <c r="J310" s="124"/>
      <c r="K310" s="42"/>
      <c r="L310" s="372"/>
      <c r="M310" s="42"/>
      <c r="N310" s="43"/>
      <c r="O310" s="44"/>
      <c r="P310" s="80"/>
      <c r="Q310" s="43"/>
      <c r="R310" s="43"/>
      <c r="S310" s="43"/>
      <c r="T310" s="43"/>
      <c r="U310" s="43"/>
      <c r="V310" s="43"/>
      <c r="W310" s="43"/>
      <c r="X310" s="43"/>
      <c r="Y310" s="110"/>
      <c r="Z310" s="110"/>
      <c r="AA310" s="110"/>
      <c r="AB310" s="110"/>
      <c r="AC310" s="110"/>
      <c r="AD310" s="110"/>
      <c r="AE310" s="110"/>
      <c r="AF310" s="110"/>
      <c r="AG310" s="110"/>
      <c r="AH310" s="110"/>
      <c r="AI310" s="110"/>
      <c r="AJ310" s="110"/>
      <c r="AK310" s="110"/>
      <c r="AL310" s="110"/>
      <c r="AM310" s="110"/>
      <c r="AN310" s="110"/>
      <c r="AO310" s="110"/>
      <c r="AP310" s="110"/>
      <c r="AQ310" s="110"/>
      <c r="AR310" s="110"/>
      <c r="AS310" s="110"/>
      <c r="AT310" s="110"/>
      <c r="AU310" s="110"/>
      <c r="AV310" s="110"/>
      <c r="AW310" s="110"/>
      <c r="AX310" s="110"/>
      <c r="AY310" s="110"/>
      <c r="AZ310" s="110"/>
      <c r="BA310" s="110"/>
      <c r="BB310" s="110"/>
      <c r="BC310" s="110"/>
      <c r="BD310" s="110"/>
      <c r="BE310" s="110"/>
      <c r="BF310" s="110"/>
      <c r="BG310" s="110"/>
      <c r="BH310" s="110"/>
      <c r="BI310" s="110"/>
      <c r="BJ310" s="110"/>
      <c r="BK310" s="110"/>
      <c r="BL310" s="110"/>
      <c r="BM310" s="110"/>
      <c r="BN310" s="110"/>
      <c r="BO310" s="110"/>
      <c r="BP310" s="110"/>
      <c r="BQ310" s="110"/>
      <c r="BR310" s="110"/>
      <c r="BS310" s="110"/>
      <c r="BT310" s="110"/>
      <c r="BU310" s="110"/>
      <c r="BV310" s="110"/>
      <c r="BW310" s="110"/>
      <c r="BX310" s="110"/>
      <c r="BY310" s="110"/>
      <c r="BZ310" s="110"/>
      <c r="CA310" s="110"/>
      <c r="CB310" s="110"/>
      <c r="CC310" s="110"/>
      <c r="CD310" s="110"/>
      <c r="CE310" s="110"/>
      <c r="CF310" s="110"/>
    </row>
    <row r="311" spans="1:84" s="45" customFormat="1" x14ac:dyDescent="0.25">
      <c r="A311" s="45" t="s">
        <v>36</v>
      </c>
      <c r="C311" s="340"/>
      <c r="D311" s="340"/>
      <c r="E311" s="340"/>
      <c r="F311" s="119"/>
      <c r="G311" s="43"/>
      <c r="H311" s="119"/>
      <c r="I311" s="377"/>
      <c r="J311" s="124"/>
      <c r="K311" s="42"/>
      <c r="L311" s="372"/>
      <c r="M311" s="42"/>
      <c r="N311" s="43"/>
      <c r="O311" s="44"/>
      <c r="P311" s="80"/>
      <c r="Q311" s="43"/>
      <c r="R311" s="43"/>
      <c r="S311" s="43"/>
      <c r="T311" s="43"/>
      <c r="U311" s="43"/>
      <c r="V311" s="43"/>
      <c r="W311" s="43"/>
      <c r="X311" s="43"/>
      <c r="Y311" s="110"/>
      <c r="Z311" s="110"/>
      <c r="AA311" s="110"/>
      <c r="AB311" s="110"/>
      <c r="AC311" s="110"/>
      <c r="AD311" s="110"/>
      <c r="AE311" s="110"/>
      <c r="AF311" s="110"/>
      <c r="AG311" s="110"/>
      <c r="AH311" s="110"/>
      <c r="AI311" s="110"/>
      <c r="AJ311" s="110"/>
      <c r="AK311" s="110"/>
      <c r="AL311" s="110"/>
      <c r="AM311" s="110"/>
      <c r="AN311" s="110"/>
      <c r="AO311" s="110"/>
      <c r="AP311" s="110"/>
      <c r="AQ311" s="110"/>
      <c r="AR311" s="110"/>
      <c r="AS311" s="110"/>
      <c r="AT311" s="110"/>
      <c r="AU311" s="110"/>
      <c r="AV311" s="110"/>
      <c r="AW311" s="110"/>
      <c r="AX311" s="110"/>
      <c r="AY311" s="110"/>
      <c r="AZ311" s="110"/>
      <c r="BA311" s="110"/>
      <c r="BB311" s="110"/>
      <c r="BC311" s="110"/>
      <c r="BD311" s="110"/>
      <c r="BE311" s="110"/>
      <c r="BF311" s="110"/>
      <c r="BG311" s="110"/>
      <c r="BH311" s="110"/>
      <c r="BI311" s="110"/>
      <c r="BJ311" s="110"/>
      <c r="BK311" s="110"/>
      <c r="BL311" s="110"/>
      <c r="BM311" s="110"/>
      <c r="BN311" s="110"/>
      <c r="BO311" s="110"/>
      <c r="BP311" s="110"/>
      <c r="BQ311" s="110"/>
      <c r="BR311" s="110"/>
      <c r="BS311" s="110"/>
      <c r="BT311" s="110"/>
      <c r="BU311" s="110"/>
      <c r="BV311" s="110"/>
      <c r="BW311" s="110"/>
      <c r="BX311" s="110"/>
      <c r="BY311" s="110"/>
      <c r="BZ311" s="110"/>
      <c r="CA311" s="110"/>
      <c r="CB311" s="110"/>
      <c r="CC311" s="110"/>
      <c r="CD311" s="110"/>
      <c r="CE311" s="110"/>
      <c r="CF311" s="110"/>
    </row>
    <row r="312" spans="1:84" s="45" customFormat="1" x14ac:dyDescent="0.25">
      <c r="A312" s="45" t="s">
        <v>37</v>
      </c>
      <c r="C312" s="340"/>
      <c r="D312" s="340"/>
      <c r="E312" s="340"/>
      <c r="F312" s="119"/>
      <c r="G312" s="43"/>
      <c r="H312" s="119"/>
      <c r="I312" s="377"/>
      <c r="J312" s="124"/>
      <c r="K312" s="42"/>
      <c r="L312" s="372"/>
      <c r="M312" s="42"/>
      <c r="N312" s="43"/>
      <c r="O312" s="44"/>
      <c r="P312" s="80"/>
      <c r="Q312" s="43"/>
      <c r="R312" s="43"/>
      <c r="S312" s="43"/>
      <c r="T312" s="43"/>
      <c r="U312" s="43"/>
      <c r="V312" s="43"/>
      <c r="W312" s="43"/>
      <c r="X312" s="43"/>
      <c r="Y312" s="110"/>
      <c r="Z312" s="110"/>
      <c r="AA312" s="110"/>
      <c r="AB312" s="110"/>
      <c r="AC312" s="110"/>
      <c r="AD312" s="110"/>
      <c r="AE312" s="110"/>
      <c r="AF312" s="110"/>
      <c r="AG312" s="110"/>
      <c r="AH312" s="110"/>
      <c r="AI312" s="110"/>
      <c r="AJ312" s="110"/>
      <c r="AK312" s="110"/>
      <c r="AL312" s="110"/>
      <c r="AM312" s="110"/>
      <c r="AN312" s="110"/>
      <c r="AO312" s="110"/>
      <c r="AP312" s="110"/>
      <c r="AQ312" s="110"/>
      <c r="AR312" s="110"/>
      <c r="AS312" s="110"/>
      <c r="AT312" s="110"/>
      <c r="AU312" s="110"/>
      <c r="AV312" s="110"/>
      <c r="AW312" s="110"/>
      <c r="AX312" s="110"/>
      <c r="AY312" s="110"/>
      <c r="AZ312" s="110"/>
      <c r="BA312" s="110"/>
      <c r="BB312" s="110"/>
      <c r="BC312" s="110"/>
      <c r="BD312" s="110"/>
      <c r="BE312" s="110"/>
      <c r="BF312" s="110"/>
      <c r="BG312" s="110"/>
      <c r="BH312" s="110"/>
      <c r="BI312" s="110"/>
      <c r="BJ312" s="110"/>
      <c r="BK312" s="110"/>
      <c r="BL312" s="110"/>
      <c r="BM312" s="110"/>
      <c r="BN312" s="110"/>
      <c r="BO312" s="110"/>
      <c r="BP312" s="110"/>
      <c r="BQ312" s="110"/>
      <c r="BR312" s="110"/>
      <c r="BS312" s="110"/>
      <c r="BT312" s="110"/>
      <c r="BU312" s="110"/>
      <c r="BV312" s="110"/>
      <c r="BW312" s="110"/>
      <c r="BX312" s="110"/>
      <c r="BY312" s="110"/>
      <c r="BZ312" s="110"/>
      <c r="CA312" s="110"/>
      <c r="CB312" s="110"/>
      <c r="CC312" s="110"/>
      <c r="CD312" s="110"/>
      <c r="CE312" s="110"/>
      <c r="CF312" s="110"/>
    </row>
    <row r="313" spans="1:84" x14ac:dyDescent="0.25">
      <c r="O313" s="10"/>
      <c r="P313" s="81"/>
    </row>
    <row r="314" spans="1:84" x14ac:dyDescent="0.25">
      <c r="A314" s="5" t="s">
        <v>38</v>
      </c>
      <c r="O314" s="10"/>
      <c r="P314" s="81"/>
    </row>
    <row r="315" spans="1:84" s="45" customFormat="1" x14ac:dyDescent="0.25">
      <c r="A315" s="45" t="s">
        <v>34</v>
      </c>
      <c r="C315" s="340"/>
      <c r="D315" s="340"/>
      <c r="E315" s="340"/>
      <c r="F315" s="119"/>
      <c r="G315" s="43"/>
      <c r="H315" s="119"/>
      <c r="I315" s="377"/>
      <c r="J315" s="124"/>
      <c r="K315" s="42"/>
      <c r="L315" s="372"/>
      <c r="M315" s="42"/>
      <c r="N315" s="43"/>
      <c r="O315" s="44"/>
      <c r="P315" s="80"/>
      <c r="Q315" s="43"/>
      <c r="R315" s="43"/>
      <c r="S315" s="43"/>
      <c r="T315" s="43"/>
      <c r="U315" s="43"/>
      <c r="V315" s="43"/>
      <c r="W315" s="43"/>
      <c r="X315" s="43"/>
      <c r="Y315" s="110"/>
      <c r="Z315" s="110"/>
      <c r="AA315" s="110"/>
      <c r="AB315" s="110"/>
      <c r="AC315" s="110"/>
      <c r="AD315" s="110"/>
      <c r="AE315" s="110"/>
      <c r="AF315" s="110"/>
      <c r="AG315" s="110"/>
      <c r="AH315" s="110"/>
      <c r="AI315" s="110"/>
      <c r="AJ315" s="110"/>
      <c r="AK315" s="110"/>
      <c r="AL315" s="110"/>
      <c r="AM315" s="110"/>
      <c r="AN315" s="110"/>
      <c r="AO315" s="110"/>
      <c r="AP315" s="110"/>
      <c r="AQ315" s="110"/>
      <c r="AR315" s="110"/>
      <c r="AS315" s="110"/>
      <c r="AT315" s="110"/>
      <c r="AU315" s="110"/>
      <c r="AV315" s="110"/>
      <c r="AW315" s="110"/>
      <c r="AX315" s="110"/>
      <c r="AY315" s="110"/>
      <c r="AZ315" s="110"/>
      <c r="BA315" s="110"/>
      <c r="BB315" s="110"/>
      <c r="BC315" s="110"/>
      <c r="BD315" s="110"/>
      <c r="BE315" s="110"/>
      <c r="BF315" s="110"/>
      <c r="BG315" s="110"/>
      <c r="BH315" s="110"/>
      <c r="BI315" s="110"/>
      <c r="BJ315" s="110"/>
      <c r="BK315" s="110"/>
      <c r="BL315" s="110"/>
      <c r="BM315" s="110"/>
      <c r="BN315" s="110"/>
      <c r="BO315" s="110"/>
      <c r="BP315" s="110"/>
      <c r="BQ315" s="110"/>
      <c r="BR315" s="110"/>
      <c r="BS315" s="110"/>
      <c r="BT315" s="110"/>
      <c r="BU315" s="110"/>
      <c r="BV315" s="110"/>
      <c r="BW315" s="110"/>
      <c r="BX315" s="110"/>
      <c r="BY315" s="110"/>
      <c r="BZ315" s="110"/>
      <c r="CA315" s="110"/>
      <c r="CB315" s="110"/>
      <c r="CC315" s="110"/>
      <c r="CD315" s="110"/>
      <c r="CE315" s="110"/>
      <c r="CF315" s="110"/>
    </row>
    <row r="316" spans="1:84" s="45" customFormat="1" x14ac:dyDescent="0.25">
      <c r="A316" s="45" t="s">
        <v>36</v>
      </c>
      <c r="C316" s="340"/>
      <c r="D316" s="340"/>
      <c r="E316" s="340"/>
      <c r="F316" s="119"/>
      <c r="G316" s="43"/>
      <c r="H316" s="119"/>
      <c r="I316" s="377"/>
      <c r="J316" s="124"/>
      <c r="K316" s="42"/>
      <c r="L316" s="372"/>
      <c r="M316" s="42"/>
      <c r="N316" s="43"/>
      <c r="O316" s="44"/>
      <c r="P316" s="80"/>
      <c r="Q316" s="43"/>
      <c r="R316" s="43"/>
      <c r="S316" s="43"/>
      <c r="T316" s="43"/>
      <c r="U316" s="43"/>
      <c r="V316" s="43"/>
      <c r="W316" s="43"/>
      <c r="X316" s="43"/>
      <c r="Y316" s="110"/>
      <c r="Z316" s="110"/>
      <c r="AA316" s="110"/>
      <c r="AB316" s="110"/>
      <c r="AC316" s="110"/>
      <c r="AD316" s="110"/>
      <c r="AE316" s="110"/>
      <c r="AF316" s="110"/>
      <c r="AG316" s="110"/>
      <c r="AH316" s="110"/>
      <c r="AI316" s="110"/>
      <c r="AJ316" s="110"/>
      <c r="AK316" s="110"/>
      <c r="AL316" s="110"/>
      <c r="AM316" s="110"/>
      <c r="AN316" s="110"/>
      <c r="AO316" s="110"/>
      <c r="AP316" s="110"/>
      <c r="AQ316" s="110"/>
      <c r="AR316" s="110"/>
      <c r="AS316" s="110"/>
      <c r="AT316" s="110"/>
      <c r="AU316" s="110"/>
      <c r="AV316" s="110"/>
      <c r="AW316" s="110"/>
      <c r="AX316" s="110"/>
      <c r="AY316" s="110"/>
      <c r="AZ316" s="110"/>
      <c r="BA316" s="110"/>
      <c r="BB316" s="110"/>
      <c r="BC316" s="110"/>
      <c r="BD316" s="110"/>
      <c r="BE316" s="110"/>
      <c r="BF316" s="110"/>
      <c r="BG316" s="110"/>
      <c r="BH316" s="110"/>
      <c r="BI316" s="110"/>
      <c r="BJ316" s="110"/>
      <c r="BK316" s="110"/>
      <c r="BL316" s="110"/>
      <c r="BM316" s="110"/>
      <c r="BN316" s="110"/>
      <c r="BO316" s="110"/>
      <c r="BP316" s="110"/>
      <c r="BQ316" s="110"/>
      <c r="BR316" s="110"/>
      <c r="BS316" s="110"/>
      <c r="BT316" s="110"/>
      <c r="BU316" s="110"/>
      <c r="BV316" s="110"/>
      <c r="BW316" s="110"/>
      <c r="BX316" s="110"/>
      <c r="BY316" s="110"/>
      <c r="BZ316" s="110"/>
      <c r="CA316" s="110"/>
      <c r="CB316" s="110"/>
      <c r="CC316" s="110"/>
      <c r="CD316" s="110"/>
      <c r="CE316" s="110"/>
      <c r="CF316" s="110"/>
    </row>
    <row r="317" spans="1:84" s="45" customFormat="1" x14ac:dyDescent="0.25">
      <c r="A317" s="45" t="s">
        <v>37</v>
      </c>
      <c r="C317" s="340"/>
      <c r="D317" s="340"/>
      <c r="E317" s="340"/>
      <c r="F317" s="119"/>
      <c r="G317" s="43"/>
      <c r="H317" s="119"/>
      <c r="I317" s="377"/>
      <c r="J317" s="124"/>
      <c r="K317" s="42"/>
      <c r="L317" s="372"/>
      <c r="M317" s="42"/>
      <c r="N317" s="43"/>
      <c r="O317" s="44"/>
      <c r="P317" s="80"/>
      <c r="Q317" s="43"/>
      <c r="R317" s="43"/>
      <c r="S317" s="43"/>
      <c r="T317" s="43"/>
      <c r="U317" s="43"/>
      <c r="V317" s="43"/>
      <c r="W317" s="43"/>
      <c r="X317" s="43"/>
      <c r="Y317" s="110"/>
      <c r="Z317" s="110"/>
      <c r="AA317" s="110"/>
      <c r="AB317" s="110"/>
      <c r="AC317" s="110"/>
      <c r="AD317" s="110"/>
      <c r="AE317" s="110"/>
      <c r="AF317" s="110"/>
      <c r="AG317" s="110"/>
      <c r="AH317" s="110"/>
      <c r="AI317" s="110"/>
      <c r="AJ317" s="110"/>
      <c r="AK317" s="110"/>
      <c r="AL317" s="110"/>
      <c r="AM317" s="110"/>
      <c r="AN317" s="110"/>
      <c r="AO317" s="110"/>
      <c r="AP317" s="110"/>
      <c r="AQ317" s="110"/>
      <c r="AR317" s="110"/>
      <c r="AS317" s="110"/>
      <c r="AT317" s="110"/>
      <c r="AU317" s="110"/>
      <c r="AV317" s="110"/>
      <c r="AW317" s="110"/>
      <c r="AX317" s="110"/>
      <c r="AY317" s="110"/>
      <c r="AZ317" s="110"/>
      <c r="BA317" s="110"/>
      <c r="BB317" s="110"/>
      <c r="BC317" s="110"/>
      <c r="BD317" s="110"/>
      <c r="BE317" s="110"/>
      <c r="BF317" s="110"/>
      <c r="BG317" s="110"/>
      <c r="BH317" s="110"/>
      <c r="BI317" s="110"/>
      <c r="BJ317" s="110"/>
      <c r="BK317" s="110"/>
      <c r="BL317" s="110"/>
      <c r="BM317" s="110"/>
      <c r="BN317" s="110"/>
      <c r="BO317" s="110"/>
      <c r="BP317" s="110"/>
      <c r="BQ317" s="110"/>
      <c r="BR317" s="110"/>
      <c r="BS317" s="110"/>
      <c r="BT317" s="110"/>
      <c r="BU317" s="110"/>
      <c r="BV317" s="110"/>
      <c r="BW317" s="110"/>
      <c r="BX317" s="110"/>
      <c r="BY317" s="110"/>
      <c r="BZ317" s="110"/>
      <c r="CA317" s="110"/>
      <c r="CB317" s="110"/>
      <c r="CC317" s="110"/>
      <c r="CD317" s="110"/>
      <c r="CE317" s="110"/>
      <c r="CF317" s="110"/>
    </row>
    <row r="318" spans="1:84" x14ac:dyDescent="0.25">
      <c r="O318" s="10"/>
    </row>
    <row r="319" spans="1:84" x14ac:dyDescent="0.25">
      <c r="A319" s="45" t="s">
        <v>37</v>
      </c>
      <c r="C319" s="340">
        <f t="shared" ref="C319:H319" si="114">MIN(C131:C252)</f>
        <v>0</v>
      </c>
      <c r="D319" s="340">
        <f t="shared" si="114"/>
        <v>29100</v>
      </c>
      <c r="E319" s="337">
        <f t="shared" si="114"/>
        <v>0</v>
      </c>
      <c r="F319" s="115">
        <f t="shared" si="114"/>
        <v>29100</v>
      </c>
      <c r="G319" s="25">
        <f t="shared" si="114"/>
        <v>0</v>
      </c>
      <c r="H319" s="115">
        <f t="shared" si="114"/>
        <v>39220</v>
      </c>
      <c r="J319" s="120">
        <f t="shared" ref="J319:L319" si="115">MIN(J131:J252)</f>
        <v>0</v>
      </c>
      <c r="K319" s="16">
        <f t="shared" si="115"/>
        <v>0.66578039174301462</v>
      </c>
      <c r="L319" s="369">
        <f t="shared" si="115"/>
        <v>0</v>
      </c>
      <c r="M319" s="16">
        <f t="shared" ref="M319:T319" si="116">MIN(M131:M252)</f>
        <v>0</v>
      </c>
      <c r="N319" s="25">
        <f t="shared" si="116"/>
        <v>0</v>
      </c>
      <c r="O319" s="10">
        <f t="shared" si="116"/>
        <v>0</v>
      </c>
      <c r="P319" s="25">
        <f t="shared" si="116"/>
        <v>0</v>
      </c>
      <c r="Q319" s="25">
        <f t="shared" si="116"/>
        <v>0</v>
      </c>
      <c r="R319" s="25">
        <f t="shared" si="116"/>
        <v>0</v>
      </c>
      <c r="S319" s="25">
        <f t="shared" si="116"/>
        <v>0</v>
      </c>
      <c r="T319" s="25">
        <f t="shared" si="116"/>
        <v>0</v>
      </c>
      <c r="U319" s="25">
        <f t="shared" ref="U319:AJ319" si="117">MIN(U131:U252)</f>
        <v>0</v>
      </c>
      <c r="V319" s="25">
        <f t="shared" si="117"/>
        <v>0</v>
      </c>
      <c r="W319" s="25">
        <f t="shared" si="117"/>
        <v>0</v>
      </c>
      <c r="X319" s="25">
        <f t="shared" si="117"/>
        <v>0</v>
      </c>
      <c r="Y319" s="110">
        <f t="shared" si="117"/>
        <v>0</v>
      </c>
      <c r="Z319" s="110">
        <f t="shared" si="117"/>
        <v>0</v>
      </c>
      <c r="AA319" s="110">
        <f t="shared" si="117"/>
        <v>0</v>
      </c>
      <c r="AB319" s="110">
        <f t="shared" si="117"/>
        <v>0</v>
      </c>
      <c r="AC319" s="110">
        <f t="shared" si="117"/>
        <v>0</v>
      </c>
      <c r="AD319" s="110">
        <f t="shared" si="117"/>
        <v>0</v>
      </c>
      <c r="AE319" s="110">
        <f t="shared" si="117"/>
        <v>0</v>
      </c>
      <c r="AF319" s="110">
        <f t="shared" si="117"/>
        <v>0</v>
      </c>
      <c r="AG319" s="110">
        <f t="shared" si="117"/>
        <v>0</v>
      </c>
      <c r="AH319" s="110">
        <f t="shared" si="117"/>
        <v>0</v>
      </c>
      <c r="AI319" s="110">
        <f t="shared" si="117"/>
        <v>0</v>
      </c>
      <c r="AJ319" s="110">
        <f t="shared" si="117"/>
        <v>0</v>
      </c>
      <c r="AK319" s="110">
        <f t="shared" ref="AK319:AU319" si="118">MIN(AK131:AK252)</f>
        <v>0</v>
      </c>
      <c r="AL319" s="110">
        <f t="shared" si="118"/>
        <v>0</v>
      </c>
      <c r="AM319" s="110">
        <f t="shared" si="118"/>
        <v>0</v>
      </c>
      <c r="AN319" s="110">
        <f t="shared" si="118"/>
        <v>0</v>
      </c>
      <c r="AO319" s="110">
        <f t="shared" si="118"/>
        <v>0</v>
      </c>
      <c r="AP319" s="110">
        <f t="shared" si="118"/>
        <v>0</v>
      </c>
      <c r="AQ319" s="110">
        <f t="shared" si="118"/>
        <v>0</v>
      </c>
      <c r="AR319" s="110">
        <f t="shared" si="118"/>
        <v>0</v>
      </c>
      <c r="AS319" s="110">
        <f t="shared" si="118"/>
        <v>0</v>
      </c>
      <c r="AT319" s="110">
        <f t="shared" si="118"/>
        <v>0</v>
      </c>
      <c r="AU319" s="110">
        <f t="shared" si="118"/>
        <v>0</v>
      </c>
    </row>
    <row r="320" spans="1:84" x14ac:dyDescent="0.25">
      <c r="A320" s="45" t="s">
        <v>37</v>
      </c>
      <c r="C320" s="340">
        <f t="shared" ref="C320:H320" si="119">MIN(C266:C272)</f>
        <v>58345.35</v>
      </c>
      <c r="D320" s="340">
        <f t="shared" si="119"/>
        <v>269825.7</v>
      </c>
      <c r="E320" s="337">
        <f t="shared" si="119"/>
        <v>0</v>
      </c>
      <c r="F320" s="115">
        <f t="shared" si="119"/>
        <v>269825.7</v>
      </c>
      <c r="G320" s="25">
        <f t="shared" si="119"/>
        <v>0</v>
      </c>
      <c r="H320" s="115">
        <f t="shared" si="119"/>
        <v>343911.30000000005</v>
      </c>
      <c r="J320" s="120">
        <f t="shared" ref="J320:L320" si="120">MIN(J266:J272)</f>
        <v>0.11830258897746548</v>
      </c>
      <c r="K320" s="16">
        <f t="shared" si="120"/>
        <v>0.78457933775365907</v>
      </c>
      <c r="L320" s="369">
        <f t="shared" si="120"/>
        <v>0.11830258897746548</v>
      </c>
      <c r="M320" s="16">
        <f t="shared" ref="M320:T320" si="121">MIN(M266:M272)</f>
        <v>0</v>
      </c>
      <c r="N320" s="25">
        <f t="shared" si="121"/>
        <v>0</v>
      </c>
      <c r="O320" s="10">
        <f t="shared" si="121"/>
        <v>0</v>
      </c>
      <c r="P320" s="25">
        <f t="shared" si="121"/>
        <v>0</v>
      </c>
      <c r="Q320" s="25">
        <f t="shared" si="121"/>
        <v>0</v>
      </c>
      <c r="R320" s="25">
        <f t="shared" si="121"/>
        <v>0</v>
      </c>
      <c r="S320" s="25">
        <f t="shared" si="121"/>
        <v>0</v>
      </c>
      <c r="T320" s="25">
        <f t="shared" si="121"/>
        <v>0</v>
      </c>
      <c r="U320" s="25">
        <f t="shared" ref="U320:AJ320" si="122">MIN(U266:U272)</f>
        <v>0</v>
      </c>
      <c r="V320" s="25">
        <f t="shared" si="122"/>
        <v>0</v>
      </c>
      <c r="W320" s="25">
        <f t="shared" si="122"/>
        <v>0</v>
      </c>
      <c r="X320" s="25">
        <f t="shared" si="122"/>
        <v>0</v>
      </c>
      <c r="Y320" s="110">
        <f t="shared" si="122"/>
        <v>0</v>
      </c>
      <c r="Z320" s="110">
        <f t="shared" si="122"/>
        <v>0</v>
      </c>
      <c r="AA320" s="110">
        <f t="shared" si="122"/>
        <v>0</v>
      </c>
      <c r="AB320" s="110">
        <f t="shared" si="122"/>
        <v>0</v>
      </c>
      <c r="AC320" s="110">
        <f t="shared" si="122"/>
        <v>0</v>
      </c>
      <c r="AD320" s="110">
        <f t="shared" si="122"/>
        <v>0</v>
      </c>
      <c r="AE320" s="110">
        <f t="shared" si="122"/>
        <v>0</v>
      </c>
      <c r="AF320" s="110">
        <f t="shared" si="122"/>
        <v>0</v>
      </c>
      <c r="AG320" s="110">
        <f t="shared" si="122"/>
        <v>0</v>
      </c>
      <c r="AH320" s="110">
        <f t="shared" si="122"/>
        <v>0</v>
      </c>
      <c r="AI320" s="110">
        <f t="shared" si="122"/>
        <v>0</v>
      </c>
      <c r="AJ320" s="110">
        <f t="shared" si="122"/>
        <v>0</v>
      </c>
      <c r="AK320" s="110">
        <f t="shared" ref="AK320:AU320" si="123">MIN(AK266:AK272)</f>
        <v>0</v>
      </c>
      <c r="AL320" s="110">
        <f t="shared" si="123"/>
        <v>0</v>
      </c>
      <c r="AM320" s="110">
        <f t="shared" si="123"/>
        <v>0</v>
      </c>
      <c r="AN320" s="110">
        <f t="shared" si="123"/>
        <v>0</v>
      </c>
      <c r="AO320" s="110">
        <f t="shared" si="123"/>
        <v>0</v>
      </c>
      <c r="AP320" s="110">
        <f t="shared" si="123"/>
        <v>0</v>
      </c>
      <c r="AQ320" s="110">
        <f t="shared" si="123"/>
        <v>0</v>
      </c>
      <c r="AR320" s="110">
        <f t="shared" si="123"/>
        <v>0</v>
      </c>
      <c r="AS320" s="110">
        <f t="shared" si="123"/>
        <v>0</v>
      </c>
      <c r="AT320" s="110">
        <f t="shared" si="123"/>
        <v>0</v>
      </c>
      <c r="AU320" s="110">
        <f t="shared" si="123"/>
        <v>0</v>
      </c>
    </row>
    <row r="321" spans="3:47" x14ac:dyDescent="0.25">
      <c r="C321" s="337">
        <f t="shared" ref="C321:H321" si="124">MIN(C319:C320)</f>
        <v>0</v>
      </c>
      <c r="D321" s="337">
        <f t="shared" si="124"/>
        <v>29100</v>
      </c>
      <c r="E321" s="337">
        <f t="shared" si="124"/>
        <v>0</v>
      </c>
      <c r="F321" s="115">
        <f t="shared" si="124"/>
        <v>29100</v>
      </c>
      <c r="G321" s="25">
        <f t="shared" si="124"/>
        <v>0</v>
      </c>
      <c r="H321" s="115">
        <f t="shared" si="124"/>
        <v>39220</v>
      </c>
      <c r="J321" s="120">
        <f t="shared" ref="J321:L321" si="125">MIN(J319:J320)</f>
        <v>0</v>
      </c>
      <c r="K321" s="16">
        <f t="shared" si="125"/>
        <v>0.66578039174301462</v>
      </c>
      <c r="L321" s="369">
        <f t="shared" si="125"/>
        <v>0</v>
      </c>
      <c r="M321" s="16">
        <f t="shared" ref="M321:T321" si="126">MIN(M319:M320)</f>
        <v>0</v>
      </c>
      <c r="N321" s="25">
        <f t="shared" si="126"/>
        <v>0</v>
      </c>
      <c r="O321" s="10">
        <f t="shared" si="126"/>
        <v>0</v>
      </c>
      <c r="P321" s="25">
        <f t="shared" si="126"/>
        <v>0</v>
      </c>
      <c r="Q321" s="25">
        <f t="shared" si="126"/>
        <v>0</v>
      </c>
      <c r="R321" s="25">
        <f t="shared" si="126"/>
        <v>0</v>
      </c>
      <c r="S321" s="25">
        <f t="shared" si="126"/>
        <v>0</v>
      </c>
      <c r="T321" s="25">
        <f t="shared" si="126"/>
        <v>0</v>
      </c>
      <c r="U321" s="25">
        <f t="shared" ref="U321:AJ321" si="127">MIN(U319:U320)</f>
        <v>0</v>
      </c>
      <c r="V321" s="25">
        <f t="shared" si="127"/>
        <v>0</v>
      </c>
      <c r="W321" s="25">
        <f t="shared" si="127"/>
        <v>0</v>
      </c>
      <c r="X321" s="25">
        <f t="shared" si="127"/>
        <v>0</v>
      </c>
      <c r="Y321" s="110">
        <f t="shared" si="127"/>
        <v>0</v>
      </c>
      <c r="Z321" s="110">
        <f t="shared" si="127"/>
        <v>0</v>
      </c>
      <c r="AA321" s="110">
        <f t="shared" si="127"/>
        <v>0</v>
      </c>
      <c r="AB321" s="110">
        <f t="shared" si="127"/>
        <v>0</v>
      </c>
      <c r="AC321" s="110">
        <f t="shared" si="127"/>
        <v>0</v>
      </c>
      <c r="AD321" s="110">
        <f t="shared" si="127"/>
        <v>0</v>
      </c>
      <c r="AE321" s="110">
        <f t="shared" si="127"/>
        <v>0</v>
      </c>
      <c r="AF321" s="110">
        <f t="shared" si="127"/>
        <v>0</v>
      </c>
      <c r="AG321" s="110">
        <f t="shared" si="127"/>
        <v>0</v>
      </c>
      <c r="AH321" s="110">
        <f t="shared" si="127"/>
        <v>0</v>
      </c>
      <c r="AI321" s="110">
        <f t="shared" si="127"/>
        <v>0</v>
      </c>
      <c r="AJ321" s="110">
        <f t="shared" si="127"/>
        <v>0</v>
      </c>
      <c r="AK321" s="110">
        <f t="shared" ref="AK321:AU321" si="128">MIN(AK319:AK320)</f>
        <v>0</v>
      </c>
      <c r="AL321" s="110">
        <f t="shared" si="128"/>
        <v>0</v>
      </c>
      <c r="AM321" s="110">
        <f t="shared" si="128"/>
        <v>0</v>
      </c>
      <c r="AN321" s="110">
        <f t="shared" si="128"/>
        <v>0</v>
      </c>
      <c r="AO321" s="110">
        <f t="shared" si="128"/>
        <v>0</v>
      </c>
      <c r="AP321" s="110">
        <f t="shared" si="128"/>
        <v>0</v>
      </c>
      <c r="AQ321" s="110">
        <f t="shared" si="128"/>
        <v>0</v>
      </c>
      <c r="AR321" s="110">
        <f t="shared" si="128"/>
        <v>0</v>
      </c>
      <c r="AS321" s="110">
        <f t="shared" si="128"/>
        <v>0</v>
      </c>
      <c r="AT321" s="110">
        <f t="shared" si="128"/>
        <v>0</v>
      </c>
      <c r="AU321" s="110">
        <f t="shared" si="128"/>
        <v>0</v>
      </c>
    </row>
    <row r="322" spans="3:47" x14ac:dyDescent="0.25">
      <c r="O322" s="10"/>
    </row>
    <row r="323" spans="3:47" x14ac:dyDescent="0.25">
      <c r="O323" s="10"/>
    </row>
    <row r="324" spans="3:47" x14ac:dyDescent="0.25">
      <c r="O324" s="10"/>
    </row>
    <row r="325" spans="3:47" x14ac:dyDescent="0.25">
      <c r="O325" s="10"/>
    </row>
    <row r="326" spans="3:47" x14ac:dyDescent="0.25">
      <c r="O326" s="10"/>
    </row>
    <row r="327" spans="3:47" x14ac:dyDescent="0.25">
      <c r="O327" s="10"/>
    </row>
    <row r="328" spans="3:47" x14ac:dyDescent="0.25">
      <c r="O328" s="10"/>
    </row>
    <row r="329" spans="3:47" x14ac:dyDescent="0.25">
      <c r="O329" s="10"/>
    </row>
    <row r="330" spans="3:47" x14ac:dyDescent="0.25">
      <c r="O330" s="10"/>
    </row>
    <row r="331" spans="3:47" x14ac:dyDescent="0.25">
      <c r="O331" s="10"/>
    </row>
    <row r="332" spans="3:47" x14ac:dyDescent="0.25">
      <c r="O332" s="10"/>
    </row>
    <row r="333" spans="3:47" x14ac:dyDescent="0.25">
      <c r="O333" s="10"/>
    </row>
    <row r="334" spans="3:47" x14ac:dyDescent="0.25">
      <c r="O334" s="10"/>
    </row>
    <row r="335" spans="3:47" x14ac:dyDescent="0.25">
      <c r="O335" s="10"/>
    </row>
    <row r="336" spans="3:47" x14ac:dyDescent="0.25">
      <c r="O336" s="10"/>
    </row>
    <row r="337" spans="15:15" x14ac:dyDescent="0.25">
      <c r="O337" s="10"/>
    </row>
    <row r="338" spans="15:15" x14ac:dyDescent="0.25">
      <c r="O338" s="10"/>
    </row>
    <row r="339" spans="15:15" x14ac:dyDescent="0.25">
      <c r="O339" s="10"/>
    </row>
    <row r="340" spans="15:15" x14ac:dyDescent="0.25">
      <c r="O340" s="10"/>
    </row>
    <row r="341" spans="15:15" x14ac:dyDescent="0.25">
      <c r="O341" s="10"/>
    </row>
    <row r="342" spans="15:15" x14ac:dyDescent="0.25">
      <c r="O342" s="10"/>
    </row>
    <row r="343" spans="15:15" x14ac:dyDescent="0.25">
      <c r="O343" s="10"/>
    </row>
    <row r="344" spans="15:15" x14ac:dyDescent="0.25">
      <c r="O344" s="10"/>
    </row>
    <row r="345" spans="15:15" x14ac:dyDescent="0.25">
      <c r="O345" s="10"/>
    </row>
    <row r="346" spans="15:15" x14ac:dyDescent="0.25">
      <c r="O346" s="10"/>
    </row>
    <row r="347" spans="15:15" x14ac:dyDescent="0.25">
      <c r="O347" s="10"/>
    </row>
    <row r="348" spans="15:15" x14ac:dyDescent="0.25">
      <c r="O348" s="10"/>
    </row>
    <row r="349" spans="15:15" x14ac:dyDescent="0.25">
      <c r="O349" s="10"/>
    </row>
    <row r="350" spans="15:15" x14ac:dyDescent="0.25">
      <c r="O350" s="10"/>
    </row>
    <row r="351" spans="15:15" x14ac:dyDescent="0.25">
      <c r="O351" s="10"/>
    </row>
    <row r="352" spans="15:15" x14ac:dyDescent="0.25">
      <c r="O352" s="10"/>
    </row>
    <row r="353" spans="15:15" x14ac:dyDescent="0.25">
      <c r="O353" s="10"/>
    </row>
    <row r="354" spans="15:15" x14ac:dyDescent="0.25">
      <c r="O354" s="10"/>
    </row>
    <row r="355" spans="15:15" x14ac:dyDescent="0.25">
      <c r="O355" s="10"/>
    </row>
    <row r="356" spans="15:15" x14ac:dyDescent="0.25">
      <c r="O356" s="10"/>
    </row>
    <row r="357" spans="15:15" x14ac:dyDescent="0.25">
      <c r="O357" s="10"/>
    </row>
    <row r="358" spans="15:15" x14ac:dyDescent="0.25">
      <c r="O358" s="10"/>
    </row>
    <row r="359" spans="15:15" x14ac:dyDescent="0.25">
      <c r="O359" s="10"/>
    </row>
    <row r="360" spans="15:15" x14ac:dyDescent="0.25">
      <c r="O360" s="10"/>
    </row>
    <row r="361" spans="15:15" x14ac:dyDescent="0.25">
      <c r="O361" s="10"/>
    </row>
    <row r="362" spans="15:15" x14ac:dyDescent="0.25">
      <c r="O362" s="10"/>
    </row>
    <row r="363" spans="15:15" x14ac:dyDescent="0.25">
      <c r="O363" s="10"/>
    </row>
    <row r="364" spans="15:15" x14ac:dyDescent="0.25">
      <c r="O364" s="10"/>
    </row>
    <row r="365" spans="15:15" x14ac:dyDescent="0.25">
      <c r="O365" s="10"/>
    </row>
    <row r="366" spans="15:15" x14ac:dyDescent="0.25">
      <c r="O366" s="10"/>
    </row>
    <row r="367" spans="15:15" x14ac:dyDescent="0.25">
      <c r="O367" s="10"/>
    </row>
    <row r="368" spans="15:15" x14ac:dyDescent="0.25">
      <c r="O368" s="10"/>
    </row>
    <row r="369" spans="15:15" x14ac:dyDescent="0.25">
      <c r="O369" s="10"/>
    </row>
    <row r="370" spans="15:15" x14ac:dyDescent="0.25">
      <c r="O370" s="10"/>
    </row>
    <row r="371" spans="15:15" x14ac:dyDescent="0.25">
      <c r="O371" s="10"/>
    </row>
    <row r="372" spans="15:15" x14ac:dyDescent="0.25">
      <c r="O372" s="10"/>
    </row>
    <row r="373" spans="15:15" x14ac:dyDescent="0.25">
      <c r="O373" s="10"/>
    </row>
    <row r="374" spans="15:15" x14ac:dyDescent="0.25">
      <c r="O374" s="10"/>
    </row>
    <row r="375" spans="15:15" x14ac:dyDescent="0.25">
      <c r="O375" s="10"/>
    </row>
    <row r="376" spans="15:15" x14ac:dyDescent="0.25">
      <c r="O376" s="10"/>
    </row>
    <row r="377" spans="15:15" x14ac:dyDescent="0.25">
      <c r="O377" s="10"/>
    </row>
    <row r="378" spans="15:15" x14ac:dyDescent="0.25">
      <c r="O378" s="10"/>
    </row>
    <row r="379" spans="15:15" x14ac:dyDescent="0.25">
      <c r="O379" s="10"/>
    </row>
    <row r="380" spans="15:15" x14ac:dyDescent="0.25">
      <c r="O380" s="10"/>
    </row>
    <row r="381" spans="15:15" x14ac:dyDescent="0.25">
      <c r="O381" s="10"/>
    </row>
    <row r="382" spans="15:15" x14ac:dyDescent="0.25">
      <c r="O382" s="10"/>
    </row>
    <row r="383" spans="15:15" x14ac:dyDescent="0.25">
      <c r="O383" s="10"/>
    </row>
    <row r="384" spans="15:15" x14ac:dyDescent="0.25">
      <c r="O384" s="10"/>
    </row>
    <row r="385" spans="15:15" x14ac:dyDescent="0.25">
      <c r="O385" s="10"/>
    </row>
    <row r="386" spans="15:15" x14ac:dyDescent="0.25">
      <c r="O386" s="10"/>
    </row>
    <row r="387" spans="15:15" x14ac:dyDescent="0.25">
      <c r="O387" s="10"/>
    </row>
    <row r="388" spans="15:15" x14ac:dyDescent="0.25">
      <c r="O388" s="10"/>
    </row>
    <row r="389" spans="15:15" x14ac:dyDescent="0.25">
      <c r="O389" s="10"/>
    </row>
    <row r="390" spans="15:15" x14ac:dyDescent="0.25">
      <c r="O390" s="10"/>
    </row>
  </sheetData>
  <sheetProtection password="D1CE" sheet="1" objects="1" scenarios="1"/>
  <printOptions gridLines="1" gridLinesSet="0"/>
  <pageMargins left="0.78740157499999996" right="0.78740157499999996" top="0.984251969" bottom="0.984251969" header="0.51181102300000003" footer="0.51181102300000003"/>
  <pageSetup paperSize="9" orientation="portrait" horizontalDpi="4294967292" r:id="rId1"/>
  <headerFooter alignWithMargins="0">
    <oddHeader>&amp;A</oddHeader>
    <oddFooter>Seite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8"/>
  <sheetViews>
    <sheetView workbookViewId="0">
      <selection activeCell="B8" sqref="B8"/>
    </sheetView>
  </sheetViews>
  <sheetFormatPr baseColWidth="10" defaultRowHeight="12.75" x14ac:dyDescent="0.2"/>
  <sheetData>
    <row r="2" spans="1:3" x14ac:dyDescent="0.2">
      <c r="A2" t="s">
        <v>321</v>
      </c>
    </row>
    <row r="4" spans="1:3" x14ac:dyDescent="0.2">
      <c r="A4" t="s">
        <v>322</v>
      </c>
    </row>
    <row r="5" spans="1:3" x14ac:dyDescent="0.2">
      <c r="A5" t="s">
        <v>323</v>
      </c>
    </row>
    <row r="7" spans="1:3" x14ac:dyDescent="0.2">
      <c r="B7" t="s">
        <v>83</v>
      </c>
      <c r="C7" t="s">
        <v>82</v>
      </c>
    </row>
    <row r="8" spans="1:3" x14ac:dyDescent="0.2">
      <c r="A8" t="s">
        <v>324</v>
      </c>
      <c r="B8" s="383">
        <v>101</v>
      </c>
      <c r="C8" s="383">
        <v>2020</v>
      </c>
    </row>
  </sheetData>
  <printOptions gridLines="1" gridLinesSet="0"/>
  <pageMargins left="0.78740157499999996" right="0.78740157499999996" top="0.984251969" bottom="0.984251969" header="0.51181102300000003" footer="0.51181102300000003"/>
  <headerFooter alignWithMargins="0">
    <oddHeader>&amp;A</oddHeader>
    <oddFooter>Seite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9"/>
  <sheetViews>
    <sheetView workbookViewId="0">
      <selection activeCell="E260" sqref="E260"/>
    </sheetView>
  </sheetViews>
  <sheetFormatPr baseColWidth="10" defaultRowHeight="12.75" x14ac:dyDescent="0.2"/>
  <cols>
    <col min="1" max="1" width="28.28515625" customWidth="1"/>
    <col min="2" max="2" width="16.85546875" customWidth="1"/>
    <col min="3" max="3" width="51.28515625" customWidth="1"/>
  </cols>
  <sheetData>
    <row r="1" spans="1:25" s="4" customFormat="1" ht="40.15" customHeight="1" x14ac:dyDescent="0.25">
      <c r="A1" s="3" t="s">
        <v>260</v>
      </c>
      <c r="B1" s="3"/>
      <c r="C1" s="3"/>
      <c r="D1" s="3"/>
      <c r="E1" s="3"/>
      <c r="G1" s="10"/>
      <c r="H1" s="11"/>
      <c r="I1"/>
      <c r="J1"/>
      <c r="L1" s="9"/>
      <c r="Q1" s="16"/>
      <c r="R1" s="8"/>
      <c r="S1" s="10"/>
      <c r="T1" s="10"/>
      <c r="U1" s="10"/>
      <c r="V1" s="10"/>
      <c r="W1" s="10"/>
      <c r="X1" s="10"/>
      <c r="Y1" s="10"/>
    </row>
    <row r="2" spans="1:25" s="4" customFormat="1" ht="16.899999999999999" customHeight="1" x14ac:dyDescent="0.25">
      <c r="A2" s="5" t="s">
        <v>325</v>
      </c>
      <c r="B2" s="5"/>
      <c r="C2" s="5"/>
      <c r="D2" s="5"/>
      <c r="E2" s="5"/>
      <c r="G2" s="10"/>
      <c r="H2" s="10"/>
      <c r="Q2" s="16"/>
      <c r="R2" s="8"/>
      <c r="S2" s="10"/>
      <c r="T2" s="10"/>
      <c r="U2" s="10"/>
      <c r="V2" s="10"/>
      <c r="W2" s="10"/>
      <c r="X2" s="10"/>
      <c r="Y2" s="10"/>
    </row>
    <row r="3" spans="1:25" s="4" customFormat="1" ht="13.5" x14ac:dyDescent="0.25">
      <c r="G3" s="10"/>
      <c r="H3" s="10"/>
      <c r="Q3" s="16"/>
      <c r="R3" s="8"/>
      <c r="S3" s="10"/>
      <c r="T3" s="10"/>
      <c r="U3" s="10"/>
      <c r="V3" s="10"/>
      <c r="W3" s="10"/>
      <c r="X3" s="10"/>
      <c r="Y3" s="10"/>
    </row>
    <row r="4" spans="1:25" s="18" customFormat="1" ht="16.149999999999999" customHeight="1" x14ac:dyDescent="0.2">
      <c r="A4" s="18" t="s">
        <v>326</v>
      </c>
      <c r="B4" s="18" t="s">
        <v>327</v>
      </c>
      <c r="C4" s="18" t="s">
        <v>328</v>
      </c>
      <c r="G4" s="15"/>
      <c r="H4" s="15"/>
      <c r="I4" s="13"/>
      <c r="J4" s="13"/>
      <c r="Q4" s="19"/>
      <c r="R4" s="20"/>
      <c r="S4" s="21"/>
      <c r="T4" s="21"/>
      <c r="U4" s="21"/>
      <c r="V4" s="21"/>
      <c r="W4" s="21"/>
      <c r="X4" s="21"/>
      <c r="Y4" s="21"/>
    </row>
    <row r="5" spans="1:25" ht="24.6" customHeight="1" x14ac:dyDescent="0.2">
      <c r="A5" t="s">
        <v>329</v>
      </c>
      <c r="C5" t="s">
        <v>330</v>
      </c>
    </row>
    <row r="6" spans="1:25" ht="16.899999999999999" customHeight="1" x14ac:dyDescent="0.2">
      <c r="A6" t="s">
        <v>331</v>
      </c>
      <c r="C6" t="s">
        <v>332</v>
      </c>
    </row>
    <row r="7" spans="1:25" ht="16.899999999999999" customHeight="1" x14ac:dyDescent="0.2">
      <c r="A7" t="s">
        <v>333</v>
      </c>
      <c r="C7" t="s">
        <v>334</v>
      </c>
    </row>
    <row r="8" spans="1:25" ht="16.899999999999999" customHeight="1" x14ac:dyDescent="0.2">
      <c r="A8" t="s">
        <v>335</v>
      </c>
      <c r="C8" t="s">
        <v>334</v>
      </c>
    </row>
    <row r="9" spans="1:25" ht="28.15" customHeight="1" x14ac:dyDescent="0.2">
      <c r="A9" s="22" t="s">
        <v>336</v>
      </c>
    </row>
    <row r="10" spans="1:25" ht="16.899999999999999" customHeight="1" x14ac:dyDescent="0.2">
      <c r="A10" t="s">
        <v>337</v>
      </c>
      <c r="C10" t="s">
        <v>338</v>
      </c>
    </row>
    <row r="11" spans="1:25" ht="16.899999999999999" customHeight="1" x14ac:dyDescent="0.2"/>
    <row r="12" spans="1:25" ht="16.899999999999999" customHeight="1" x14ac:dyDescent="0.2"/>
    <row r="13" spans="1:25" ht="16.899999999999999" customHeight="1" x14ac:dyDescent="0.2">
      <c r="A13" t="s">
        <v>339</v>
      </c>
    </row>
    <row r="14" spans="1:25" ht="16.899999999999999" customHeight="1" x14ac:dyDescent="0.2"/>
    <row r="15" spans="1:25" ht="16.899999999999999" customHeight="1" x14ac:dyDescent="0.2"/>
    <row r="16" spans="1:25" ht="16.899999999999999" customHeight="1" x14ac:dyDescent="0.2"/>
    <row r="17" ht="16.899999999999999" customHeight="1" x14ac:dyDescent="0.2"/>
    <row r="18" ht="16.899999999999999" customHeight="1" x14ac:dyDescent="0.2"/>
    <row r="19" ht="16.899999999999999" customHeight="1" x14ac:dyDescent="0.2"/>
    <row r="20" ht="16.899999999999999" customHeight="1" x14ac:dyDescent="0.2"/>
    <row r="21" ht="16.899999999999999" customHeight="1" x14ac:dyDescent="0.2"/>
    <row r="22" ht="16.899999999999999" customHeight="1" x14ac:dyDescent="0.2"/>
    <row r="23" ht="16.899999999999999" customHeight="1" x14ac:dyDescent="0.2"/>
    <row r="24" ht="16.899999999999999" customHeight="1" x14ac:dyDescent="0.2"/>
    <row r="25" ht="16.899999999999999" customHeight="1" x14ac:dyDescent="0.2"/>
    <row r="26" ht="16.899999999999999" customHeight="1" x14ac:dyDescent="0.2"/>
    <row r="27" ht="16.899999999999999" customHeight="1" x14ac:dyDescent="0.2"/>
    <row r="28" ht="16.899999999999999" customHeight="1" x14ac:dyDescent="0.2"/>
    <row r="29" ht="16.899999999999999" customHeight="1" x14ac:dyDescent="0.2"/>
  </sheetData>
  <printOptions horizontalCentered="1"/>
  <pageMargins left="0.39370078740157483" right="0.39370078740157483" top="0.39370078740157483" bottom="0.39370078740157483" header="0.19685039370078741" footer="0.19685039370078741"/>
  <pageSetup paperSize="9" orientation="portrait" horizontalDpi="4294967292" r:id="rId1"/>
  <headerFooter alignWithMargins="0">
    <oddHeader>&amp;R&amp;F\&amp;A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16</vt:i4>
      </vt:variant>
      <vt:variant>
        <vt:lpstr>Benannte Bereiche</vt:lpstr>
      </vt:variant>
      <vt:variant>
        <vt:i4>5</vt:i4>
      </vt:variant>
    </vt:vector>
  </HeadingPairs>
  <TitlesOfParts>
    <vt:vector size="21" baseType="lpstr">
      <vt:lpstr>Vorgehen</vt:lpstr>
      <vt:lpstr>Druck</vt:lpstr>
      <vt:lpstr>Funktional</vt:lpstr>
      <vt:lpstr>Artengliederung</vt:lpstr>
      <vt:lpstr>Kennzahlen</vt:lpstr>
      <vt:lpstr>Kennzahlen Revision</vt:lpstr>
      <vt:lpstr>KiGa - PS</vt:lpstr>
      <vt:lpstr>Hilfe Min. übriger Aufwand Kiga</vt:lpstr>
      <vt:lpstr>Soll-Daten</vt:lpstr>
      <vt:lpstr>Datendefinierung</vt:lpstr>
      <vt:lpstr>Zusammenfassung</vt:lpstr>
      <vt:lpstr>Bilder</vt:lpstr>
      <vt:lpstr>pro S 98_99</vt:lpstr>
      <vt:lpstr>Zum_Vorjahr</vt:lpstr>
      <vt:lpstr>Schnitt</vt:lpstr>
      <vt:lpstr>Tabelle16</vt:lpstr>
      <vt:lpstr>Artengliederung!Drucktitel</vt:lpstr>
      <vt:lpstr>Druck!Drucktitel</vt:lpstr>
      <vt:lpstr>Funktional!Drucktitel</vt:lpstr>
      <vt:lpstr>Kennzahlen!Drucktitel</vt:lpstr>
      <vt:lpstr>'Kennzahlen Revision'!Drucktitel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Claudia Keller</dc:creator>
  <cp:lastModifiedBy>avkmae</cp:lastModifiedBy>
  <cp:lastPrinted>2001-02-14T06:48:23Z</cp:lastPrinted>
  <dcterms:created xsi:type="dcterms:W3CDTF">2016-04-29T08:12:42Z</dcterms:created>
  <dcterms:modified xsi:type="dcterms:W3CDTF">2016-04-29T08:12:42Z</dcterms:modified>
</cp:coreProperties>
</file>