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avktro\AppData\Local\Temp\Fabasoft\Work\"/>
    </mc:Choice>
  </mc:AlternateContent>
  <bookViews>
    <workbookView xWindow="120" yWindow="60" windowWidth="15180" windowHeight="9345" tabRatio="735"/>
  </bookViews>
  <sheets>
    <sheet name="HINWEISE" sheetId="5" r:id="rId1"/>
    <sheet name="Berechnungshilfe" sheetId="1" r:id="rId2"/>
    <sheet name="Zuschlag so.päd. Massnahmen" sheetId="3" r:id="rId3"/>
    <sheet name="zusätzliche Angaben" sheetId="4" r:id="rId4"/>
    <sheet name="Ableich Beitragsystem-Effektiv" sheetId="6" state="hidden" r:id="rId5"/>
    <sheet name="Hilfetabelle" sheetId="2" state="hidden" r:id="rId6"/>
    <sheet name="Einlagepotenz. Erneuerungsfonds" sheetId="10" r:id="rId7"/>
    <sheet name="Änderungsprotokoll" sheetId="7" r:id="rId8"/>
  </sheets>
  <definedNames>
    <definedName name="_xlnm._FilterDatabase" localSheetId="0" hidden="1">HINWEISE!#REF!</definedName>
    <definedName name="_xlnm._FilterDatabase" localSheetId="2" hidden="1">'Zuschlag so.päd. Massnahmen'!$B$7:$G$94</definedName>
    <definedName name="_xlnm.Print_Area" localSheetId="1">Berechnungshilfe!$A$32:$P$132</definedName>
    <definedName name="_xlnm.Print_Area" localSheetId="6">'Einlagepotenz. Erneuerungsfonds'!$A$1:$I$41</definedName>
    <definedName name="_xlnm.Print_Titles" localSheetId="4">'Ableich Beitragsystem-Effektiv'!$8:$8</definedName>
    <definedName name="_xlnm.Print_Titles" localSheetId="1">Berechnungshilfe!$1:$3</definedName>
    <definedName name="_xlnm.Print_Titles" localSheetId="3">'zusätzliche Angaben'!$3:$4</definedName>
  </definedNames>
  <calcPr calcId="162913" concurrentManualCount="2"/>
</workbook>
</file>

<file path=xl/calcChain.xml><?xml version="1.0" encoding="utf-8"?>
<calcChain xmlns="http://schemas.openxmlformats.org/spreadsheetml/2006/main">
  <c r="S83" i="2" l="1"/>
  <c r="R83" i="2"/>
  <c r="Q83" i="2"/>
  <c r="N83" i="2"/>
  <c r="M83" i="2"/>
  <c r="L83" i="2"/>
  <c r="I83" i="2"/>
  <c r="X83" i="2" s="1"/>
  <c r="H83" i="2"/>
  <c r="W83" i="2" s="1"/>
  <c r="G83" i="2"/>
  <c r="V83" i="2" s="1"/>
  <c r="D83" i="2"/>
  <c r="C83" i="2"/>
  <c r="B83" i="2"/>
  <c r="S68" i="2"/>
  <c r="R68" i="2"/>
  <c r="Q68" i="2"/>
  <c r="N68" i="2"/>
  <c r="M68" i="2"/>
  <c r="L68" i="2"/>
  <c r="I68" i="2"/>
  <c r="H68" i="2"/>
  <c r="G68" i="2"/>
  <c r="D68" i="2"/>
  <c r="X68" i="2" s="1"/>
  <c r="C68" i="2"/>
  <c r="W68" i="2" s="1"/>
  <c r="B68" i="2"/>
  <c r="V68" i="2" s="1"/>
  <c r="K45" i="2"/>
  <c r="J45" i="2"/>
  <c r="I45" i="2"/>
  <c r="F45" i="2"/>
  <c r="E45" i="2"/>
  <c r="D45" i="2"/>
  <c r="C45" i="2"/>
  <c r="B45" i="2"/>
  <c r="R26" i="2"/>
  <c r="O26" i="2"/>
  <c r="L25" i="2"/>
  <c r="L24" i="2"/>
  <c r="F44" i="2"/>
  <c r="E44" i="2"/>
  <c r="F43" i="2"/>
  <c r="E43" i="2"/>
  <c r="D43" i="2"/>
  <c r="D44" i="2" s="1"/>
  <c r="C44" i="2"/>
  <c r="C43" i="2"/>
  <c r="B44" i="2"/>
  <c r="B43" i="2"/>
  <c r="R33" i="1" l="1"/>
  <c r="O96" i="1" l="1"/>
  <c r="O80" i="1"/>
  <c r="K84" i="4" l="1"/>
  <c r="K83" i="4"/>
  <c r="K82" i="4"/>
  <c r="K80" i="4"/>
  <c r="H84" i="4"/>
  <c r="H83" i="4"/>
  <c r="H82" i="4"/>
  <c r="H80" i="4"/>
  <c r="E80" i="4"/>
  <c r="E84" i="4"/>
  <c r="E83" i="4"/>
  <c r="E82" i="4"/>
  <c r="E71" i="4"/>
  <c r="K73" i="4"/>
  <c r="K72" i="4"/>
  <c r="H73" i="4"/>
  <c r="H72" i="4"/>
  <c r="E73" i="4"/>
  <c r="E72" i="4"/>
  <c r="K71" i="4"/>
  <c r="H71" i="4"/>
  <c r="S82" i="2"/>
  <c r="R82" i="2"/>
  <c r="Q82" i="2"/>
  <c r="N82" i="2"/>
  <c r="M82" i="2"/>
  <c r="L82" i="2"/>
  <c r="I82" i="2"/>
  <c r="H82" i="2"/>
  <c r="G82" i="2"/>
  <c r="D82" i="2"/>
  <c r="C82" i="2"/>
  <c r="B82" i="2"/>
  <c r="N67" i="2"/>
  <c r="M67" i="2"/>
  <c r="L67" i="2"/>
  <c r="I67" i="2"/>
  <c r="X82" i="2" s="1"/>
  <c r="H67" i="2"/>
  <c r="G67" i="2"/>
  <c r="D67" i="2"/>
  <c r="C67" i="2"/>
  <c r="B67" i="2"/>
  <c r="S66" i="2"/>
  <c r="R66" i="2"/>
  <c r="Q66" i="2"/>
  <c r="S65" i="2"/>
  <c r="R65" i="2"/>
  <c r="Q65" i="2"/>
  <c r="S64" i="2"/>
  <c r="X64" i="2" s="1"/>
  <c r="R64" i="2"/>
  <c r="W64" i="2" s="1"/>
  <c r="Q64" i="2"/>
  <c r="V64" i="2" s="1"/>
  <c r="S63" i="2"/>
  <c r="K74" i="4" s="1"/>
  <c r="R63" i="2"/>
  <c r="H74" i="4" s="1"/>
  <c r="Q63" i="2"/>
  <c r="E74" i="4" s="1"/>
  <c r="S62" i="2"/>
  <c r="X62" i="2" s="1"/>
  <c r="R62" i="2"/>
  <c r="Q62" i="2"/>
  <c r="S61" i="2"/>
  <c r="R61" i="2"/>
  <c r="Q61" i="2"/>
  <c r="X76" i="2"/>
  <c r="X78" i="2"/>
  <c r="W77" i="2"/>
  <c r="V77" i="2"/>
  <c r="X81" i="2"/>
  <c r="W81" i="2"/>
  <c r="V81" i="2"/>
  <c r="X80" i="2"/>
  <c r="W80" i="2"/>
  <c r="V80" i="2"/>
  <c r="X79" i="2"/>
  <c r="W79" i="2"/>
  <c r="V79" i="2"/>
  <c r="X77" i="2"/>
  <c r="X75" i="2"/>
  <c r="W75" i="2"/>
  <c r="V75" i="2"/>
  <c r="X60" i="2"/>
  <c r="W60" i="2"/>
  <c r="V60" i="2"/>
  <c r="R67" i="2" l="1"/>
  <c r="Q67" i="2"/>
  <c r="S67" i="2"/>
  <c r="V82" i="2"/>
  <c r="W82" i="2"/>
  <c r="V61" i="2"/>
  <c r="W61" i="2"/>
  <c r="V76" i="2"/>
  <c r="W76" i="2"/>
  <c r="X61" i="2"/>
  <c r="X63" i="2"/>
  <c r="V62" i="2"/>
  <c r="W62" i="2"/>
  <c r="W78" i="2" l="1"/>
  <c r="W63" i="2"/>
  <c r="V63" i="2"/>
  <c r="V78" i="2"/>
  <c r="I43" i="2" l="1"/>
  <c r="V65" i="2"/>
  <c r="K43" i="2"/>
  <c r="X65" i="2"/>
  <c r="J43" i="2"/>
  <c r="W65" i="2"/>
  <c r="J44" i="2" l="1"/>
  <c r="W67" i="2" s="1"/>
  <c r="W66" i="2"/>
  <c r="K44" i="2"/>
  <c r="X67" i="2" s="1"/>
  <c r="X66" i="2"/>
  <c r="I44" i="2"/>
  <c r="V67" i="2" s="1"/>
  <c r="V66" i="2"/>
  <c r="I24" i="10"/>
  <c r="I23" i="10"/>
  <c r="I21" i="10"/>
  <c r="I20" i="10"/>
  <c r="I19" i="10"/>
  <c r="I18" i="10"/>
  <c r="I17" i="10"/>
  <c r="I16" i="10"/>
  <c r="F30" i="10" s="1"/>
  <c r="I15" i="10"/>
  <c r="F31" i="10" l="1"/>
  <c r="F32" i="10"/>
  <c r="G24" i="2"/>
  <c r="G25" i="2" s="1"/>
  <c r="O8" i="1"/>
  <c r="I25" i="2" l="1"/>
  <c r="G26" i="2"/>
  <c r="I26" i="2" s="1"/>
  <c r="I20" i="2"/>
  <c r="I19" i="2"/>
  <c r="D106" i="1" l="1"/>
  <c r="B67" i="1"/>
  <c r="O24" i="2"/>
  <c r="O25" i="2" s="1"/>
  <c r="G30" i="1" l="1"/>
  <c r="L67" i="1" l="1"/>
  <c r="R7" i="1" l="1"/>
  <c r="R8" i="1"/>
  <c r="D40" i="1" l="1"/>
  <c r="D73" i="1" s="1"/>
  <c r="R12" i="1" l="1"/>
  <c r="K12" i="1" l="1"/>
  <c r="L123" i="1"/>
  <c r="C24" i="2" l="1"/>
  <c r="C25" i="2" s="1"/>
  <c r="C26" i="2" s="1"/>
  <c r="L15" i="1" l="1"/>
  <c r="G15" i="1" s="1"/>
  <c r="D24" i="2"/>
  <c r="D25" i="2" s="1"/>
  <c r="D26" i="2" s="1"/>
  <c r="B24" i="2"/>
  <c r="B25" i="2" s="1"/>
  <c r="B26" i="2" s="1"/>
  <c r="C15" i="1" l="1"/>
  <c r="D90" i="1" s="1"/>
  <c r="I21" i="2"/>
  <c r="I22" i="2" l="1"/>
  <c r="I23" i="2" l="1"/>
  <c r="I24" i="2" l="1"/>
  <c r="R22" i="2"/>
  <c r="R23" i="2" s="1"/>
  <c r="R24" i="2" s="1"/>
  <c r="R25" i="2" s="1"/>
  <c r="L3" i="1"/>
  <c r="L24" i="1" l="1"/>
  <c r="F73" i="1" s="1"/>
  <c r="M24" i="1"/>
  <c r="I73" i="1" s="1"/>
  <c r="O19" i="1"/>
  <c r="L40" i="1" s="1"/>
  <c r="L43" i="1" s="1"/>
  <c r="B45" i="1"/>
  <c r="L19" i="1"/>
  <c r="F40" i="1" s="1"/>
  <c r="M19" i="1"/>
  <c r="I40" i="1" s="1"/>
  <c r="F19" i="1"/>
  <c r="J19" i="1"/>
  <c r="D19" i="1"/>
  <c r="I19" i="1"/>
  <c r="C19" i="1"/>
  <c r="G19" i="1"/>
  <c r="AB68" i="6"/>
  <c r="AB76" i="6"/>
  <c r="AB80" i="6" s="1"/>
  <c r="AB86" i="6" s="1"/>
  <c r="AB50" i="6"/>
  <c r="L68" i="1"/>
  <c r="A3" i="1"/>
  <c r="A8" i="6" s="1"/>
  <c r="D16" i="4"/>
  <c r="O106" i="1"/>
  <c r="N24" i="1"/>
  <c r="N19" i="1"/>
  <c r="K19" i="1"/>
  <c r="H19" i="1"/>
  <c r="E19" i="1"/>
  <c r="E46" i="1"/>
  <c r="H46" i="1" s="1"/>
  <c r="AG8" i="6"/>
  <c r="L90" i="1" l="1"/>
  <c r="F90" i="1"/>
  <c r="F28" i="4" s="1"/>
  <c r="I90" i="1"/>
  <c r="I58" i="6" s="1"/>
  <c r="A3" i="4"/>
  <c r="L28" i="4"/>
  <c r="K46" i="1"/>
  <c r="L60" i="1"/>
  <c r="C46" i="6" s="1"/>
  <c r="C84" i="4"/>
  <c r="H93" i="1"/>
  <c r="K93" i="1"/>
  <c r="E93" i="1"/>
  <c r="L3" i="4"/>
  <c r="L111" i="1"/>
  <c r="O111" i="1" s="1"/>
  <c r="L69" i="1"/>
  <c r="I10" i="1" s="1"/>
  <c r="L117" i="1"/>
  <c r="O117" i="1" s="1"/>
  <c r="F42" i="1"/>
  <c r="C83" i="4"/>
  <c r="I42" i="1"/>
  <c r="E51" i="1"/>
  <c r="L42" i="1"/>
  <c r="H51" i="1"/>
  <c r="B66" i="4"/>
  <c r="C82" i="4"/>
  <c r="K51" i="1"/>
  <c r="O77" i="1"/>
  <c r="F50" i="4"/>
  <c r="F19" i="6"/>
  <c r="F11" i="4"/>
  <c r="O40" i="1"/>
  <c r="I57" i="1" s="1"/>
  <c r="I19" i="6"/>
  <c r="I50" i="4"/>
  <c r="I11" i="4"/>
  <c r="L11" i="4"/>
  <c r="L50" i="4"/>
  <c r="L19" i="6"/>
  <c r="I28" i="4" l="1"/>
  <c r="F74" i="1"/>
  <c r="F66" i="4"/>
  <c r="F83" i="4" s="1"/>
  <c r="F73" i="6" s="1"/>
  <c r="F93" i="1"/>
  <c r="F58" i="6"/>
  <c r="I46" i="1"/>
  <c r="I21" i="6" s="1"/>
  <c r="I74" i="1"/>
  <c r="I32" i="6" s="1"/>
  <c r="F46" i="1"/>
  <c r="F21" i="6" s="1"/>
  <c r="F24" i="6" s="1"/>
  <c r="M39" i="6"/>
  <c r="F33" i="4"/>
  <c r="I34" i="4"/>
  <c r="I93" i="1"/>
  <c r="F34" i="4"/>
  <c r="I35" i="4"/>
  <c r="F73" i="4"/>
  <c r="F65" i="6" s="1"/>
  <c r="F35" i="4"/>
  <c r="F32" i="4"/>
  <c r="L93" i="1"/>
  <c r="O90" i="1"/>
  <c r="O58" i="6" s="1"/>
  <c r="I66" i="4"/>
  <c r="I83" i="4" s="1"/>
  <c r="L66" i="4"/>
  <c r="L80" i="4" s="1"/>
  <c r="L33" i="4"/>
  <c r="O28" i="4"/>
  <c r="L32" i="4"/>
  <c r="L58" i="6"/>
  <c r="L34" i="4"/>
  <c r="L35" i="4"/>
  <c r="I33" i="4"/>
  <c r="I32" i="4"/>
  <c r="D18" i="4"/>
  <c r="E76" i="4"/>
  <c r="L46" i="1"/>
  <c r="D19" i="4"/>
  <c r="B28" i="4"/>
  <c r="F82" i="4"/>
  <c r="F72" i="6" s="1"/>
  <c r="K76" i="4"/>
  <c r="E86" i="4"/>
  <c r="F86" i="4" s="1"/>
  <c r="H74" i="1"/>
  <c r="I22" i="6" s="1"/>
  <c r="B50" i="4"/>
  <c r="B11" i="4"/>
  <c r="E74" i="1"/>
  <c r="K86" i="4"/>
  <c r="H86" i="4"/>
  <c r="H76" i="4"/>
  <c r="I21" i="4"/>
  <c r="O19" i="6"/>
  <c r="O11" i="4"/>
  <c r="O21" i="4" s="1"/>
  <c r="L21" i="4"/>
  <c r="F21" i="4"/>
  <c r="O50" i="4"/>
  <c r="F71" i="4" l="1"/>
  <c r="F63" i="6" s="1"/>
  <c r="F84" i="4"/>
  <c r="F74" i="6" s="1"/>
  <c r="F72" i="4"/>
  <c r="F64" i="6" s="1"/>
  <c r="F76" i="4"/>
  <c r="F74" i="4"/>
  <c r="F66" i="6" s="1"/>
  <c r="F80" i="4"/>
  <c r="F51" i="1"/>
  <c r="F15" i="4" s="1"/>
  <c r="I51" i="1"/>
  <c r="I15" i="4" s="1"/>
  <c r="I20" i="4"/>
  <c r="O20" i="4" s="1"/>
  <c r="O93" i="1"/>
  <c r="L86" i="4"/>
  <c r="L21" i="6"/>
  <c r="L24" i="6" s="1"/>
  <c r="L45" i="1"/>
  <c r="F37" i="4"/>
  <c r="I86" i="4"/>
  <c r="I76" i="4"/>
  <c r="O32" i="4"/>
  <c r="L37" i="4"/>
  <c r="L76" i="4"/>
  <c r="O34" i="4"/>
  <c r="I82" i="4"/>
  <c r="I72" i="6" s="1"/>
  <c r="F76" i="6"/>
  <c r="O35" i="4"/>
  <c r="L82" i="4"/>
  <c r="O33" i="4"/>
  <c r="I84" i="4"/>
  <c r="I74" i="6" s="1"/>
  <c r="L83" i="4"/>
  <c r="L73" i="6" s="1"/>
  <c r="I73" i="4"/>
  <c r="I65" i="6" s="1"/>
  <c r="I72" i="4"/>
  <c r="I64" i="6" s="1"/>
  <c r="I73" i="6"/>
  <c r="O66" i="4"/>
  <c r="L72" i="4"/>
  <c r="L64" i="6" s="1"/>
  <c r="L84" i="4"/>
  <c r="L74" i="6" s="1"/>
  <c r="I74" i="4"/>
  <c r="I66" i="6" s="1"/>
  <c r="I71" i="4"/>
  <c r="I63" i="6" s="1"/>
  <c r="I80" i="4"/>
  <c r="L73" i="4"/>
  <c r="L74" i="4"/>
  <c r="L71" i="4"/>
  <c r="L63" i="6" s="1"/>
  <c r="I24" i="6"/>
  <c r="I37" i="4"/>
  <c r="O46" i="1"/>
  <c r="O21" i="6" s="1"/>
  <c r="L51" i="1"/>
  <c r="O74" i="1"/>
  <c r="O42" i="6"/>
  <c r="H56" i="4"/>
  <c r="O100" i="1" l="1"/>
  <c r="O116" i="1" s="1"/>
  <c r="L118" i="1" s="1"/>
  <c r="O80" i="4"/>
  <c r="F68" i="6"/>
  <c r="O86" i="4"/>
  <c r="F54" i="1"/>
  <c r="F16" i="4" s="1"/>
  <c r="I54" i="1"/>
  <c r="I36" i="6" s="1"/>
  <c r="F31" i="6"/>
  <c r="F33" i="6" s="1"/>
  <c r="O24" i="6"/>
  <c r="AF24" i="6" s="1"/>
  <c r="I31" i="6"/>
  <c r="I33" i="6" s="1"/>
  <c r="L31" i="6"/>
  <c r="L33" i="6" s="1"/>
  <c r="L15" i="4"/>
  <c r="O76" i="4"/>
  <c r="O37" i="4"/>
  <c r="I76" i="6"/>
  <c r="O83" i="4"/>
  <c r="D31" i="10" s="1"/>
  <c r="G31" i="10" s="1"/>
  <c r="L72" i="6"/>
  <c r="L76" i="6" s="1"/>
  <c r="O82" i="4"/>
  <c r="D30" i="10" s="1"/>
  <c r="G30" i="10" s="1"/>
  <c r="O84" i="4"/>
  <c r="I68" i="6"/>
  <c r="O71" i="4"/>
  <c r="O63" i="6" s="1"/>
  <c r="AF63" i="6" s="1"/>
  <c r="O72" i="4"/>
  <c r="O64" i="6" s="1"/>
  <c r="AF64" i="6" s="1"/>
  <c r="L65" i="6"/>
  <c r="O73" i="4"/>
  <c r="O65" i="6" s="1"/>
  <c r="AF65" i="6" s="1"/>
  <c r="L66" i="6"/>
  <c r="O74" i="4"/>
  <c r="O66" i="6" s="1"/>
  <c r="AF66" i="6" s="1"/>
  <c r="O51" i="1"/>
  <c r="O15" i="4" s="1"/>
  <c r="L54" i="1"/>
  <c r="L56" i="4"/>
  <c r="N56" i="4" s="1"/>
  <c r="F36" i="6" l="1"/>
  <c r="O74" i="6"/>
  <c r="AF74" i="6" s="1"/>
  <c r="D32" i="10"/>
  <c r="G32" i="10" s="1"/>
  <c r="G35" i="10" s="1"/>
  <c r="I16" i="4"/>
  <c r="O33" i="6"/>
  <c r="AF33" i="6" s="1"/>
  <c r="L36" i="6"/>
  <c r="L16" i="4"/>
  <c r="O68" i="6"/>
  <c r="AF68" i="6" s="1"/>
  <c r="O72" i="6"/>
  <c r="O73" i="6"/>
  <c r="AF73" i="6" s="1"/>
  <c r="L68" i="6"/>
  <c r="O31" i="6"/>
  <c r="O54" i="1"/>
  <c r="AF72" i="6" l="1"/>
  <c r="O76" i="6"/>
  <c r="O36" i="6"/>
  <c r="AF36" i="6" s="1"/>
  <c r="O16" i="4"/>
  <c r="AF76" i="6" l="1"/>
  <c r="O80" i="6"/>
  <c r="AF80" i="6" s="1"/>
  <c r="L57" i="1"/>
  <c r="O57" i="1" s="1"/>
  <c r="L17" i="4" s="1"/>
  <c r="L18" i="4" l="1"/>
  <c r="L19" i="4" s="1"/>
  <c r="L23" i="4" s="1"/>
  <c r="L41" i="4" s="1"/>
  <c r="F17" i="4"/>
  <c r="F18" i="4" s="1"/>
  <c r="F19" i="4" s="1"/>
  <c r="F23" i="4" s="1"/>
  <c r="F41" i="4" s="1"/>
  <c r="I17" i="4"/>
  <c r="O60" i="1"/>
  <c r="O43" i="6"/>
  <c r="AF43" i="6" s="1"/>
  <c r="O17" i="4"/>
  <c r="D30" i="1"/>
  <c r="O69" i="1" l="1"/>
  <c r="O84" i="1" s="1"/>
  <c r="O110" i="1" s="1"/>
  <c r="I18" i="4"/>
  <c r="I19" i="4" s="1"/>
  <c r="I23" i="4" s="1"/>
  <c r="I41" i="4" s="1"/>
  <c r="O18" i="4"/>
  <c r="O63" i="1"/>
  <c r="O19" i="4" l="1"/>
  <c r="O39" i="6"/>
  <c r="O46" i="6" s="1"/>
  <c r="AF46" i="6" s="1"/>
  <c r="O23" i="4"/>
  <c r="O41" i="4" s="1"/>
  <c r="L112" i="1"/>
  <c r="AF39" i="6" l="1"/>
  <c r="O50" i="6"/>
  <c r="AF50" i="6" s="1"/>
  <c r="K112" i="1"/>
  <c r="O118" i="1"/>
  <c r="O86" i="6" l="1"/>
  <c r="AF86" i="6" s="1"/>
  <c r="O112" i="1"/>
  <c r="L122" i="1" s="1"/>
  <c r="O122" i="1" l="1"/>
  <c r="O123" i="1" s="1"/>
  <c r="L121" i="1" s="1"/>
  <c r="R123" i="1"/>
  <c r="N122" i="1"/>
  <c r="N127" i="1" l="1"/>
</calcChain>
</file>

<file path=xl/comments1.xml><?xml version="1.0" encoding="utf-8"?>
<comments xmlns="http://schemas.openxmlformats.org/spreadsheetml/2006/main">
  <authors>
    <author>avktro</author>
    <author>Roberto Tropea</author>
  </authors>
  <commentList>
    <comment ref="G10" authorId="0" shapeId="0">
      <text>
        <r>
          <rPr>
            <b/>
            <sz val="8"/>
            <color indexed="81"/>
            <rFont val="Tahoma"/>
            <family val="2"/>
          </rPr>
          <t>Anpassung ASFL für die sonderpädagogischen Massnahmen:</t>
        </r>
        <r>
          <rPr>
            <sz val="8"/>
            <color indexed="81"/>
            <rFont val="Tahoma"/>
            <family val="2"/>
          </rPr>
          <t xml:space="preserve">
- hier ist nur die Auf- oder Abwertung des Zuschlags einzutragen
- Der Zuschlag der letzten Beitragsberechnung finden Sie als Richtwert im Tabellenblatt 'Zuschlag so.päd. Massnahmen'
ASFL  Anteil ausländischer Schülerinnen und Schüler aus fremdsprachigen Ländern</t>
        </r>
      </text>
    </comment>
    <comment ref="G26" authorId="0" shapeId="0">
      <text>
        <r>
          <rPr>
            <sz val="8"/>
            <color indexed="81"/>
            <rFont val="Tahoma"/>
            <family val="2"/>
          </rPr>
          <t>Trifft nachfolgender Absatz zu, ist die Anzahl Lektionen ("Anrechnung Lektionen") vor dem Wechsel einzutragen.</t>
        </r>
      </text>
    </comment>
    <comment ref="I57" authorId="0" shapeId="0">
      <text>
        <r>
          <rPr>
            <sz val="8"/>
            <color indexed="81"/>
            <rFont val="Tahoma"/>
            <family val="2"/>
          </rPr>
          <t>entspricht Minimalpensum der Schulleitung(en) in der Schulgemeinde gem. Volksschulverordnung.
siehe auch Tabellenblatt "zusätzliche Angaben"</t>
        </r>
      </text>
    </comment>
    <comment ref="C74" authorId="1" shapeId="0">
      <text>
        <r>
          <rPr>
            <b/>
            <sz val="9"/>
            <color indexed="81"/>
            <rFont val="Segoe UI"/>
            <family val="2"/>
          </rPr>
          <t>Beitrag für Basisstufe / Mehrklassen</t>
        </r>
        <r>
          <rPr>
            <sz val="9"/>
            <color indexed="81"/>
            <rFont val="Segoe UI"/>
            <family val="2"/>
          </rPr>
          <t xml:space="preserve">
Ab Beitragsjahr 2021 (Rechnungsjahr 2020) werden für den Beitrag an Basisstufe / Mehrklassen auch die Besoldungsnebenkosten und der Zuschlag für Stellvertretungen hinzugerechnet. </t>
        </r>
      </text>
    </comment>
  </commentList>
</comments>
</file>

<file path=xl/comments2.xml><?xml version="1.0" encoding="utf-8"?>
<comments xmlns="http://schemas.openxmlformats.org/spreadsheetml/2006/main">
  <authors>
    <author>avktro</author>
  </authors>
  <commentList>
    <comment ref="AB33" authorId="0" shapeId="0">
      <text>
        <r>
          <rPr>
            <b/>
            <sz val="8"/>
            <color indexed="81"/>
            <rFont val="Tahoma"/>
            <family val="2"/>
          </rPr>
          <t>Konti Lehrerbesoldung</t>
        </r>
        <r>
          <rPr>
            <sz val="8"/>
            <color indexed="81"/>
            <rFont val="Tahoma"/>
            <family val="2"/>
          </rPr>
          <t xml:space="preserve">
+302.1
+302.21 (zu 50%)</t>
        </r>
      </text>
    </comment>
    <comment ref="B36" authorId="0" shapeId="0">
      <text>
        <r>
          <rPr>
            <sz val="8"/>
            <color indexed="81"/>
            <rFont val="Tahoma"/>
            <family val="2"/>
          </rPr>
          <t>auf 
-Lehrerbesoldung
inkl. Besoldungsnebenkosten</t>
        </r>
      </text>
    </comment>
    <comment ref="AB36" authorId="0" shapeId="0">
      <text>
        <r>
          <rPr>
            <b/>
            <sz val="8"/>
            <color indexed="81"/>
            <rFont val="Tahoma"/>
            <family val="2"/>
          </rPr>
          <t>Konto Stellvertretungen</t>
        </r>
        <r>
          <rPr>
            <sz val="8"/>
            <color indexed="81"/>
            <rFont val="Tahoma"/>
            <family val="2"/>
          </rPr>
          <t xml:space="preserve">
+302.8</t>
        </r>
      </text>
    </comment>
    <comment ref="B39" authorId="0" shapeId="0">
      <text>
        <r>
          <rPr>
            <sz val="8"/>
            <color indexed="81"/>
            <rFont val="Tahoma"/>
            <family val="2"/>
          </rPr>
          <t>auf
- Lehrerbesoldung
- Stellvertretungen
- Besoldung Schulleitung
- Lohnnebenkosten</t>
        </r>
      </text>
    </comment>
    <comment ref="AB39" authorId="0" shapeId="0">
      <text>
        <r>
          <rPr>
            <b/>
            <sz val="8"/>
            <color indexed="81"/>
            <rFont val="Tahoma"/>
            <family val="2"/>
          </rPr>
          <t xml:space="preserve">Konti sonderpäd. Massnahmen
</t>
        </r>
        <r>
          <rPr>
            <sz val="8"/>
            <color indexed="81"/>
            <rFont val="Tahoma"/>
            <family val="2"/>
          </rPr>
          <t>+302.21 (zu 50%)
+302.22
+302.25
+302.26
+302.27
+302.28
+302.29
+308.26
+308.27
+308.28
+308.29</t>
        </r>
        <r>
          <rPr>
            <sz val="8"/>
            <color indexed="81"/>
            <rFont val="Tahoma"/>
            <family val="2"/>
          </rPr>
          <t xml:space="preserve">
</t>
        </r>
      </text>
    </comment>
    <comment ref="AB43" authorId="0" shapeId="0">
      <text>
        <r>
          <rPr>
            <b/>
            <sz val="8"/>
            <color indexed="81"/>
            <rFont val="Tahoma"/>
            <family val="2"/>
          </rPr>
          <t>Konto Besoldung Schulleitung</t>
        </r>
        <r>
          <rPr>
            <sz val="8"/>
            <color indexed="81"/>
            <rFont val="Tahoma"/>
            <family val="2"/>
          </rPr>
          <t xml:space="preserve">
+301.2</t>
        </r>
      </text>
    </comment>
    <comment ref="B46" authorId="0" shapeId="0">
      <text>
        <r>
          <rPr>
            <sz val="8"/>
            <color indexed="81"/>
            <rFont val="Tahoma"/>
            <family val="2"/>
          </rPr>
          <t>auf 
- Lehrerbesoldung
- Besoldung Schulleitung</t>
        </r>
      </text>
    </comment>
    <comment ref="AB46" authorId="0" shapeId="0">
      <text>
        <r>
          <rPr>
            <b/>
            <sz val="8"/>
            <color indexed="81"/>
            <rFont val="Tahoma"/>
            <family val="2"/>
          </rPr>
          <t>Konti Besoldungsnebenkosten</t>
        </r>
        <r>
          <rPr>
            <sz val="8"/>
            <color indexed="81"/>
            <rFont val="Tahoma"/>
            <family val="2"/>
          </rPr>
          <t xml:space="preserve">
+302.3
+303
+304
+305</t>
        </r>
      </text>
    </comment>
    <comment ref="AB64" authorId="0" shapeId="0">
      <text>
        <r>
          <rPr>
            <b/>
            <sz val="8"/>
            <color indexed="81"/>
            <rFont val="Tahoma"/>
            <family val="2"/>
          </rPr>
          <t>Konti Gebäudeaufwand:</t>
        </r>
        <r>
          <rPr>
            <sz val="8"/>
            <color indexed="81"/>
            <rFont val="Tahoma"/>
            <family val="2"/>
          </rPr>
          <t xml:space="preserve">
siehe Unten</t>
        </r>
      </text>
    </comment>
    <comment ref="AB65" authorId="0" shapeId="0">
      <text>
        <r>
          <rPr>
            <b/>
            <sz val="8"/>
            <color indexed="81"/>
            <rFont val="Tahoma"/>
            <family val="2"/>
          </rPr>
          <t>Konti Verwaltungsaufwand</t>
        </r>
        <r>
          <rPr>
            <sz val="8"/>
            <color indexed="81"/>
            <rFont val="Tahoma"/>
            <family val="2"/>
          </rPr>
          <t xml:space="preserve">
+011(f)
+218(f) (saldiert)
-301.2(a)</t>
        </r>
      </text>
    </comment>
    <comment ref="AB72" authorId="0" shapeId="0">
      <text>
        <r>
          <rPr>
            <b/>
            <sz val="8"/>
            <color indexed="81"/>
            <rFont val="Tahoma"/>
            <family val="2"/>
          </rPr>
          <t>Konto Abschreibung</t>
        </r>
        <r>
          <rPr>
            <sz val="8"/>
            <color indexed="81"/>
            <rFont val="Tahoma"/>
            <family val="2"/>
          </rPr>
          <t xml:space="preserve">
+990.331</t>
        </r>
      </text>
    </comment>
    <comment ref="AB73" authorId="0" shapeId="0">
      <text>
        <r>
          <rPr>
            <b/>
            <sz val="8"/>
            <color indexed="81"/>
            <rFont val="Tahoma"/>
            <family val="2"/>
          </rPr>
          <t xml:space="preserve">Konto Zins
</t>
        </r>
        <r>
          <rPr>
            <sz val="8"/>
            <color indexed="81"/>
            <rFont val="Tahoma"/>
            <family val="2"/>
          </rPr>
          <t>+940.322</t>
        </r>
        <r>
          <rPr>
            <sz val="8"/>
            <color indexed="81"/>
            <rFont val="Tahoma"/>
            <family val="2"/>
          </rPr>
          <t xml:space="preserve">
</t>
        </r>
      </text>
    </comment>
    <comment ref="AB74" authorId="0" shapeId="0">
      <text>
        <r>
          <rPr>
            <b/>
            <sz val="8"/>
            <color indexed="81"/>
            <rFont val="Tahoma"/>
            <family val="2"/>
          </rPr>
          <t>Konti Unterhalt</t>
        </r>
        <r>
          <rPr>
            <sz val="8"/>
            <color indexed="81"/>
            <rFont val="Tahoma"/>
            <family val="2"/>
          </rPr>
          <t xml:space="preserve">
+217(f)
-427(a)
-434(a)</t>
        </r>
      </text>
    </comment>
  </commentList>
</comments>
</file>

<file path=xl/sharedStrings.xml><?xml version="1.0" encoding="utf-8"?>
<sst xmlns="http://schemas.openxmlformats.org/spreadsheetml/2006/main" count="603" uniqueCount="324">
  <si>
    <t>Erfassungen</t>
  </si>
  <si>
    <t>Schulgemeinde</t>
  </si>
  <si>
    <t>Hilfstabelle</t>
  </si>
  <si>
    <t>Kindergarten</t>
  </si>
  <si>
    <t>Primarschule</t>
  </si>
  <si>
    <t>Sekundarschule</t>
  </si>
  <si>
    <t>Total</t>
  </si>
  <si>
    <t>Faktor</t>
  </si>
  <si>
    <t>Lehrerbesoldung</t>
  </si>
  <si>
    <t>Schultyp</t>
  </si>
  <si>
    <t>Stellvertretungen</t>
  </si>
  <si>
    <t>Anrechnung</t>
  </si>
  <si>
    <t>Zuschlag</t>
  </si>
  <si>
    <t>Sonderpädagogische Massnahmen</t>
  </si>
  <si>
    <t>Besoldung Schulleitung</t>
  </si>
  <si>
    <t>übriger Aufwand</t>
  </si>
  <si>
    <t>Betriebspauschale</t>
  </si>
  <si>
    <t>Abrechnung Beiträge</t>
  </si>
  <si>
    <t>Steuerkraft</t>
  </si>
  <si>
    <t>anrechnung Steuerkraft</t>
  </si>
  <si>
    <t>PSG</t>
  </si>
  <si>
    <t>VSG</t>
  </si>
  <si>
    <t>SSG</t>
  </si>
  <si>
    <t>Bes.</t>
  </si>
  <si>
    <t>übrig. A.</t>
  </si>
  <si>
    <t>KIGA</t>
  </si>
  <si>
    <t>PS</t>
  </si>
  <si>
    <t>SEK</t>
  </si>
  <si>
    <t>Amt für Volksschule</t>
  </si>
  <si>
    <t>Finanzen</t>
  </si>
  <si>
    <t>Berechnung</t>
  </si>
  <si>
    <t>RJ</t>
  </si>
  <si>
    <t>So.päd.Massnahmen</t>
  </si>
  <si>
    <t xml:space="preserve">15.2.xx   </t>
  </si>
  <si>
    <t xml:space="preserve">15.9.xx   </t>
  </si>
  <si>
    <t xml:space="preserve">Durchschnitt   </t>
  </si>
  <si>
    <t>ohne Blockzeiten</t>
  </si>
  <si>
    <t>Besoldungsaufwand</t>
  </si>
  <si>
    <t>Besoldungspauschale</t>
  </si>
  <si>
    <t>relevantes Pensum</t>
  </si>
  <si>
    <t xml:space="preserve">Stichtage   </t>
  </si>
  <si>
    <t>Aadorf VSG</t>
  </si>
  <si>
    <t>Schülerzahlen</t>
  </si>
  <si>
    <t>*</t>
  </si>
  <si>
    <t>Zuschlag SEK</t>
  </si>
  <si>
    <t>Beitrag aufgrund Grösse SEK</t>
  </si>
  <si>
    <r>
      <t xml:space="preserve">Beitrag aufgrund der Grösse SEK: </t>
    </r>
    <r>
      <rPr>
        <sz val="8"/>
        <rFont val="Arial"/>
        <family val="2"/>
      </rPr>
      <t>§ 6 Abs. 2 BVO:</t>
    </r>
  </si>
  <si>
    <t>rel. Prozent</t>
  </si>
  <si>
    <t>Besoldungsnebenkosten</t>
  </si>
  <si>
    <t>Anrechnung Lektionen</t>
  </si>
  <si>
    <t>Affeltrangen SSG</t>
  </si>
  <si>
    <t>Altnau PSG</t>
  </si>
  <si>
    <t>Altnau SSG</t>
  </si>
  <si>
    <t>Arbon PSG</t>
  </si>
  <si>
    <t>Arbon SSG</t>
  </si>
  <si>
    <t>Berg-Birwinken VSG</t>
  </si>
  <si>
    <t>Berlingen PG</t>
  </si>
  <si>
    <t>Bettwiesen PSG</t>
  </si>
  <si>
    <t>Bichelsee-Balterswil VSG</t>
  </si>
  <si>
    <t>Bischofszell VSG</t>
  </si>
  <si>
    <t>Bottighofen PSG</t>
  </si>
  <si>
    <t>Braunau PSG</t>
  </si>
  <si>
    <t>Bürglen VSG</t>
  </si>
  <si>
    <t>Bussnang-Rothenhausen PSG</t>
  </si>
  <si>
    <t>Dozwil-Kesswil-Uttwil SSG</t>
  </si>
  <si>
    <t>Egnach VSG</t>
  </si>
  <si>
    <t>Erlen VSG</t>
  </si>
  <si>
    <t>Ermatingen PSG</t>
  </si>
  <si>
    <t>Ermatingen SSG</t>
  </si>
  <si>
    <t>Eschenz PSG</t>
  </si>
  <si>
    <t>Eschenz SSG</t>
  </si>
  <si>
    <t>Eschlikon VSG</t>
  </si>
  <si>
    <t>Fischingen VSG</t>
  </si>
  <si>
    <t>Frasnacht PSG</t>
  </si>
  <si>
    <t>Frauenfeld PSG</t>
  </si>
  <si>
    <t>Frauenfeld SSG</t>
  </si>
  <si>
    <t>Freidorf-Watt PSG</t>
  </si>
  <si>
    <t>Gachnang PSG</t>
  </si>
  <si>
    <t>Güttingen PSG</t>
  </si>
  <si>
    <t>Halingen SSG</t>
  </si>
  <si>
    <t>Herdern-Dettighofen PSG</t>
  </si>
  <si>
    <t>Horn VSG</t>
  </si>
  <si>
    <t>Hüttlingen PSG</t>
  </si>
  <si>
    <t>Hüttwilen PSG</t>
  </si>
  <si>
    <t>Hüttwilen SSG</t>
  </si>
  <si>
    <t>Kemmental VSG</t>
  </si>
  <si>
    <t>Kreuzlingen PSG</t>
  </si>
  <si>
    <t>Kreuzlingen SSG</t>
  </si>
  <si>
    <t>Langrickenbach PSG</t>
  </si>
  <si>
    <t>Lauchetal PSG</t>
  </si>
  <si>
    <t>Lommis PSG</t>
  </si>
  <si>
    <t>Mammern PG</t>
  </si>
  <si>
    <t>Märstetten PSG</t>
  </si>
  <si>
    <t>Matzingen PSG</t>
  </si>
  <si>
    <t>Müllheim PSG</t>
  </si>
  <si>
    <t>Müllheim SSG</t>
  </si>
  <si>
    <t>Münchwilen VSG</t>
  </si>
  <si>
    <t>Münsterlingen PSG</t>
  </si>
  <si>
    <t>Nollen VSG</t>
  </si>
  <si>
    <t>Nussbaumen PSG</t>
  </si>
  <si>
    <t>Oberhofen-Lengwil PSG</t>
  </si>
  <si>
    <t>Ottoberg PSG</t>
  </si>
  <si>
    <t>Pfyn PSG</t>
  </si>
  <si>
    <t>Regio Märwil PSG</t>
  </si>
  <si>
    <t>Rickenbach PSG</t>
  </si>
  <si>
    <t>Rickenbach-Wilen SSG</t>
  </si>
  <si>
    <t>Roggwil PSG</t>
  </si>
  <si>
    <t>Romanshorn PSG</t>
  </si>
  <si>
    <t>Romanshorn-Salmsach SSG</t>
  </si>
  <si>
    <t>Salenstein PG</t>
  </si>
  <si>
    <t>Salmsach PG</t>
  </si>
  <si>
    <t>Stachen PSG</t>
  </si>
  <si>
    <t>Steckborn PSG</t>
  </si>
  <si>
    <t>Steckborn SSG</t>
  </si>
  <si>
    <t>Stettfurt PSG</t>
  </si>
  <si>
    <t>Tägerwilen VSG</t>
  </si>
  <si>
    <t>Thundorf PSG</t>
  </si>
  <si>
    <t>Tobel-Tägerschen PG</t>
  </si>
  <si>
    <t>Uttwil PSG</t>
  </si>
  <si>
    <t>Wagenhausen-Kaltenbach PSG</t>
  </si>
  <si>
    <t>Wängi VSG</t>
  </si>
  <si>
    <t>Warth-Weiningen PSG</t>
  </si>
  <si>
    <t>Weinfelden PSG</t>
  </si>
  <si>
    <t>Weinfelden SSG</t>
  </si>
  <si>
    <t>Wigoltingen VSG</t>
  </si>
  <si>
    <t>Wilen bei Wil PSG</t>
  </si>
  <si>
    <t>Berechnung Beitragsleistungen</t>
  </si>
  <si>
    <t>ID_SG</t>
  </si>
  <si>
    <t>bitte wählen</t>
  </si>
  <si>
    <t>Amlikon-Holzhäusern PSG</t>
  </si>
  <si>
    <t>Uesslingen-Buch PSG</t>
  </si>
  <si>
    <t>Investition pro Kind</t>
  </si>
  <si>
    <t>Abschreibung</t>
  </si>
  <si>
    <t>Zins</t>
  </si>
  <si>
    <t>Unterhalt</t>
  </si>
  <si>
    <t>25 Jahre</t>
  </si>
  <si>
    <t>Sachaufwand Unterricht</t>
  </si>
  <si>
    <t>Gebäudeaufwand</t>
  </si>
  <si>
    <t>Verwaltungsaufwand</t>
  </si>
  <si>
    <t>Details Betriebspauschale</t>
  </si>
  <si>
    <t>Details Besoldung Schulleitung</t>
  </si>
  <si>
    <t>=</t>
  </si>
  <si>
    <t>Anzahl Stellenprozente</t>
  </si>
  <si>
    <t>Zusätzliche Angaben</t>
  </si>
  <si>
    <t>pro Schüler</t>
  </si>
  <si>
    <t>Erfassung</t>
  </si>
  <si>
    <t>Allgemein</t>
  </si>
  <si>
    <t>Tabellenblatt 'zusätzliche Angaben'</t>
  </si>
  <si>
    <t>Druck</t>
  </si>
  <si>
    <t>Formel gem. Volksschulverordnung</t>
  </si>
  <si>
    <t>Teuerung</t>
  </si>
  <si>
    <t>Differenz</t>
  </si>
  <si>
    <t>nicht betriebsnotw. u. Rundung</t>
  </si>
  <si>
    <t>Entlastungsbeitrag</t>
  </si>
  <si>
    <t xml:space="preserve">Mit der Tabelle können auch zukünftige Jahre berechnet werden. Dabei ist jedoch zu beachten, dass einige Parameter dafür hochgerechnet werden müssen. </t>
  </si>
  <si>
    <t xml:space="preserve">Standardmässig wird nur die Berechnung gedruckt. Unter 'Datei', 'Seite einrichten…', 'Tabelle' kann der Druckbereich jedoch verändert werden. </t>
  </si>
  <si>
    <t>Tabellenblatt 'Zuschlag so.päd. Massnahmen'</t>
  </si>
  <si>
    <t>Entlastungbeitrag</t>
  </si>
  <si>
    <t>Anrechnung des Besoldungsaufwands und des übrigen Aufwands pro Schüler</t>
  </si>
  <si>
    <t>alle Stufen</t>
  </si>
  <si>
    <t>Total Anrechnung pro Schüler</t>
  </si>
  <si>
    <t>Lektionen</t>
  </si>
  <si>
    <t>Anrechnung im Beitragssystem</t>
  </si>
  <si>
    <t>effktive Situation</t>
  </si>
  <si>
    <t>Total Besoldungsaufwand (exkl. Entlastungsbeitrag)</t>
  </si>
  <si>
    <t>Total übriger Aufwand</t>
  </si>
  <si>
    <t>Mehrklassen</t>
  </si>
  <si>
    <t>Abgleich Anrechnung im Beitragssystem zu den effektiven Kosten</t>
  </si>
  <si>
    <t>Total Besoldungsaufwand und übriger Aufwand</t>
  </si>
  <si>
    <t>Bemerkungen</t>
  </si>
  <si>
    <t>So.päd. Massnahmen</t>
  </si>
  <si>
    <t>Beitrag aufgrund der Grösse der Sekundarschule:</t>
  </si>
  <si>
    <t>Trifft § 6 Abs. 2 BVO zu, ist hier die Anzahl Lektionen gemäss Situation vor dem Wechsel einzutragen.</t>
  </si>
  <si>
    <t>Hier befinden sich diverse zusätzliche Angaben zur Beitragsberechnung.</t>
  </si>
  <si>
    <t>Felben-Wellhausen PSG</t>
  </si>
  <si>
    <t>Region Diessenhofen VSG</t>
  </si>
  <si>
    <t>Der variable Zuschlag für die sonderpädagogischen Massnahmen wird manuell eingegeben. Da der definitive Zuschlag jedoch erst am Ende des relevanten Rechnungsjahres bekannt ist, dient das Tabellenblatt 'Zuschlag so.päd.Massnahmen als Anhaltspunkt'.</t>
  </si>
  <si>
    <t>Wert</t>
  </si>
  <si>
    <t xml:space="preserve">Die Schulleiterbesoldung ist frühestens kurz vor Beginn des relevanten Rechnungsjahres bekannt. Somit werden die späteren Jahre mit der Teuerung gemäss Erfassung hochgerechnet. </t>
  </si>
  <si>
    <r>
      <t xml:space="preserve">Zins </t>
    </r>
    <r>
      <rPr>
        <vertAlign val="superscript"/>
        <sz val="8"/>
        <rFont val="Arial"/>
        <family val="2"/>
      </rPr>
      <t>1</t>
    </r>
  </si>
  <si>
    <t xml:space="preserve">gemäss Annuitätenformel : </t>
  </si>
  <si>
    <t xml:space="preserve">Investition /  </t>
  </si>
  <si>
    <t xml:space="preserve">  - Abschreibungen</t>
  </si>
  <si>
    <r>
      <t>(1 + Zins)</t>
    </r>
    <r>
      <rPr>
        <vertAlign val="superscript"/>
        <sz val="7"/>
        <rFont val="Arial"/>
        <family val="2"/>
      </rPr>
      <t>Laufzeit</t>
    </r>
    <r>
      <rPr>
        <sz val="7"/>
        <rFont val="Arial"/>
        <family val="2"/>
      </rPr>
      <t xml:space="preserve"> - 1</t>
    </r>
  </si>
  <si>
    <r>
      <t>(1 + Zins)</t>
    </r>
    <r>
      <rPr>
        <vertAlign val="superscript"/>
        <sz val="7"/>
        <rFont val="Arial"/>
        <family val="2"/>
      </rPr>
      <t>Laufzeit</t>
    </r>
    <r>
      <rPr>
        <sz val="7"/>
        <rFont val="Arial"/>
        <family val="2"/>
      </rPr>
      <t xml:space="preserve"> x Zins</t>
    </r>
  </si>
  <si>
    <t>Dozwil-Kesswil PSG</t>
  </si>
  <si>
    <t>Homburg PSG</t>
  </si>
  <si>
    <t>WVerweis</t>
  </si>
  <si>
    <t>Anzahl  Kinder</t>
  </si>
  <si>
    <t>Änderungsprotokoll der Berechnungshilfe</t>
  </si>
  <si>
    <t>Version</t>
  </si>
  <si>
    <t>Änderung</t>
  </si>
  <si>
    <t>Abschr.</t>
  </si>
  <si>
    <t>33 Jahre</t>
  </si>
  <si>
    <t xml:space="preserve">davon in Basisstufe oder Mehrklassen   </t>
  </si>
  <si>
    <t>Beitrag für Basisstufe/Mehrklassen</t>
  </si>
  <si>
    <t>+ 10 pro angefange 380 Kinder</t>
  </si>
  <si>
    <t>Unterrichtswochen</t>
  </si>
  <si>
    <t xml:space="preserve">Die Parameter der Besoldungspauschale und der Betriebspauschale werden jeweils Ende Jahr für nachfolgende Rechnungsjahr definiert und in der Berechungshilfe erfasst. Die Anpassungen der Parameter sind im Änderungsprotokoll sichtbar. </t>
  </si>
  <si>
    <t xml:space="preserve">Der Zuschlag für sonderpädadogische Massnahmen im Tabellenblatt "Zuschlag so.päd. Massnahmen" dient als Hilfestellung. Der definitive Zuschlag wir jeweils Ende des laufenden Rechnungsjahres definiert und kommuniziert. </t>
  </si>
  <si>
    <t>Neunforn VSG</t>
  </si>
  <si>
    <t>Abschreibungen</t>
  </si>
  <si>
    <t>Globalbudget Baufolgekosten</t>
  </si>
  <si>
    <t>Ordentliche Abschreibungen</t>
  </si>
  <si>
    <t>Zinsen kurzfr. Schulden</t>
  </si>
  <si>
    <t>Zinsen langfr. Schulden</t>
  </si>
  <si>
    <t>Funktion</t>
  </si>
  <si>
    <t>Konto</t>
  </si>
  <si>
    <t>33xx.xx</t>
  </si>
  <si>
    <t>3401.xx</t>
  </si>
  <si>
    <t>3406.xx</t>
  </si>
  <si>
    <t>Kontobezeichnung</t>
  </si>
  <si>
    <t>CHF</t>
  </si>
  <si>
    <t>Soll</t>
  </si>
  <si>
    <t>Haben</t>
  </si>
  <si>
    <t>zusätzliche Abschreibungen</t>
  </si>
  <si>
    <t>Einl. Vorfinanzierungen</t>
  </si>
  <si>
    <t>383x.xx</t>
  </si>
  <si>
    <t>3893.xx</t>
  </si>
  <si>
    <t>4831.xx</t>
  </si>
  <si>
    <t>4893.xx</t>
  </si>
  <si>
    <t>Aufl. kum. zus. Abschreib.</t>
  </si>
  <si>
    <t>Entn. Vorfinanzierungen</t>
  </si>
  <si>
    <t>Liegenschaften</t>
  </si>
  <si>
    <t>4892.xx</t>
  </si>
  <si>
    <t>Entnahmen aus Globalbudgetbereich</t>
  </si>
  <si>
    <t>Einlagepotential</t>
  </si>
  <si>
    <t>Effektive Baufolgekosten</t>
  </si>
  <si>
    <t>Total Einlagepotential in Erneuerungsfonds Baufolgekosten</t>
  </si>
  <si>
    <t>Position</t>
  </si>
  <si>
    <t>Region Sulgen VSG</t>
  </si>
  <si>
    <t>ÜBER-Ø</t>
  </si>
  <si>
    <t>UNTER-Ø</t>
  </si>
  <si>
    <t>Steuerkaft/Ew</t>
  </si>
  <si>
    <t>Abschöpfungsquote</t>
  </si>
  <si>
    <t>pro Lektion</t>
  </si>
  <si>
    <t>von</t>
  </si>
  <si>
    <t xml:space="preserve">Diese Berechnungshilfe kann für Berechnungen der Beitragsleistungen ab dem Rechnungsjahr 2020 (Beitragsjahr 2021) verwendet werden. </t>
  </si>
  <si>
    <t xml:space="preserve">Alle nötigen Angaben werden über die grünen Felder gemacht. Aus diesen Daten werden die Beiträge berechnet. </t>
  </si>
  <si>
    <r>
      <t>Anrechnung Schülerzahlen</t>
    </r>
    <r>
      <rPr>
        <sz val="10"/>
        <rFont val="Arial"/>
        <family val="2"/>
      </rPr>
      <t xml:space="preserve">
Schülerinnen und Schüler mit Wohnort in der Schulgemeinde (Schulpflicht 'hier'). Ausnahmen: Umteilung der Schulaufsicht oder Besuch eines Angebots der Begabtenförderung. In diesen Fällen ist die Schulortgemeinde relevant (Schulort 'hier').
Keine Anrechnung von Schülerinnen und Schüler aus anderen Kantonen oder mit Schulort in anderen Kantonen (Ausnahme Staatsvertrag). </t>
    </r>
  </si>
  <si>
    <t>Tabellenblatt 'Einlagepotenzial Baufolgekosten'</t>
  </si>
  <si>
    <t xml:space="preserve">Berechnung des maximal möglichen Einlagepotenzials für den Erneuerungsfonds Baufolgekosten. </t>
  </si>
  <si>
    <t xml:space="preserve">Schultyp </t>
  </si>
  <si>
    <t>- Umsetzung Beitragsrevision 2020</t>
  </si>
  <si>
    <t>Berechnung Einlagepotenzial in Erneuerungsfonds Baufolgekosten</t>
  </si>
  <si>
    <t>provisorische Berechnung der Schulgemeinde</t>
  </si>
  <si>
    <t>- geringfügige Anpassung bei der Berechnung des Nettoabschöpfungspotenzials</t>
  </si>
  <si>
    <t>- Korrektur der Lektionenansätze PS für RJ 2021 und 2022</t>
  </si>
  <si>
    <t>Amriswil-Hefenhofen-Sommeri VSG</t>
  </si>
  <si>
    <t>Sirnach PG</t>
  </si>
  <si>
    <t>Lehrerbesoldung pro Lektion</t>
  </si>
  <si>
    <t>Beitrag für Basisstufen/Mehrklassen</t>
  </si>
  <si>
    <t>- Integration definitive Parameter 2020</t>
  </si>
  <si>
    <r>
      <t>Schülerzahlen Wohnort</t>
    </r>
    <r>
      <rPr>
        <sz val="8"/>
        <rFont val="Arial"/>
        <family val="2"/>
      </rPr>
      <t xml:space="preserve"> (Schulpflicht 'hier'; exkl. Sonder-, Privat-, Mittelschüler)</t>
    </r>
  </si>
  <si>
    <t>- geringfügige darstellerische Anpassung im Tabellenblatt "Einlagepotenzial Baufolgekosten"</t>
  </si>
  <si>
    <t xml:space="preserve">- Korrektur Beitragsberechnung für äusserst seltenen Fall: bei Schulgemeinden mit Beiträgen an den übrigen Aufwand und einem Abschöpfungspotenzial, welches tiefer als der Beitrang an den übrigen Aufwand ist, wurde der Beitrag an den übrigen Aufwand nicht um das Abschöpfungspotenzial reduziert. </t>
  </si>
  <si>
    <t>Abschöpfungsquote:</t>
  </si>
  <si>
    <t xml:space="preserve">Diese ändert jährlich. Die definitive Abschöpfungsquote ist erst bei der Schlusszahlung/-rechnung bekannt. Zur Budgetierung wird empfohlen, die letztjährige Abschöpfungsquote (ab Beitragsjahr 2022) oder diejenige aus der entsprechenden AV-Info respektive aus dem Prognosetool zu verwenden. </t>
  </si>
  <si>
    <t>- Integration definitive Parameter 2021</t>
  </si>
  <si>
    <t>Berechnung Beitragsleistungen - Beitragsgesetz (RB 411.61)</t>
  </si>
  <si>
    <r>
      <t>Anpassung ASFL</t>
    </r>
    <r>
      <rPr>
        <vertAlign val="superscript"/>
        <sz val="8"/>
        <rFont val="Arial"/>
        <family val="2"/>
      </rPr>
      <t>1</t>
    </r>
  </si>
  <si>
    <r>
      <t>Sonderpädagogische Massnahmen:</t>
    </r>
    <r>
      <rPr>
        <sz val="8"/>
        <rFont val="Arial"/>
        <family val="2"/>
      </rPr>
      <t xml:space="preserve"> Anpassung ASFL</t>
    </r>
    <r>
      <rPr>
        <vertAlign val="superscript"/>
        <sz val="8"/>
        <rFont val="Arial"/>
        <family val="2"/>
      </rPr>
      <t>1</t>
    </r>
  </si>
  <si>
    <r>
      <rPr>
        <vertAlign val="superscript"/>
        <sz val="8"/>
        <rFont val="Arial"/>
        <family val="2"/>
      </rPr>
      <t>1</t>
    </r>
    <r>
      <rPr>
        <sz val="8"/>
        <rFont val="Arial"/>
        <family val="2"/>
      </rPr>
      <t xml:space="preserve"> ASFL   Anteil ausländischer Schülerinnen und Schüler aus fremdsprachigen Ländern</t>
    </r>
  </si>
  <si>
    <t>Schülerzahl</t>
  </si>
  <si>
    <t>Beitrag</t>
  </si>
  <si>
    <t>Ermittelter Besoldungsaufwand</t>
  </si>
  <si>
    <t>sonderpädagogische Massnahmen</t>
  </si>
  <si>
    <t>Ermittelter übriger Aufwand</t>
  </si>
  <si>
    <t>Steuerkraft der Einwohner</t>
  </si>
  <si>
    <t>Beitrag an Besoldungsaufwand</t>
  </si>
  <si>
    <t>ermittelter Besoldungsaufwand</t>
  </si>
  <si>
    <t>Anrechnung Steuerertrag</t>
  </si>
  <si>
    <t>Kantonsbeitrag</t>
  </si>
  <si>
    <t>Beitrag an übrigen Aufwand</t>
  </si>
  <si>
    <t>ermittelter übriger Aufwand</t>
  </si>
  <si>
    <t>Abschöpfungsbeitrag</t>
  </si>
  <si>
    <t>Netto-Abschöpfungspotenzial</t>
  </si>
  <si>
    <t>Gemeindebeitrag</t>
  </si>
  <si>
    <t>Beitragsleistungen (+)   /   Abschöpfungsbeitrag (-)</t>
  </si>
  <si>
    <t xml:space="preserve">Total </t>
  </si>
  <si>
    <t>generelle Lohnanpassung</t>
  </si>
  <si>
    <t>(Rechnungsjahr)</t>
  </si>
  <si>
    <t>- geringfügige darstellerische Anpassung</t>
  </si>
  <si>
    <r>
      <t>Erfassungen</t>
    </r>
    <r>
      <rPr>
        <sz val="12"/>
        <rFont val="Arial"/>
        <family val="2"/>
      </rPr>
      <t xml:space="preserve"> relevante Konti Baufolgekosten</t>
    </r>
  </si>
  <si>
    <r>
      <t xml:space="preserve">Berechnung </t>
    </r>
    <r>
      <rPr>
        <sz val="12"/>
        <rFont val="Arial"/>
        <family val="2"/>
      </rPr>
      <t>Einlagepotenzial Erneuerungsfonds Baufolgekosten</t>
    </r>
  </si>
  <si>
    <t>gem. Schultyp</t>
  </si>
  <si>
    <t>Anpassung ASFL</t>
  </si>
  <si>
    <t>SG_BEZEICHNUNG</t>
  </si>
  <si>
    <t>Jahr</t>
  </si>
  <si>
    <t>- Integration definitive Parameter 2022</t>
  </si>
  <si>
    <t>Hier erfasste Einlagen in Vorfinanzierungen sind zwingend auch in der Summe der Funktion 2170 zu erfassen (auch wenn diese im Rahmen der Verwendung des Ertragsüberschusses vorgenommen wurden).</t>
  </si>
  <si>
    <r>
      <rPr>
        <sz val="8"/>
        <rFont val="Arial"/>
        <family val="2"/>
      </rPr>
      <t>Summe gesamte Funktion</t>
    </r>
    <r>
      <rPr>
        <b/>
        <sz val="8"/>
        <color rgb="FFFF0000"/>
        <rFont val="Arial"/>
        <family val="2"/>
      </rPr>
      <t xml:space="preserve">
exkl. 3511</t>
    </r>
  </si>
  <si>
    <r>
      <t xml:space="preserve">In der Summe der Funktion 2170 muss das Total an Aufwänden und Erträgen der gesamten Funktion </t>
    </r>
    <r>
      <rPr>
        <b/>
        <sz val="10"/>
        <color rgb="FFFF0000"/>
        <rFont val="Arial"/>
        <family val="2"/>
      </rPr>
      <t>exklusiv des Kontos "3511 - Einlagen Erneuerungsfonds"</t>
    </r>
    <r>
      <rPr>
        <sz val="10"/>
        <rFont val="Arial"/>
        <family val="2"/>
      </rPr>
      <t xml:space="preserve"> erfasst werden. Sowohl budgetierte Einlagen als auch Einlagen im Rahmen der Verwendung des Ertragsüberschusses dürfen in der Summe </t>
    </r>
    <r>
      <rPr>
        <b/>
        <sz val="10"/>
        <rFont val="Arial"/>
        <family val="2"/>
      </rPr>
      <t>nicht</t>
    </r>
    <r>
      <rPr>
        <sz val="10"/>
        <rFont val="Arial"/>
        <family val="2"/>
      </rPr>
      <t xml:space="preserve"> erfasst werden.</t>
    </r>
  </si>
  <si>
    <t>Lektionenfaktor</t>
  </si>
  <si>
    <t>- Aktualisierung generelle Lohnanpassung 2023 gem. kant. Budgetbotschaft</t>
  </si>
  <si>
    <t>Liste mit den errechneten Zuschlägen mit dem Raster gemäss RRB</t>
  </si>
  <si>
    <t>- Integration definitive Parameter 2023</t>
  </si>
  <si>
    <t>nicht betriebsnotwenig</t>
  </si>
  <si>
    <t>Details Betriebspauschale - Gebäudeaufwand</t>
  </si>
  <si>
    <t>Kontrolltotal</t>
  </si>
  <si>
    <t>Anpassung Besoldungsaufwand</t>
  </si>
  <si>
    <t>Anpassung übriger Aufwand</t>
  </si>
  <si>
    <t xml:space="preserve">- neue Erfassungsfelder für eine allfällige Anpassung des Besoldungsaufwandes </t>
  </si>
  <si>
    <t>und übrigen Aufwandes</t>
  </si>
  <si>
    <t xml:space="preserve">pro EW  </t>
  </si>
  <si>
    <t xml:space="preserve">Total  </t>
  </si>
  <si>
    <t xml:space="preserve">Rechnungsjahr  </t>
  </si>
  <si>
    <t xml:space="preserve">Abschöpfungsquote  </t>
  </si>
  <si>
    <t>- Präzisierung für die Erfassung der Steuerkraft</t>
  </si>
  <si>
    <t>die Parameter der Beitragsleistungen sind für das ausgewählte Jahr hochgerechnet und noch nicht definitiv</t>
  </si>
  <si>
    <t>» der Text wird bei der Auswahl des Rechnungsjahres in der Berechnung ausgegeben</t>
  </si>
  <si>
    <t>» Achtung bei Anpassungen: auch Aufteilung muss untern gemacht werden.</t>
  </si>
  <si>
    <t xml:space="preserve">- Integration prov. Auswirkungen der Erhöhung der Einreihung der KIGA-LP und der </t>
  </si>
  <si>
    <t>HW/TW-LP auf Sek per 2024</t>
  </si>
  <si>
    <t>Eingabe nur nötig, wenn folgendes zutrifft: 'Schulgemeinden, bei welchen ein Wechsel zur nächsten Kategorie zu einer Reduktion der Anzahl Lektionen führt, wird die Differenz zum Faktor aufgerechnet. Ausgangspunkt ist die Situation vor dem Wechsel der Kategorie.' Trifft dies zu, ist die Anzahl Lektionen ("Anrechnung Lektionen") vor dem Wechsel einzutragen.</t>
  </si>
  <si>
    <t>- Integration definitive Parameter 2024</t>
  </si>
  <si>
    <t>Zuschlag für sonderpädagogische Massnahmen RJ 2023</t>
  </si>
  <si>
    <t>Hinweise:</t>
  </si>
  <si>
    <t>Zur Berechnung des Einlagepotenzials sind mindestens folgende Werte zu erfassen:</t>
  </si>
  <si>
    <t>. Rechnungsjahr</t>
  </si>
  <si>
    <t xml:space="preserve">- Tabellenblatt "Berechnungshilfe": </t>
  </si>
  <si>
    <t>. Schülerzahlen der drei Jahre</t>
  </si>
  <si>
    <t xml:space="preserve">- Tabellenblatt "Einlagepotenz. Erneuerungsfonds": </t>
  </si>
  <si>
    <t>. Werte der Konti in den gründen Feldern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</si>
</sst>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3" formatCode="_ * #,##0.00_ ;_ * \-#,##0.00_ ;_ * &quot;-&quot;??_ ;_ @_ "/>
    <numFmt numFmtId="164" formatCode="&quot;* &quot;#,###"/>
    <numFmt numFmtId="165" formatCode="_ [$€-2]\ * #,##0.00_ ;_ [$€-2]\ * \-#,##0.00_ ;_ [$€-2]\ * &quot;-&quot;??_ "/>
    <numFmt numFmtId="166" formatCode="0.0%"/>
    <numFmt numFmtId="167" formatCode="0.0"/>
    <numFmt numFmtId="168" formatCode="&quot;(&quot;#,###&quot;)&quot;"/>
    <numFmt numFmtId="169" formatCode="#,##0.0"/>
    <numFmt numFmtId="170" formatCode="\+0%;\ \-0%;\ 0%"/>
    <numFmt numFmtId="171" formatCode="&quot;* &quot;#.0"/>
    <numFmt numFmtId="172" formatCode="_ * #,##0_ ;_ * \-#,##0_ ;_ * &quot;-&quot;??_ ;_ @_ "/>
    <numFmt numFmtId="173" formatCode="&quot;* &quot;#.00"/>
    <numFmt numFmtId="174" formatCode="\+\ ##&quot;*&quot;"/>
    <numFmt numFmtId="175" formatCode="0.0000%"/>
    <numFmt numFmtId="176" formatCode="#,##0&quot; L&quot;"/>
  </numFmts>
  <fonts count="53" x14ac:knownFonts="1">
    <font>
      <sz val="10"/>
      <name val="Arial"/>
    </font>
    <font>
      <sz val="10"/>
      <name val="Arial"/>
      <family val="2"/>
    </font>
    <font>
      <b/>
      <sz val="15"/>
      <name val="Arial"/>
      <family val="2"/>
    </font>
    <font>
      <sz val="10"/>
      <name val="Arial"/>
      <family val="2"/>
    </font>
    <font>
      <b/>
      <sz val="10"/>
      <name val="Arial"/>
      <family val="2"/>
    </font>
    <font>
      <b/>
      <sz val="12"/>
      <name val="Arial"/>
      <family val="2"/>
    </font>
    <font>
      <sz val="10"/>
      <color indexed="9"/>
      <name val="Arial"/>
      <family val="2"/>
    </font>
    <font>
      <sz val="10"/>
      <color indexed="8"/>
      <name val="MS Sans Serif"/>
      <family val="2"/>
    </font>
    <font>
      <sz val="8"/>
      <color indexed="8"/>
      <name val="Arial"/>
      <family val="2"/>
    </font>
    <font>
      <b/>
      <sz val="10"/>
      <color indexed="9"/>
      <name val="Arial"/>
      <family val="2"/>
    </font>
    <font>
      <sz val="8"/>
      <name val="Arial"/>
      <family val="2"/>
    </font>
    <font>
      <b/>
      <sz val="8"/>
      <name val="Arial"/>
      <family val="2"/>
    </font>
    <font>
      <b/>
      <sz val="8"/>
      <name val="Arial"/>
      <family val="2"/>
    </font>
    <font>
      <sz val="8"/>
      <name val="Arial"/>
      <family val="2"/>
    </font>
    <font>
      <b/>
      <u/>
      <sz val="10"/>
      <color indexed="9"/>
      <name val="Arial"/>
      <family val="2"/>
    </font>
    <font>
      <u/>
      <sz val="10"/>
      <color indexed="9"/>
      <name val="Arial"/>
      <family val="2"/>
    </font>
    <font>
      <u/>
      <sz val="10"/>
      <name val="Arial"/>
      <family val="2"/>
    </font>
    <font>
      <b/>
      <u/>
      <sz val="8"/>
      <name val="Arial"/>
      <family val="2"/>
    </font>
    <font>
      <i/>
      <sz val="8"/>
      <name val="Arial"/>
      <family val="2"/>
    </font>
    <font>
      <sz val="10"/>
      <name val="Arial"/>
      <family val="2"/>
    </font>
    <font>
      <b/>
      <sz val="10"/>
      <name val="Arial"/>
      <family val="2"/>
    </font>
    <font>
      <sz val="10"/>
      <name val="Arial"/>
      <family val="2"/>
    </font>
    <font>
      <sz val="10"/>
      <color indexed="9"/>
      <name val="Arial"/>
      <family val="2"/>
    </font>
    <font>
      <sz val="8"/>
      <color indexed="9"/>
      <name val="Arial"/>
      <family val="2"/>
    </font>
    <font>
      <sz val="8"/>
      <color indexed="9"/>
      <name val="Arial"/>
      <family val="2"/>
    </font>
    <font>
      <sz val="8"/>
      <color indexed="81"/>
      <name val="Tahoma"/>
      <family val="2"/>
    </font>
    <font>
      <sz val="7"/>
      <name val="Arial"/>
      <family val="2"/>
    </font>
    <font>
      <sz val="7"/>
      <name val="Arial"/>
      <family val="2"/>
    </font>
    <font>
      <sz val="10"/>
      <color indexed="8"/>
      <name val="Arial"/>
      <family val="2"/>
    </font>
    <font>
      <sz val="10"/>
      <color indexed="10"/>
      <name val="Arial"/>
      <family val="2"/>
    </font>
    <font>
      <b/>
      <sz val="10"/>
      <color indexed="10"/>
      <name val="Arial"/>
      <family val="2"/>
    </font>
    <font>
      <sz val="8"/>
      <color indexed="12"/>
      <name val="Arial"/>
      <family val="2"/>
    </font>
    <font>
      <b/>
      <i/>
      <sz val="10"/>
      <color indexed="12"/>
      <name val="Arial"/>
      <family val="2"/>
    </font>
    <font>
      <b/>
      <i/>
      <sz val="8"/>
      <name val="Arial"/>
      <family val="2"/>
    </font>
    <font>
      <b/>
      <sz val="8"/>
      <color indexed="81"/>
      <name val="Tahoma"/>
      <family val="2"/>
    </font>
    <font>
      <b/>
      <sz val="12"/>
      <color indexed="10"/>
      <name val="Arial"/>
      <family val="2"/>
    </font>
    <font>
      <u/>
      <sz val="8"/>
      <name val="Arial"/>
      <family val="2"/>
    </font>
    <font>
      <vertAlign val="superscript"/>
      <sz val="8"/>
      <name val="Arial"/>
      <family val="2"/>
    </font>
    <font>
      <vertAlign val="superscript"/>
      <sz val="7"/>
      <name val="Arial"/>
      <family val="2"/>
    </font>
    <font>
      <sz val="10"/>
      <color rgb="FFFF0000"/>
      <name val="Arial"/>
      <family val="2"/>
    </font>
    <font>
      <b/>
      <sz val="12"/>
      <color theme="0"/>
      <name val="Arial"/>
      <family val="2"/>
    </font>
    <font>
      <sz val="8"/>
      <color theme="0"/>
      <name val="Arial"/>
      <family val="2"/>
    </font>
    <font>
      <b/>
      <sz val="12"/>
      <color rgb="FFFF0000"/>
      <name val="Arial"/>
      <family val="2"/>
    </font>
    <font>
      <b/>
      <sz val="10"/>
      <color rgb="FFFF0000"/>
      <name val="Arial"/>
      <family val="2"/>
    </font>
    <font>
      <b/>
      <sz val="8"/>
      <color rgb="FFFF0000"/>
      <name val="Arial"/>
      <family val="2"/>
    </font>
    <font>
      <sz val="9"/>
      <color indexed="81"/>
      <name val="Segoe UI"/>
      <family val="2"/>
    </font>
    <font>
      <b/>
      <sz val="9"/>
      <color indexed="81"/>
      <name val="Segoe UI"/>
      <family val="2"/>
    </font>
    <font>
      <sz val="12"/>
      <name val="Arial"/>
      <family val="2"/>
    </font>
    <font>
      <b/>
      <i/>
      <sz val="10"/>
      <name val="Arial"/>
      <family val="2"/>
    </font>
    <font>
      <i/>
      <sz val="10"/>
      <name val="Arial"/>
      <family val="2"/>
    </font>
    <font>
      <b/>
      <sz val="12"/>
      <color theme="3" tint="0.39997558519241921"/>
      <name val="Arial"/>
      <family val="2"/>
    </font>
    <font>
      <b/>
      <sz val="10"/>
      <color theme="3" tint="0.39997558519241921"/>
      <name val="Arial"/>
      <family val="2"/>
    </font>
    <font>
      <i/>
      <sz val="10"/>
      <color theme="3" tint="0.39997558519241921"/>
      <name val="Arial"/>
      <family val="2"/>
    </font>
  </fonts>
  <fills count="14">
    <fill>
      <patternFill patternType="none"/>
    </fill>
    <fill>
      <patternFill patternType="gray125"/>
    </fill>
    <fill>
      <patternFill patternType="solid">
        <fgColor indexed="34"/>
        <bgColor indexed="64"/>
      </patternFill>
    </fill>
    <fill>
      <patternFill patternType="solid">
        <fgColor indexed="22"/>
        <bgColor indexed="64"/>
      </patternFill>
    </fill>
    <fill>
      <patternFill patternType="solid">
        <fgColor indexed="43"/>
        <bgColor indexed="64"/>
      </patternFill>
    </fill>
    <fill>
      <patternFill patternType="solid">
        <fgColor indexed="23"/>
        <bgColor indexed="64"/>
      </patternFill>
    </fill>
    <fill>
      <patternFill patternType="solid">
        <fgColor indexed="4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rgb="FFCCFFCC"/>
        <bgColor indexed="64"/>
      </patternFill>
    </fill>
    <fill>
      <patternFill patternType="solid">
        <fgColor rgb="FFFF0000"/>
        <bgColor indexed="64"/>
      </patternFill>
    </fill>
    <fill>
      <patternFill patternType="solid">
        <fgColor theme="0"/>
        <bgColor indexed="64"/>
      </patternFill>
    </fill>
    <fill>
      <patternFill patternType="solid">
        <fgColor rgb="FFFFFF99"/>
        <bgColor indexed="64"/>
      </patternFill>
    </fill>
    <fill>
      <patternFill patternType="solid">
        <fgColor rgb="FFEAEAEA"/>
        <bgColor indexed="64"/>
      </patternFill>
    </fill>
  </fills>
  <borders count="4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23"/>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6">
    <xf numFmtId="0" fontId="0" fillId="0" borderId="0"/>
    <xf numFmtId="165"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 fillId="0" borderId="0"/>
    <xf numFmtId="0" fontId="7" fillId="0" borderId="0"/>
  </cellStyleXfs>
  <cellXfs count="638">
    <xf numFmtId="0" fontId="0" fillId="0" borderId="0" xfId="0"/>
    <xf numFmtId="0" fontId="2" fillId="0" borderId="0" xfId="0" applyFont="1" applyProtection="1"/>
    <xf numFmtId="0" fontId="3" fillId="0" borderId="0" xfId="0" applyFont="1" applyProtection="1"/>
    <xf numFmtId="0" fontId="3" fillId="0" borderId="0" xfId="0" applyFont="1" applyBorder="1" applyProtection="1"/>
    <xf numFmtId="0" fontId="4" fillId="0" borderId="0" xfId="0" applyFont="1" applyProtection="1"/>
    <xf numFmtId="0" fontId="5" fillId="2" borderId="1" xfId="0" applyFont="1" applyFill="1" applyBorder="1" applyProtection="1"/>
    <xf numFmtId="0" fontId="5" fillId="2" borderId="2" xfId="0" applyFont="1" applyFill="1" applyBorder="1" applyProtection="1"/>
    <xf numFmtId="0" fontId="3" fillId="2" borderId="2" xfId="0" applyFont="1" applyFill="1" applyBorder="1" applyProtection="1"/>
    <xf numFmtId="0" fontId="3" fillId="2" borderId="3" xfId="0" applyFont="1" applyFill="1" applyBorder="1" applyProtection="1"/>
    <xf numFmtId="0" fontId="0" fillId="0" borderId="0" xfId="0" applyBorder="1"/>
    <xf numFmtId="0" fontId="0" fillId="0" borderId="4" xfId="0" applyBorder="1"/>
    <xf numFmtId="0" fontId="0" fillId="0" borderId="5" xfId="0" applyBorder="1"/>
    <xf numFmtId="0" fontId="0" fillId="0" borderId="6" xfId="0" applyBorder="1"/>
    <xf numFmtId="0" fontId="0" fillId="0" borderId="7" xfId="0" applyBorder="1"/>
    <xf numFmtId="166" fontId="0" fillId="0" borderId="0" xfId="0" applyNumberFormat="1" applyBorder="1"/>
    <xf numFmtId="166" fontId="0" fillId="0" borderId="5" xfId="0" applyNumberFormat="1" applyBorder="1"/>
    <xf numFmtId="166" fontId="0" fillId="0" borderId="8" xfId="0" applyNumberFormat="1" applyBorder="1"/>
    <xf numFmtId="166" fontId="0" fillId="0" borderId="7" xfId="0" applyNumberFormat="1" applyBorder="1"/>
    <xf numFmtId="0" fontId="10" fillId="0" borderId="0" xfId="0" applyFont="1"/>
    <xf numFmtId="0" fontId="10" fillId="0" borderId="0" xfId="0" applyFont="1" applyAlignment="1">
      <alignment horizontal="right"/>
    </xf>
    <xf numFmtId="164" fontId="8" fillId="0" borderId="0" xfId="5" applyNumberFormat="1" applyFont="1" applyBorder="1" applyAlignment="1" applyProtection="1">
      <alignment horizontal="right" vertical="center"/>
    </xf>
    <xf numFmtId="0" fontId="0" fillId="0" borderId="0" xfId="0" applyProtection="1"/>
    <xf numFmtId="0" fontId="12" fillId="0" borderId="0" xfId="0" applyFont="1"/>
    <xf numFmtId="0" fontId="12" fillId="0" borderId="0" xfId="0" applyFont="1" applyAlignment="1">
      <alignment vertical="center"/>
    </xf>
    <xf numFmtId="0" fontId="10" fillId="0" borderId="0" xfId="0" applyFont="1" applyAlignment="1">
      <alignment vertical="center"/>
    </xf>
    <xf numFmtId="0" fontId="0" fillId="0" borderId="0" xfId="0" applyAlignment="1">
      <alignment vertical="center"/>
    </xf>
    <xf numFmtId="0" fontId="10" fillId="0" borderId="0" xfId="0" applyFont="1" applyBorder="1"/>
    <xf numFmtId="0" fontId="0" fillId="0" borderId="8" xfId="0" applyBorder="1"/>
    <xf numFmtId="0" fontId="12" fillId="0" borderId="0" xfId="0" applyFont="1" applyAlignment="1">
      <alignment horizontal="left" vertical="center"/>
    </xf>
    <xf numFmtId="0" fontId="0" fillId="0" borderId="9" xfId="0" applyBorder="1"/>
    <xf numFmtId="3" fontId="11" fillId="0" borderId="0" xfId="0" applyNumberFormat="1" applyFont="1" applyBorder="1"/>
    <xf numFmtId="0" fontId="10" fillId="3" borderId="10" xfId="0" applyFont="1" applyFill="1" applyBorder="1"/>
    <xf numFmtId="0" fontId="10" fillId="3" borderId="11" xfId="0" applyFont="1" applyFill="1" applyBorder="1"/>
    <xf numFmtId="9" fontId="10" fillId="0" borderId="0" xfId="0" applyNumberFormat="1" applyFont="1" applyBorder="1"/>
    <xf numFmtId="3" fontId="10" fillId="0" borderId="0" xfId="0" applyNumberFormat="1" applyFont="1" applyBorder="1"/>
    <xf numFmtId="0" fontId="10" fillId="3" borderId="9" xfId="0" applyFont="1" applyFill="1" applyBorder="1"/>
    <xf numFmtId="0" fontId="10" fillId="3" borderId="12" xfId="0" applyFont="1" applyFill="1" applyBorder="1"/>
    <xf numFmtId="0" fontId="16" fillId="0" borderId="0" xfId="0" applyFont="1" applyAlignment="1">
      <alignment vertical="center"/>
    </xf>
    <xf numFmtId="164" fontId="8" fillId="0" borderId="13" xfId="5" applyNumberFormat="1" applyFont="1" applyBorder="1" applyAlignment="1" applyProtection="1">
      <alignment horizontal="right" vertical="center"/>
    </xf>
    <xf numFmtId="0" fontId="10" fillId="4" borderId="14" xfId="0" applyFont="1" applyFill="1" applyBorder="1" applyAlignment="1">
      <alignment horizontal="center"/>
    </xf>
    <xf numFmtId="0" fontId="10" fillId="4" borderId="15" xfId="0" applyFont="1" applyFill="1" applyBorder="1" applyAlignment="1">
      <alignment horizontal="center"/>
    </xf>
    <xf numFmtId="0" fontId="10" fillId="4" borderId="16" xfId="0" applyFont="1" applyFill="1" applyBorder="1" applyAlignment="1">
      <alignment horizontal="center"/>
    </xf>
    <xf numFmtId="0" fontId="10" fillId="0" borderId="17" xfId="0" applyFont="1" applyBorder="1" applyAlignment="1">
      <alignment horizontal="center"/>
    </xf>
    <xf numFmtId="0" fontId="10" fillId="0" borderId="18" xfId="0" applyFont="1" applyBorder="1" applyAlignment="1">
      <alignment horizontal="center"/>
    </xf>
    <xf numFmtId="0" fontId="10" fillId="0" borderId="19" xfId="0" applyFont="1" applyBorder="1" applyAlignment="1">
      <alignment horizontal="center"/>
    </xf>
    <xf numFmtId="0" fontId="0" fillId="0" borderId="0" xfId="0" applyAlignment="1">
      <alignment horizontal="left"/>
    </xf>
    <xf numFmtId="0" fontId="0" fillId="0" borderId="0" xfId="0" applyFill="1" applyBorder="1"/>
    <xf numFmtId="0" fontId="14" fillId="5" borderId="20" xfId="0" applyFont="1" applyFill="1" applyBorder="1" applyAlignment="1">
      <alignment vertical="center"/>
    </xf>
    <xf numFmtId="0" fontId="15" fillId="5" borderId="21" xfId="0" applyFont="1" applyFill="1" applyBorder="1" applyAlignment="1">
      <alignment vertical="center"/>
    </xf>
    <xf numFmtId="0" fontId="16" fillId="5" borderId="21" xfId="0" applyFont="1" applyFill="1" applyBorder="1" applyAlignment="1">
      <alignment vertical="center"/>
    </xf>
    <xf numFmtId="0" fontId="16" fillId="5" borderId="22" xfId="0" applyFont="1" applyFill="1" applyBorder="1" applyAlignment="1">
      <alignment vertical="center"/>
    </xf>
    <xf numFmtId="0" fontId="4" fillId="0" borderId="0" xfId="0" applyFont="1" applyAlignment="1" applyProtection="1">
      <alignment horizontal="right"/>
    </xf>
    <xf numFmtId="0" fontId="3" fillId="0" borderId="0" xfId="0" applyFont="1"/>
    <xf numFmtId="0" fontId="4" fillId="4" borderId="0" xfId="0" applyFont="1" applyFill="1" applyProtection="1"/>
    <xf numFmtId="0" fontId="3" fillId="4" borderId="0" xfId="0" applyFont="1" applyFill="1" applyProtection="1"/>
    <xf numFmtId="0" fontId="3" fillId="4" borderId="0" xfId="0" applyFont="1" applyFill="1" applyBorder="1" applyProtection="1"/>
    <xf numFmtId="0" fontId="3" fillId="4" borderId="0" xfId="0" applyFont="1" applyFill="1"/>
    <xf numFmtId="0" fontId="0" fillId="0" borderId="20" xfId="0" applyBorder="1" applyAlignment="1">
      <alignment vertical="center"/>
    </xf>
    <xf numFmtId="0" fontId="0" fillId="0" borderId="21" xfId="0" applyBorder="1" applyAlignment="1">
      <alignment vertical="center"/>
    </xf>
    <xf numFmtId="0" fontId="3" fillId="0" borderId="0" xfId="0" applyFont="1" applyBorder="1"/>
    <xf numFmtId="0" fontId="3" fillId="0" borderId="5" xfId="0" applyFont="1" applyBorder="1"/>
    <xf numFmtId="0" fontId="3" fillId="0" borderId="0" xfId="0" applyFont="1" applyFill="1" applyBorder="1"/>
    <xf numFmtId="0" fontId="9" fillId="5" borderId="23" xfId="0" applyFont="1" applyFill="1" applyBorder="1"/>
    <xf numFmtId="0" fontId="22" fillId="5" borderId="24" xfId="0" applyFont="1" applyFill="1" applyBorder="1"/>
    <xf numFmtId="0" fontId="22" fillId="5" borderId="25" xfId="0" applyFont="1" applyFill="1" applyBorder="1"/>
    <xf numFmtId="0" fontId="0" fillId="3" borderId="0" xfId="0" applyFill="1" applyBorder="1"/>
    <xf numFmtId="0" fontId="0" fillId="3" borderId="5" xfId="0" applyFill="1" applyBorder="1"/>
    <xf numFmtId="0" fontId="4" fillId="3" borderId="4" xfId="0" applyFont="1" applyFill="1" applyBorder="1"/>
    <xf numFmtId="0" fontId="4" fillId="3" borderId="0" xfId="0" applyFont="1" applyFill="1" applyBorder="1"/>
    <xf numFmtId="0" fontId="0" fillId="3" borderId="4" xfId="0" applyFill="1" applyBorder="1" applyAlignment="1">
      <alignment horizontal="center"/>
    </xf>
    <xf numFmtId="0" fontId="0" fillId="3" borderId="0" xfId="0" applyFill="1" applyBorder="1" applyAlignment="1">
      <alignment horizontal="center"/>
    </xf>
    <xf numFmtId="0" fontId="0" fillId="3" borderId="5" xfId="0" applyFill="1" applyBorder="1" applyAlignment="1">
      <alignment horizontal="center"/>
    </xf>
    <xf numFmtId="0" fontId="13" fillId="3" borderId="13" xfId="0" applyFont="1" applyFill="1" applyBorder="1"/>
    <xf numFmtId="0" fontId="23" fillId="0" borderId="0" xfId="0" applyFont="1" applyAlignment="1">
      <alignment vertical="center"/>
    </xf>
    <xf numFmtId="0" fontId="0" fillId="5" borderId="24" xfId="0" applyFill="1" applyBorder="1"/>
    <xf numFmtId="0" fontId="13" fillId="0" borderId="0" xfId="0" applyFont="1" applyAlignment="1">
      <alignment horizontal="right"/>
    </xf>
    <xf numFmtId="0" fontId="0" fillId="3" borderId="13" xfId="0" applyFill="1" applyBorder="1" applyAlignment="1">
      <alignment vertical="center"/>
    </xf>
    <xf numFmtId="0" fontId="12" fillId="3" borderId="0" xfId="0" applyFont="1" applyFill="1" applyBorder="1" applyAlignment="1">
      <alignment vertical="center"/>
    </xf>
    <xf numFmtId="0" fontId="10" fillId="3" borderId="0" xfId="0" applyFont="1" applyFill="1" applyBorder="1" applyAlignment="1">
      <alignment vertical="center"/>
    </xf>
    <xf numFmtId="0" fontId="10" fillId="3" borderId="9" xfId="0" applyFont="1" applyFill="1" applyBorder="1" applyAlignment="1">
      <alignment vertical="center"/>
    </xf>
    <xf numFmtId="0" fontId="10" fillId="0" borderId="13" xfId="0" applyFont="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0" fillId="0" borderId="9" xfId="0" applyBorder="1" applyAlignment="1">
      <alignment vertical="center"/>
    </xf>
    <xf numFmtId="0" fontId="13" fillId="3" borderId="13" xfId="0" applyFont="1" applyFill="1" applyBorder="1" applyAlignment="1">
      <alignment vertical="center"/>
    </xf>
    <xf numFmtId="2" fontId="10" fillId="0" borderId="0" xfId="0" applyNumberFormat="1" applyFont="1" applyBorder="1" applyAlignment="1">
      <alignment vertical="center"/>
    </xf>
    <xf numFmtId="3" fontId="11" fillId="0" borderId="0" xfId="0" applyNumberFormat="1" applyFont="1" applyBorder="1" applyAlignment="1">
      <alignment vertical="center"/>
    </xf>
    <xf numFmtId="0" fontId="10" fillId="0" borderId="10" xfId="0" applyFont="1" applyBorder="1" applyAlignment="1">
      <alignment vertical="center"/>
    </xf>
    <xf numFmtId="0" fontId="10" fillId="0" borderId="11" xfId="0" applyFont="1" applyBorder="1" applyAlignment="1">
      <alignment vertical="center"/>
    </xf>
    <xf numFmtId="0" fontId="10" fillId="0" borderId="12" xfId="0" applyFont="1" applyBorder="1" applyAlignment="1">
      <alignment vertical="center"/>
    </xf>
    <xf numFmtId="3" fontId="11" fillId="0" borderId="11" xfId="0" applyNumberFormat="1" applyFont="1" applyBorder="1" applyAlignment="1">
      <alignment vertical="center"/>
    </xf>
    <xf numFmtId="0" fontId="0" fillId="0" borderId="12" xfId="0" applyBorder="1" applyAlignment="1">
      <alignment vertical="center"/>
    </xf>
    <xf numFmtId="9" fontId="10" fillId="3" borderId="0" xfId="0" applyNumberFormat="1" applyFont="1" applyFill="1" applyBorder="1" applyAlignment="1">
      <alignment vertical="center"/>
    </xf>
    <xf numFmtId="9" fontId="10" fillId="3" borderId="9" xfId="0" applyNumberFormat="1" applyFont="1" applyFill="1" applyBorder="1" applyAlignment="1">
      <alignment vertical="center"/>
    </xf>
    <xf numFmtId="9" fontId="10" fillId="0" borderId="10" xfId="0" applyNumberFormat="1" applyFont="1" applyBorder="1" applyAlignment="1">
      <alignment vertical="center"/>
    </xf>
    <xf numFmtId="0" fontId="18" fillId="0" borderId="0" xfId="0" applyFont="1" applyBorder="1" applyAlignment="1">
      <alignment horizontal="right" vertical="center"/>
    </xf>
    <xf numFmtId="9" fontId="10" fillId="4" borderId="0" xfId="3" applyFont="1" applyFill="1" applyBorder="1" applyAlignment="1">
      <alignment vertical="center"/>
    </xf>
    <xf numFmtId="3" fontId="0" fillId="0" borderId="0" xfId="0" applyNumberFormat="1" applyAlignment="1">
      <alignment vertical="center"/>
    </xf>
    <xf numFmtId="0" fontId="10" fillId="3" borderId="13" xfId="0" applyFont="1" applyFill="1" applyBorder="1" applyAlignment="1">
      <alignment vertical="center"/>
    </xf>
    <xf numFmtId="0" fontId="10" fillId="4" borderId="0" xfId="0" applyFont="1" applyFill="1" applyBorder="1" applyAlignment="1">
      <alignment vertical="center"/>
    </xf>
    <xf numFmtId="167" fontId="10" fillId="4" borderId="0" xfId="0" applyNumberFormat="1" applyFont="1" applyFill="1" applyBorder="1" applyAlignment="1">
      <alignment vertical="center"/>
    </xf>
    <xf numFmtId="2" fontId="10" fillId="4" borderId="0" xfId="0" applyNumberFormat="1" applyFont="1" applyFill="1" applyBorder="1" applyAlignment="1">
      <alignment vertical="center"/>
    </xf>
    <xf numFmtId="0" fontId="13" fillId="3" borderId="0" xfId="0" applyFont="1" applyFill="1" applyBorder="1" applyAlignment="1">
      <alignment vertical="center"/>
    </xf>
    <xf numFmtId="0" fontId="5" fillId="2" borderId="1" xfId="0" applyFont="1" applyFill="1" applyBorder="1" applyAlignment="1" applyProtection="1">
      <alignment vertical="center"/>
    </xf>
    <xf numFmtId="0" fontId="5" fillId="2" borderId="2" xfId="0" applyFont="1" applyFill="1" applyBorder="1" applyAlignment="1" applyProtection="1">
      <alignment vertical="center"/>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xf>
    <xf numFmtId="0" fontId="0" fillId="0" borderId="0" xfId="0" applyAlignment="1">
      <alignment horizontal="center" vertical="center"/>
    </xf>
    <xf numFmtId="0" fontId="9" fillId="0" borderId="0" xfId="0" applyFont="1" applyFill="1" applyAlignment="1">
      <alignment vertical="center"/>
    </xf>
    <xf numFmtId="0" fontId="6" fillId="0" borderId="0" xfId="0" applyFont="1" applyFill="1" applyAlignment="1">
      <alignment vertical="center"/>
    </xf>
    <xf numFmtId="0" fontId="0" fillId="0" borderId="0" xfId="0" applyFill="1" applyAlignment="1">
      <alignment vertical="center"/>
    </xf>
    <xf numFmtId="0" fontId="10" fillId="3" borderId="26" xfId="0" applyFont="1" applyFill="1" applyBorder="1" applyAlignment="1">
      <alignment vertical="center"/>
    </xf>
    <xf numFmtId="0" fontId="10" fillId="3" borderId="27" xfId="0" applyFont="1" applyFill="1" applyBorder="1" applyAlignment="1">
      <alignment vertical="center"/>
    </xf>
    <xf numFmtId="0" fontId="10" fillId="0" borderId="26" xfId="0" applyFont="1" applyBorder="1" applyAlignment="1">
      <alignment vertical="center"/>
    </xf>
    <xf numFmtId="0" fontId="10" fillId="0" borderId="27" xfId="0" applyFont="1" applyBorder="1" applyAlignment="1">
      <alignment vertical="center"/>
    </xf>
    <xf numFmtId="0" fontId="10" fillId="0" borderId="28" xfId="0" applyFont="1" applyBorder="1" applyAlignment="1">
      <alignment vertical="center"/>
    </xf>
    <xf numFmtId="0" fontId="0" fillId="0" borderId="28" xfId="0" applyBorder="1" applyAlignment="1">
      <alignment vertical="center"/>
    </xf>
    <xf numFmtId="0" fontId="17" fillId="3" borderId="13" xfId="0" applyFont="1" applyFill="1" applyBorder="1" applyAlignment="1">
      <alignment vertical="center"/>
    </xf>
    <xf numFmtId="0" fontId="10" fillId="3" borderId="10" xfId="0" applyFont="1" applyFill="1" applyBorder="1" applyAlignment="1">
      <alignment vertical="center"/>
    </xf>
    <xf numFmtId="0" fontId="10" fillId="3" borderId="11" xfId="0" applyFont="1" applyFill="1" applyBorder="1" applyAlignment="1">
      <alignment vertical="center"/>
    </xf>
    <xf numFmtId="0" fontId="10" fillId="3" borderId="28" xfId="0" applyFont="1" applyFill="1" applyBorder="1" applyAlignment="1">
      <alignment vertical="center"/>
    </xf>
    <xf numFmtId="0" fontId="10" fillId="3" borderId="12" xfId="0" applyFont="1" applyFill="1" applyBorder="1" applyAlignment="1">
      <alignment vertical="center"/>
    </xf>
    <xf numFmtId="0" fontId="10" fillId="0" borderId="0" xfId="0" applyFont="1" applyFill="1" applyBorder="1" applyAlignment="1">
      <alignment vertical="center"/>
    </xf>
    <xf numFmtId="0" fontId="0" fillId="0" borderId="0" xfId="0" applyFill="1" applyBorder="1" applyAlignment="1">
      <alignment vertical="center"/>
    </xf>
    <xf numFmtId="0" fontId="11" fillId="3" borderId="26" xfId="0" applyFont="1" applyFill="1" applyBorder="1" applyAlignment="1">
      <alignment vertical="center"/>
    </xf>
    <xf numFmtId="3" fontId="11" fillId="3" borderId="27" xfId="0" applyNumberFormat="1" applyFont="1" applyFill="1" applyBorder="1" applyAlignment="1">
      <alignment vertical="center"/>
    </xf>
    <xf numFmtId="0" fontId="0" fillId="3" borderId="28" xfId="0" applyFill="1" applyBorder="1" applyAlignment="1">
      <alignment vertical="center"/>
    </xf>
    <xf numFmtId="0" fontId="0" fillId="0" borderId="0" xfId="0" applyBorder="1" applyAlignment="1">
      <alignment vertical="center"/>
    </xf>
    <xf numFmtId="0" fontId="11" fillId="3" borderId="13" xfId="0" applyFont="1" applyFill="1" applyBorder="1" applyAlignment="1">
      <alignment vertical="center"/>
    </xf>
    <xf numFmtId="3" fontId="11" fillId="3" borderId="0" xfId="0" applyNumberFormat="1" applyFont="1" applyFill="1" applyBorder="1" applyAlignment="1">
      <alignment vertical="center"/>
    </xf>
    <xf numFmtId="0" fontId="0" fillId="3" borderId="9" xfId="0" applyFill="1" applyBorder="1" applyAlignment="1">
      <alignment vertical="center"/>
    </xf>
    <xf numFmtId="0" fontId="0" fillId="3" borderId="12" xfId="0" applyFill="1" applyBorder="1" applyAlignment="1">
      <alignment vertical="center"/>
    </xf>
    <xf numFmtId="0" fontId="10" fillId="0" borderId="0" xfId="0" applyFont="1" applyFill="1" applyAlignment="1">
      <alignment vertical="center"/>
    </xf>
    <xf numFmtId="3" fontId="10" fillId="4" borderId="0" xfId="0" applyNumberFormat="1" applyFont="1" applyFill="1" applyBorder="1" applyAlignment="1">
      <alignment vertical="center"/>
    </xf>
    <xf numFmtId="0" fontId="1" fillId="3" borderId="26" xfId="0" applyFont="1" applyFill="1" applyBorder="1" applyAlignment="1">
      <alignment vertical="center"/>
    </xf>
    <xf numFmtId="0" fontId="1" fillId="3" borderId="27" xfId="0" applyFont="1" applyFill="1" applyBorder="1" applyAlignment="1">
      <alignment vertical="center"/>
    </xf>
    <xf numFmtId="0" fontId="1" fillId="3" borderId="28" xfId="0" applyFont="1" applyFill="1" applyBorder="1" applyAlignment="1">
      <alignment vertical="center"/>
    </xf>
    <xf numFmtId="0" fontId="1" fillId="0" borderId="0" xfId="0" applyFont="1" applyAlignment="1">
      <alignment vertical="center"/>
    </xf>
    <xf numFmtId="0" fontId="19" fillId="3" borderId="0" xfId="0" applyFont="1" applyFill="1" applyBorder="1" applyAlignment="1">
      <alignment vertical="center"/>
    </xf>
    <xf numFmtId="0" fontId="21" fillId="3" borderId="9" xfId="0" applyFont="1" applyFill="1" applyBorder="1" applyAlignment="1">
      <alignment vertical="center"/>
    </xf>
    <xf numFmtId="0" fontId="21" fillId="0" borderId="0" xfId="0" applyFont="1" applyAlignment="1">
      <alignment vertical="center"/>
    </xf>
    <xf numFmtId="0" fontId="21" fillId="3" borderId="10" xfId="0" applyFont="1" applyFill="1" applyBorder="1" applyAlignment="1">
      <alignment vertical="center"/>
    </xf>
    <xf numFmtId="0" fontId="21" fillId="3" borderId="11" xfId="0" applyFont="1" applyFill="1" applyBorder="1" applyAlignment="1">
      <alignment vertical="center"/>
    </xf>
    <xf numFmtId="0" fontId="21" fillId="3" borderId="12" xfId="0" applyFont="1" applyFill="1" applyBorder="1" applyAlignment="1">
      <alignment vertical="center"/>
    </xf>
    <xf numFmtId="3" fontId="11" fillId="0" borderId="0" xfId="0" applyNumberFormat="1" applyFont="1" applyAlignment="1">
      <alignment vertical="center"/>
    </xf>
    <xf numFmtId="0" fontId="10" fillId="3" borderId="0" xfId="0" applyFont="1" applyFill="1" applyBorder="1" applyAlignment="1">
      <alignment horizontal="left" vertical="center" indent="1"/>
    </xf>
    <xf numFmtId="9" fontId="10" fillId="0" borderId="0" xfId="0" applyNumberFormat="1" applyFont="1" applyFill="1" applyBorder="1" applyAlignment="1">
      <alignment vertical="center"/>
    </xf>
    <xf numFmtId="9" fontId="10" fillId="4" borderId="29" xfId="0" applyNumberFormat="1" applyFont="1" applyFill="1" applyBorder="1" applyAlignment="1">
      <alignment vertical="center"/>
    </xf>
    <xf numFmtId="9" fontId="10" fillId="4" borderId="0" xfId="0" applyNumberFormat="1" applyFont="1" applyFill="1" applyBorder="1" applyAlignment="1">
      <alignment vertical="center"/>
    </xf>
    <xf numFmtId="3" fontId="11" fillId="0" borderId="0" xfId="0" applyNumberFormat="1" applyFont="1" applyFill="1" applyBorder="1" applyAlignment="1">
      <alignment vertical="center"/>
    </xf>
    <xf numFmtId="3" fontId="10" fillId="0" borderId="0" xfId="0" applyNumberFormat="1" applyFont="1" applyBorder="1" applyAlignment="1">
      <alignment vertical="center"/>
    </xf>
    <xf numFmtId="9" fontId="10" fillId="0" borderId="0" xfId="3" applyFont="1" applyBorder="1" applyAlignment="1">
      <alignment vertical="center"/>
    </xf>
    <xf numFmtId="0" fontId="11" fillId="3" borderId="0" xfId="0" applyFont="1" applyFill="1" applyBorder="1" applyAlignment="1">
      <alignment vertical="center"/>
    </xf>
    <xf numFmtId="1" fontId="10" fillId="6" borderId="30" xfId="0" applyNumberFormat="1" applyFont="1" applyFill="1" applyBorder="1" applyAlignment="1" applyProtection="1">
      <alignment horizontal="center"/>
      <protection locked="0"/>
    </xf>
    <xf numFmtId="1" fontId="10" fillId="6" borderId="31" xfId="0" applyNumberFormat="1" applyFont="1" applyFill="1" applyBorder="1" applyAlignment="1" applyProtection="1">
      <alignment horizontal="center"/>
      <protection locked="0"/>
    </xf>
    <xf numFmtId="1" fontId="10" fillId="6" borderId="32" xfId="0" applyNumberFormat="1" applyFont="1" applyFill="1" applyBorder="1" applyAlignment="1" applyProtection="1">
      <alignment horizontal="center"/>
      <protection locked="0"/>
    </xf>
    <xf numFmtId="0" fontId="23" fillId="0" borderId="0" xfId="0" applyFont="1" applyAlignment="1" applyProtection="1">
      <alignment vertical="center"/>
      <protection locked="0"/>
    </xf>
    <xf numFmtId="167" fontId="10" fillId="0" borderId="0" xfId="0" applyNumberFormat="1" applyFont="1" applyBorder="1" applyAlignment="1">
      <alignment vertical="center"/>
    </xf>
    <xf numFmtId="0" fontId="26" fillId="0" borderId="0" xfId="0" applyFont="1" applyBorder="1" applyAlignment="1">
      <alignment horizontal="right" vertical="center"/>
    </xf>
    <xf numFmtId="0" fontId="26" fillId="0" borderId="0" xfId="0" applyFont="1" applyAlignment="1">
      <alignment horizontal="right" vertical="center"/>
    </xf>
    <xf numFmtId="0" fontId="0" fillId="3" borderId="0" xfId="0" applyFill="1" applyBorder="1" applyAlignment="1">
      <alignment horizontal="center" vertical="center"/>
    </xf>
    <xf numFmtId="0" fontId="0" fillId="0" borderId="0" xfId="0" applyFill="1"/>
    <xf numFmtId="0" fontId="0" fillId="3" borderId="4" xfId="0" applyFill="1" applyBorder="1" applyAlignment="1">
      <alignment horizontal="center" vertical="center"/>
    </xf>
    <xf numFmtId="0" fontId="0" fillId="5" borderId="25" xfId="0" applyFill="1" applyBorder="1"/>
    <xf numFmtId="0" fontId="27" fillId="0" borderId="0" xfId="0" applyFont="1" applyBorder="1" applyAlignment="1">
      <alignment horizontal="right" vertical="center"/>
    </xf>
    <xf numFmtId="0" fontId="10" fillId="0" borderId="0" xfId="0" applyFont="1" applyFill="1"/>
    <xf numFmtId="0" fontId="10" fillId="0" borderId="0" xfId="0" applyFont="1" applyFill="1" applyAlignment="1">
      <alignment horizontal="right"/>
    </xf>
    <xf numFmtId="0" fontId="10" fillId="0" borderId="0" xfId="0" applyFont="1" applyFill="1" applyBorder="1" applyAlignment="1">
      <alignment horizontal="center"/>
    </xf>
    <xf numFmtId="0" fontId="10" fillId="0" borderId="0" xfId="0" applyFont="1" applyFill="1" applyAlignment="1">
      <alignment horizontal="right" vertical="center"/>
    </xf>
    <xf numFmtId="0" fontId="10" fillId="0" borderId="0" xfId="0" applyFont="1" applyFill="1" applyBorder="1" applyAlignment="1">
      <alignment horizontal="center" vertical="center"/>
    </xf>
    <xf numFmtId="9" fontId="0" fillId="0" borderId="5" xfId="3" applyFont="1" applyBorder="1"/>
    <xf numFmtId="0" fontId="6" fillId="5" borderId="25" xfId="0" applyFont="1" applyFill="1" applyBorder="1"/>
    <xf numFmtId="0" fontId="6" fillId="5" borderId="24" xfId="0" applyFont="1" applyFill="1" applyBorder="1"/>
    <xf numFmtId="9" fontId="0" fillId="3" borderId="0" xfId="0" applyNumberFormat="1" applyFill="1" applyBorder="1"/>
    <xf numFmtId="0" fontId="24" fillId="0" borderId="0" xfId="0" applyFont="1" applyFill="1" applyAlignment="1" applyProtection="1">
      <alignment vertical="center"/>
      <protection locked="0"/>
    </xf>
    <xf numFmtId="3" fontId="0" fillId="0" borderId="0" xfId="0" applyNumberFormat="1"/>
    <xf numFmtId="168" fontId="27" fillId="0" borderId="0" xfId="0" applyNumberFormat="1" applyFont="1" applyBorder="1"/>
    <xf numFmtId="0" fontId="27" fillId="3" borderId="0" xfId="0" applyFont="1" applyFill="1" applyBorder="1"/>
    <xf numFmtId="0" fontId="28" fillId="0" borderId="33" xfId="0" applyFont="1" applyFill="1" applyBorder="1" applyAlignment="1">
      <alignment horizontal="right" wrapText="1"/>
    </xf>
    <xf numFmtId="0" fontId="28" fillId="0" borderId="33" xfId="0" applyFont="1" applyFill="1" applyBorder="1" applyAlignment="1">
      <alignment horizontal="left" wrapText="1"/>
    </xf>
    <xf numFmtId="9" fontId="0" fillId="0" borderId="33" xfId="3" applyNumberFormat="1" applyFont="1" applyFill="1" applyBorder="1"/>
    <xf numFmtId="0" fontId="12" fillId="0" borderId="0" xfId="0" applyFont="1" applyAlignment="1" applyProtection="1">
      <alignment horizontal="right"/>
    </xf>
    <xf numFmtId="9" fontId="0" fillId="0" borderId="33" xfId="0" applyNumberFormat="1" applyFill="1" applyBorder="1"/>
    <xf numFmtId="0" fontId="4" fillId="0" borderId="0" xfId="0" applyFont="1"/>
    <xf numFmtId="4" fontId="29" fillId="0" borderId="0" xfId="0" applyNumberFormat="1" applyFont="1" applyBorder="1"/>
    <xf numFmtId="9" fontId="29" fillId="0" borderId="0" xfId="0" applyNumberFormat="1" applyFont="1" applyBorder="1"/>
    <xf numFmtId="0" fontId="0" fillId="0" borderId="0" xfId="0" applyBorder="1" applyAlignment="1">
      <alignment horizontal="center" vertical="center"/>
    </xf>
    <xf numFmtId="0" fontId="10" fillId="0" borderId="9" xfId="0" applyFont="1" applyFill="1" applyBorder="1" applyAlignment="1">
      <alignment vertical="center"/>
    </xf>
    <xf numFmtId="0" fontId="10" fillId="0" borderId="13" xfId="0" applyFont="1" applyFill="1" applyBorder="1" applyAlignment="1">
      <alignment vertical="center"/>
    </xf>
    <xf numFmtId="0" fontId="0" fillId="0" borderId="13" xfId="0" applyBorder="1"/>
    <xf numFmtId="0" fontId="10" fillId="0" borderId="13" xfId="0" applyFont="1" applyBorder="1"/>
    <xf numFmtId="0" fontId="10" fillId="0" borderId="9" xfId="0" applyFont="1" applyBorder="1"/>
    <xf numFmtId="3" fontId="10" fillId="0" borderId="13" xfId="0" applyNumberFormat="1" applyFont="1" applyBorder="1"/>
    <xf numFmtId="3" fontId="10" fillId="0" borderId="9" xfId="0" applyNumberFormat="1" applyFont="1" applyBorder="1"/>
    <xf numFmtId="3" fontId="0" fillId="0" borderId="13" xfId="0" applyNumberFormat="1" applyBorder="1"/>
    <xf numFmtId="3" fontId="0" fillId="0" borderId="9" xfId="0" applyNumberFormat="1" applyBorder="1"/>
    <xf numFmtId="3" fontId="12" fillId="0" borderId="13" xfId="0" applyNumberFormat="1" applyFont="1" applyBorder="1"/>
    <xf numFmtId="3" fontId="12" fillId="0" borderId="0" xfId="0" applyNumberFormat="1" applyFont="1" applyBorder="1"/>
    <xf numFmtId="3" fontId="12" fillId="0" borderId="9" xfId="0" applyNumberFormat="1" applyFont="1" applyBorder="1"/>
    <xf numFmtId="0" fontId="12" fillId="0" borderId="9" xfId="0" applyFont="1" applyBorder="1"/>
    <xf numFmtId="0" fontId="12" fillId="0" borderId="13" xfId="0" applyFont="1" applyBorder="1"/>
    <xf numFmtId="0" fontId="4" fillId="0" borderId="9" xfId="0" applyFont="1" applyBorder="1"/>
    <xf numFmtId="0" fontId="0" fillId="3" borderId="13" xfId="0" applyFill="1" applyBorder="1"/>
    <xf numFmtId="0" fontId="0" fillId="3" borderId="9" xfId="0" applyFill="1" applyBorder="1"/>
    <xf numFmtId="0" fontId="10" fillId="3" borderId="13" xfId="0" applyFont="1" applyFill="1" applyBorder="1"/>
    <xf numFmtId="0" fontId="10" fillId="3" borderId="0" xfId="0" applyFont="1" applyFill="1" applyBorder="1"/>
    <xf numFmtId="0" fontId="4" fillId="3" borderId="13" xfId="0" applyFont="1" applyFill="1" applyBorder="1"/>
    <xf numFmtId="0" fontId="12" fillId="3" borderId="0" xfId="0" applyFont="1" applyFill="1" applyBorder="1"/>
    <xf numFmtId="0" fontId="12" fillId="3" borderId="9" xfId="0" applyFont="1" applyFill="1" applyBorder="1"/>
    <xf numFmtId="9" fontId="10" fillId="3" borderId="0" xfId="0" applyNumberFormat="1" applyFont="1" applyFill="1" applyBorder="1" applyAlignment="1">
      <alignment horizontal="right"/>
    </xf>
    <xf numFmtId="9" fontId="10" fillId="3" borderId="0" xfId="0" applyNumberFormat="1" applyFont="1" applyFill="1" applyBorder="1"/>
    <xf numFmtId="0" fontId="12" fillId="3" borderId="13" xfId="0" applyFont="1" applyFill="1" applyBorder="1"/>
    <xf numFmtId="3" fontId="10" fillId="4" borderId="0" xfId="0" applyNumberFormat="1" applyFont="1" applyFill="1" applyBorder="1"/>
    <xf numFmtId="3" fontId="12" fillId="4" borderId="0" xfId="0" applyNumberFormat="1" applyFont="1" applyFill="1" applyBorder="1"/>
    <xf numFmtId="0" fontId="0" fillId="0" borderId="11" xfId="0" applyBorder="1"/>
    <xf numFmtId="0" fontId="10" fillId="0" borderId="11" xfId="0" applyFont="1" applyBorder="1" applyAlignment="1">
      <alignment horizontal="center" vertical="center"/>
    </xf>
    <xf numFmtId="3" fontId="0" fillId="0" borderId="0" xfId="0" applyNumberFormat="1" applyBorder="1"/>
    <xf numFmtId="0" fontId="0" fillId="3" borderId="10" xfId="0" applyFill="1" applyBorder="1"/>
    <xf numFmtId="0" fontId="0" fillId="3" borderId="11" xfId="0" applyFill="1" applyBorder="1"/>
    <xf numFmtId="0" fontId="0" fillId="3" borderId="12" xfId="0" applyFill="1" applyBorder="1"/>
    <xf numFmtId="0" fontId="0" fillId="0" borderId="10" xfId="0" applyBorder="1"/>
    <xf numFmtId="0" fontId="0" fillId="0" borderId="12" xfId="0" applyBorder="1"/>
    <xf numFmtId="0" fontId="0" fillId="0" borderId="26" xfId="0" applyBorder="1" applyAlignment="1">
      <alignment vertical="center"/>
    </xf>
    <xf numFmtId="0" fontId="0" fillId="0" borderId="27" xfId="0" applyBorder="1" applyAlignment="1">
      <alignment vertical="center"/>
    </xf>
    <xf numFmtId="0" fontId="0" fillId="0" borderId="28" xfId="0" applyBorder="1"/>
    <xf numFmtId="0" fontId="10" fillId="0" borderId="0" xfId="0" applyFont="1" applyBorder="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0" fontId="0" fillId="3" borderId="26" xfId="0" applyFill="1" applyBorder="1" applyAlignment="1">
      <alignment vertical="center"/>
    </xf>
    <xf numFmtId="0" fontId="0" fillId="3" borderId="27" xfId="0" applyFill="1" applyBorder="1" applyAlignment="1">
      <alignment vertical="center"/>
    </xf>
    <xf numFmtId="0" fontId="0" fillId="3" borderId="0" xfId="0" applyFill="1" applyBorder="1" applyAlignment="1">
      <alignment vertical="center"/>
    </xf>
    <xf numFmtId="0" fontId="0" fillId="3" borderId="10" xfId="0" applyFill="1" applyBorder="1" applyAlignment="1">
      <alignment vertical="center"/>
    </xf>
    <xf numFmtId="0" fontId="0" fillId="3" borderId="11" xfId="0" applyFill="1" applyBorder="1" applyAlignment="1">
      <alignment vertical="center"/>
    </xf>
    <xf numFmtId="0" fontId="27" fillId="0" borderId="9" xfId="0" applyFont="1" applyBorder="1"/>
    <xf numFmtId="0" fontId="27" fillId="0" borderId="0" xfId="0" applyFont="1" applyBorder="1"/>
    <xf numFmtId="0" fontId="32" fillId="0" borderId="0" xfId="0" applyFont="1" applyAlignment="1">
      <alignment vertical="center"/>
    </xf>
    <xf numFmtId="0" fontId="33" fillId="0" borderId="0" xfId="0" applyFont="1" applyAlignment="1">
      <alignment vertical="center"/>
    </xf>
    <xf numFmtId="0" fontId="35" fillId="0" borderId="0" xfId="0" applyFont="1"/>
    <xf numFmtId="3" fontId="12" fillId="0" borderId="0" xfId="0" applyNumberFormat="1" applyFont="1" applyFill="1" applyBorder="1"/>
    <xf numFmtId="0" fontId="0" fillId="0" borderId="27" xfId="0" applyBorder="1"/>
    <xf numFmtId="0" fontId="0" fillId="0" borderId="11" xfId="0" applyFill="1" applyBorder="1"/>
    <xf numFmtId="0" fontId="0" fillId="0" borderId="26" xfId="0" applyBorder="1"/>
    <xf numFmtId="0" fontId="14" fillId="0" borderId="0" xfId="0" applyFont="1" applyFill="1" applyBorder="1" applyAlignment="1">
      <alignment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16" fillId="0" borderId="0" xfId="0" applyFont="1" applyFill="1" applyAlignment="1">
      <alignment vertical="center"/>
    </xf>
    <xf numFmtId="0" fontId="0" fillId="0" borderId="13"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3" fillId="0" borderId="0" xfId="0" applyFont="1" applyFill="1" applyBorder="1" applyAlignment="1">
      <alignment vertical="center"/>
    </xf>
    <xf numFmtId="0" fontId="13" fillId="3" borderId="0" xfId="0" applyFont="1" applyFill="1" applyBorder="1"/>
    <xf numFmtId="0" fontId="17" fillId="3" borderId="0" xfId="0" applyFont="1" applyFill="1" applyBorder="1" applyAlignment="1">
      <alignment vertical="center"/>
    </xf>
    <xf numFmtId="0" fontId="13" fillId="3" borderId="11" xfId="0" applyFont="1" applyFill="1" applyBorder="1" applyAlignment="1">
      <alignment vertical="center"/>
    </xf>
    <xf numFmtId="3" fontId="10" fillId="0" borderId="11" xfId="0" applyNumberFormat="1" applyFont="1" applyFill="1" applyBorder="1"/>
    <xf numFmtId="3" fontId="10" fillId="0" borderId="12" xfId="0" applyNumberFormat="1" applyFont="1" applyFill="1" applyBorder="1"/>
    <xf numFmtId="3" fontId="10" fillId="0" borderId="10" xfId="0" applyNumberFormat="1" applyFont="1" applyFill="1" applyBorder="1"/>
    <xf numFmtId="0" fontId="13" fillId="3" borderId="26" xfId="0" applyFont="1" applyFill="1" applyBorder="1"/>
    <xf numFmtId="0" fontId="13" fillId="3" borderId="27" xfId="0" applyFont="1" applyFill="1" applyBorder="1" applyAlignment="1">
      <alignment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xf>
    <xf numFmtId="0" fontId="4" fillId="3" borderId="0" xfId="0" applyFont="1" applyFill="1" applyBorder="1" applyAlignment="1">
      <alignment vertical="center"/>
    </xf>
    <xf numFmtId="0" fontId="4" fillId="3" borderId="9" xfId="0" applyFont="1" applyFill="1" applyBorder="1" applyAlignment="1">
      <alignment vertical="center"/>
    </xf>
    <xf numFmtId="0" fontId="4" fillId="0" borderId="0" xfId="0" applyFont="1" applyBorder="1" applyAlignment="1">
      <alignment horizontal="center" vertical="center"/>
    </xf>
    <xf numFmtId="3" fontId="12" fillId="0" borderId="11" xfId="0" applyNumberFormat="1" applyFont="1" applyFill="1" applyBorder="1"/>
    <xf numFmtId="0" fontId="4" fillId="0" borderId="27" xfId="0" applyFont="1" applyBorder="1" applyAlignment="1">
      <alignment horizontal="center" vertical="center"/>
    </xf>
    <xf numFmtId="0" fontId="4" fillId="0" borderId="9" xfId="0" applyFont="1" applyBorder="1" applyAlignment="1">
      <alignment horizontal="center" vertical="center"/>
    </xf>
    <xf numFmtId="0" fontId="4" fillId="0" borderId="13" xfId="0" applyFont="1" applyBorder="1" applyAlignment="1">
      <alignment horizontal="center" vertical="center"/>
    </xf>
    <xf numFmtId="3" fontId="10" fillId="0" borderId="27" xfId="0" applyNumberFormat="1" applyFont="1" applyFill="1" applyBorder="1"/>
    <xf numFmtId="3" fontId="10" fillId="0" borderId="28" xfId="0" applyNumberFormat="1" applyFont="1" applyFill="1" applyBorder="1"/>
    <xf numFmtId="3" fontId="10" fillId="0" borderId="26" xfId="0" applyNumberFormat="1" applyFont="1" applyFill="1" applyBorder="1"/>
    <xf numFmtId="3" fontId="12" fillId="0" borderId="27" xfId="0" applyNumberFormat="1" applyFont="1" applyFill="1" applyBorder="1"/>
    <xf numFmtId="0" fontId="13" fillId="3" borderId="10" xfId="0" applyFont="1" applyFill="1" applyBorder="1"/>
    <xf numFmtId="0" fontId="4" fillId="0" borderId="11" xfId="0" applyFont="1" applyBorder="1" applyAlignment="1">
      <alignment horizontal="center" vertical="center"/>
    </xf>
    <xf numFmtId="0" fontId="0" fillId="0" borderId="0" xfId="0" applyFill="1" applyBorder="1" applyAlignment="1">
      <alignment horizontal="center" vertical="center"/>
    </xf>
    <xf numFmtId="0" fontId="4" fillId="0" borderId="0" xfId="0" applyFont="1" applyFill="1" applyBorder="1" applyAlignment="1">
      <alignment horizontal="center" vertical="center"/>
    </xf>
    <xf numFmtId="0" fontId="13" fillId="0" borderId="0" xfId="0" applyFont="1" applyFill="1" applyBorder="1"/>
    <xf numFmtId="9" fontId="10" fillId="3" borderId="9" xfId="0" applyNumberFormat="1" applyFont="1" applyFill="1" applyBorder="1" applyAlignment="1">
      <alignment horizontal="right" vertical="center"/>
    </xf>
    <xf numFmtId="0" fontId="4" fillId="0" borderId="0" xfId="0" applyFont="1" applyAlignment="1">
      <alignment vertical="center"/>
    </xf>
    <xf numFmtId="0" fontId="4" fillId="3" borderId="33" xfId="0" applyFont="1" applyFill="1" applyBorder="1" applyAlignment="1">
      <alignment vertical="center"/>
    </xf>
    <xf numFmtId="0" fontId="5" fillId="0" borderId="0" xfId="0" applyFont="1" applyFill="1" applyBorder="1" applyAlignment="1" applyProtection="1">
      <alignment vertical="center"/>
    </xf>
    <xf numFmtId="0" fontId="5" fillId="0" borderId="5" xfId="0" applyFont="1" applyFill="1" applyBorder="1" applyAlignment="1" applyProtection="1">
      <alignment vertical="center"/>
    </xf>
    <xf numFmtId="0" fontId="16" fillId="5" borderId="20" xfId="0" applyFont="1" applyFill="1" applyBorder="1" applyAlignment="1">
      <alignment vertical="center"/>
    </xf>
    <xf numFmtId="0" fontId="0" fillId="3" borderId="26" xfId="0" applyFill="1" applyBorder="1"/>
    <xf numFmtId="0" fontId="0" fillId="3" borderId="27" xfId="0" applyFill="1" applyBorder="1"/>
    <xf numFmtId="0" fontId="0" fillId="3" borderId="28" xfId="0" applyFill="1" applyBorder="1"/>
    <xf numFmtId="0" fontId="10" fillId="3" borderId="27" xfId="0" applyFont="1" applyFill="1" applyBorder="1"/>
    <xf numFmtId="0" fontId="10" fillId="3" borderId="28" xfId="0" applyFont="1" applyFill="1" applyBorder="1"/>
    <xf numFmtId="0" fontId="0" fillId="0" borderId="13" xfId="0" applyFill="1" applyBorder="1"/>
    <xf numFmtId="0" fontId="10" fillId="0" borderId="0" xfId="0" applyFont="1" applyFill="1" applyBorder="1"/>
    <xf numFmtId="3" fontId="12" fillId="3" borderId="0" xfId="0" applyNumberFormat="1" applyFont="1" applyFill="1" applyBorder="1"/>
    <xf numFmtId="9" fontId="18" fillId="3" borderId="0" xfId="0" applyNumberFormat="1" applyFont="1" applyFill="1" applyBorder="1"/>
    <xf numFmtId="0" fontId="18" fillId="3" borderId="0" xfId="0" applyFont="1" applyFill="1" applyBorder="1" applyAlignment="1">
      <alignment horizontal="left" indent="1"/>
    </xf>
    <xf numFmtId="0" fontId="12" fillId="0" borderId="0" xfId="0" applyFont="1" applyBorder="1"/>
    <xf numFmtId="0" fontId="18" fillId="3" borderId="0" xfId="0" applyFont="1" applyFill="1" applyBorder="1" applyAlignment="1">
      <alignment horizontal="left" indent="2"/>
    </xf>
    <xf numFmtId="0" fontId="10" fillId="0" borderId="27" xfId="0" applyFont="1" applyBorder="1"/>
    <xf numFmtId="0" fontId="10" fillId="0" borderId="11" xfId="0" applyFont="1" applyBorder="1"/>
    <xf numFmtId="0" fontId="17" fillId="3" borderId="13" xfId="0" applyFont="1" applyFill="1" applyBorder="1"/>
    <xf numFmtId="167" fontId="12" fillId="0" borderId="0" xfId="0" applyNumberFormat="1" applyFont="1" applyBorder="1"/>
    <xf numFmtId="0" fontId="10" fillId="0" borderId="10" xfId="0" applyFont="1" applyBorder="1"/>
    <xf numFmtId="0" fontId="10" fillId="0" borderId="12" xfId="0" applyFont="1" applyBorder="1"/>
    <xf numFmtId="0" fontId="10" fillId="0" borderId="26" xfId="0" applyFont="1" applyBorder="1"/>
    <xf numFmtId="0" fontId="10" fillId="0" borderId="28" xfId="0" applyFont="1" applyBorder="1"/>
    <xf numFmtId="3" fontId="13" fillId="4" borderId="0" xfId="0" applyNumberFormat="1" applyFont="1" applyFill="1" applyBorder="1"/>
    <xf numFmtId="0" fontId="36" fillId="0" borderId="0" xfId="0" applyFont="1" applyAlignment="1">
      <alignment vertical="center"/>
    </xf>
    <xf numFmtId="0" fontId="0" fillId="0" borderId="9" xfId="0" applyFill="1" applyBorder="1"/>
    <xf numFmtId="0" fontId="4" fillId="4" borderId="0" xfId="0" applyFont="1" applyFill="1" applyAlignment="1" applyProtection="1"/>
    <xf numFmtId="0" fontId="12" fillId="4" borderId="0" xfId="0" applyFont="1" applyFill="1" applyAlignment="1">
      <alignment horizontal="right"/>
    </xf>
    <xf numFmtId="167" fontId="12" fillId="0" borderId="9" xfId="0" applyNumberFormat="1" applyFont="1" applyBorder="1"/>
    <xf numFmtId="167" fontId="12" fillId="0" borderId="13" xfId="0" applyNumberFormat="1" applyFont="1" applyBorder="1"/>
    <xf numFmtId="9" fontId="10" fillId="0" borderId="11" xfId="0" applyNumberFormat="1" applyFont="1" applyBorder="1"/>
    <xf numFmtId="3" fontId="12" fillId="0" borderId="11" xfId="0" applyNumberFormat="1" applyFont="1" applyBorder="1"/>
    <xf numFmtId="3" fontId="12" fillId="6" borderId="0" xfId="0" applyNumberFormat="1" applyFont="1" applyFill="1" applyBorder="1"/>
    <xf numFmtId="3" fontId="10" fillId="6" borderId="0" xfId="0" applyNumberFormat="1" applyFont="1" applyFill="1" applyBorder="1"/>
    <xf numFmtId="4" fontId="3" fillId="0" borderId="0" xfId="0" applyNumberFormat="1" applyFont="1" applyBorder="1"/>
    <xf numFmtId="9" fontId="3" fillId="0" borderId="0" xfId="0" applyNumberFormat="1" applyFont="1" applyBorder="1"/>
    <xf numFmtId="4" fontId="3" fillId="0" borderId="5" xfId="0" applyNumberFormat="1" applyFont="1" applyBorder="1"/>
    <xf numFmtId="0" fontId="0" fillId="3" borderId="4" xfId="0" applyFill="1" applyBorder="1"/>
    <xf numFmtId="0" fontId="10" fillId="0" borderId="0" xfId="0" applyFont="1" applyFill="1" applyAlignment="1">
      <alignment horizontal="left" vertical="top" wrapText="1"/>
    </xf>
    <xf numFmtId="0" fontId="10" fillId="0" borderId="0" xfId="0" applyFont="1" applyFill="1" applyAlignment="1">
      <alignment horizontal="center" vertical="top" wrapText="1"/>
    </xf>
    <xf numFmtId="0" fontId="38" fillId="0" borderId="0" xfId="0" applyFont="1"/>
    <xf numFmtId="0" fontId="27" fillId="0" borderId="0" xfId="0" applyFont="1"/>
    <xf numFmtId="166" fontId="0" fillId="0" borderId="0" xfId="3" applyNumberFormat="1" applyFont="1" applyBorder="1"/>
    <xf numFmtId="0" fontId="22" fillId="0" borderId="0" xfId="0" applyFont="1" applyFill="1" applyBorder="1"/>
    <xf numFmtId="2" fontId="3" fillId="0" borderId="0" xfId="0" applyNumberFormat="1" applyFont="1" applyBorder="1"/>
    <xf numFmtId="2" fontId="3" fillId="0" borderId="5" xfId="0" applyNumberFormat="1" applyFont="1" applyBorder="1"/>
    <xf numFmtId="0" fontId="30" fillId="0" borderId="0" xfId="0" applyFont="1" applyBorder="1"/>
    <xf numFmtId="4" fontId="29" fillId="0" borderId="8" xfId="0" applyNumberFormat="1" applyFont="1" applyBorder="1"/>
    <xf numFmtId="9" fontId="29" fillId="0" borderId="8" xfId="0" applyNumberFormat="1" applyFont="1" applyBorder="1"/>
    <xf numFmtId="4" fontId="29" fillId="0" borderId="7" xfId="0" applyNumberFormat="1" applyFont="1" applyBorder="1"/>
    <xf numFmtId="0" fontId="9" fillId="5" borderId="25" xfId="0" applyFont="1" applyFill="1" applyBorder="1"/>
    <xf numFmtId="0" fontId="9" fillId="5" borderId="24" xfId="0" applyFont="1" applyFill="1" applyBorder="1"/>
    <xf numFmtId="0" fontId="4" fillId="3" borderId="5" xfId="0" applyFont="1" applyFill="1" applyBorder="1"/>
    <xf numFmtId="3" fontId="0" fillId="0" borderId="5" xfId="0" applyNumberFormat="1" applyBorder="1"/>
    <xf numFmtId="9" fontId="0" fillId="0" borderId="0" xfId="3" applyFont="1" applyBorder="1"/>
    <xf numFmtId="9" fontId="0" fillId="0" borderId="0" xfId="0" applyNumberFormat="1" applyFill="1" applyBorder="1"/>
    <xf numFmtId="9" fontId="39" fillId="0" borderId="7" xfId="3" applyFont="1" applyBorder="1"/>
    <xf numFmtId="169" fontId="10" fillId="4" borderId="11" xfId="0" applyNumberFormat="1" applyFont="1" applyFill="1" applyBorder="1" applyAlignment="1">
      <alignment horizontal="center" vertical="center"/>
    </xf>
    <xf numFmtId="9" fontId="10" fillId="0" borderId="0" xfId="3" applyNumberFormat="1" applyFont="1" applyBorder="1" applyAlignment="1">
      <alignment vertical="center"/>
    </xf>
    <xf numFmtId="9" fontId="10" fillId="0" borderId="9" xfId="3" applyNumberFormat="1" applyFont="1" applyBorder="1" applyAlignment="1">
      <alignment vertical="center"/>
    </xf>
    <xf numFmtId="2" fontId="0" fillId="0" borderId="0" xfId="0" applyNumberFormat="1" applyBorder="1"/>
    <xf numFmtId="2" fontId="0" fillId="0" borderId="5" xfId="0" applyNumberFormat="1" applyBorder="1"/>
    <xf numFmtId="0" fontId="2" fillId="0" borderId="0" xfId="4" applyFont="1" applyAlignment="1">
      <alignment horizontal="left"/>
    </xf>
    <xf numFmtId="0" fontId="3" fillId="0" borderId="0" xfId="4"/>
    <xf numFmtId="0" fontId="3" fillId="0" borderId="0" xfId="4" applyAlignment="1">
      <alignment horizontal="left"/>
    </xf>
    <xf numFmtId="0" fontId="40" fillId="7" borderId="0" xfId="4" applyFont="1" applyFill="1" applyAlignment="1">
      <alignment horizontal="left"/>
    </xf>
    <xf numFmtId="0" fontId="40" fillId="7" borderId="0" xfId="4" applyFont="1" applyFill="1"/>
    <xf numFmtId="0" fontId="5" fillId="0" borderId="0" xfId="4" applyFont="1" applyFill="1" applyAlignment="1">
      <alignment horizontal="center"/>
    </xf>
    <xf numFmtId="0" fontId="5" fillId="0" borderId="0" xfId="4" applyFont="1" applyFill="1"/>
    <xf numFmtId="0" fontId="3" fillId="0" borderId="0" xfId="4" applyFill="1"/>
    <xf numFmtId="0" fontId="3" fillId="0" borderId="0" xfId="4" applyAlignment="1">
      <alignment horizontal="center"/>
    </xf>
    <xf numFmtId="0" fontId="3" fillId="0" borderId="11" xfId="4" applyBorder="1" applyAlignment="1">
      <alignment horizontal="center"/>
    </xf>
    <xf numFmtId="0" fontId="3" fillId="0" borderId="11" xfId="4" applyBorder="1"/>
    <xf numFmtId="0" fontId="0" fillId="3" borderId="0" xfId="0" applyFont="1" applyFill="1" applyBorder="1" applyAlignment="1">
      <alignment horizontal="center"/>
    </xf>
    <xf numFmtId="0" fontId="0" fillId="7" borderId="25" xfId="0" applyFill="1" applyBorder="1"/>
    <xf numFmtId="0" fontId="0" fillId="7" borderId="24" xfId="0" applyFill="1" applyBorder="1"/>
    <xf numFmtId="0" fontId="0" fillId="3" borderId="5" xfId="0" applyFont="1" applyFill="1" applyBorder="1" applyAlignment="1">
      <alignment horizontal="center"/>
    </xf>
    <xf numFmtId="0" fontId="0" fillId="0" borderId="13" xfId="0" applyBorder="1" applyAlignment="1">
      <alignment vertical="center"/>
    </xf>
    <xf numFmtId="0" fontId="39" fillId="0" borderId="6" xfId="0" applyFont="1" applyFill="1" applyBorder="1"/>
    <xf numFmtId="166" fontId="39" fillId="0" borderId="7" xfId="3" applyNumberFormat="1" applyFont="1" applyBorder="1"/>
    <xf numFmtId="2" fontId="29" fillId="0" borderId="8" xfId="0" applyNumberFormat="1" applyFont="1" applyBorder="1"/>
    <xf numFmtId="2" fontId="29" fillId="0" borderId="7" xfId="0" applyNumberFormat="1" applyFont="1" applyBorder="1"/>
    <xf numFmtId="170" fontId="4" fillId="4" borderId="33" xfId="3" applyNumberFormat="1" applyFont="1" applyFill="1" applyBorder="1"/>
    <xf numFmtId="0" fontId="3" fillId="0" borderId="4" xfId="0" applyFont="1" applyFill="1" applyBorder="1"/>
    <xf numFmtId="166" fontId="3" fillId="0" borderId="5" xfId="3" applyNumberFormat="1" applyFont="1" applyBorder="1"/>
    <xf numFmtId="0" fontId="3" fillId="0" borderId="4" xfId="0" applyFont="1" applyBorder="1"/>
    <xf numFmtId="166" fontId="3" fillId="0" borderId="0" xfId="0" applyNumberFormat="1" applyFont="1" applyBorder="1"/>
    <xf numFmtId="9" fontId="3" fillId="0" borderId="5" xfId="0" applyNumberFormat="1" applyFont="1" applyBorder="1"/>
    <xf numFmtId="0" fontId="39" fillId="0" borderId="8" xfId="0" applyFont="1" applyBorder="1"/>
    <xf numFmtId="0" fontId="39" fillId="0" borderId="7" xfId="0" applyFont="1" applyBorder="1"/>
    <xf numFmtId="166" fontId="39" fillId="0" borderId="8" xfId="3" applyNumberFormat="1" applyFont="1" applyBorder="1"/>
    <xf numFmtId="166" fontId="10" fillId="3" borderId="0" xfId="0" applyNumberFormat="1" applyFont="1" applyFill="1" applyBorder="1" applyAlignment="1">
      <alignment horizontal="right"/>
    </xf>
    <xf numFmtId="0" fontId="3" fillId="0" borderId="6" xfId="0" applyFont="1" applyFill="1" applyBorder="1"/>
    <xf numFmtId="167" fontId="3" fillId="0" borderId="5" xfId="3" applyNumberFormat="1" applyFont="1" applyBorder="1"/>
    <xf numFmtId="167" fontId="3" fillId="0" borderId="7" xfId="3" applyNumberFormat="1" applyFont="1" applyBorder="1"/>
    <xf numFmtId="171" fontId="8" fillId="0" borderId="13" xfId="5" applyNumberFormat="1" applyFont="1" applyBorder="1" applyAlignment="1" applyProtection="1">
      <alignment horizontal="right" vertical="center"/>
    </xf>
    <xf numFmtId="171" fontId="8" fillId="0" borderId="0" xfId="5" applyNumberFormat="1" applyFont="1" applyBorder="1" applyAlignment="1" applyProtection="1">
      <alignment horizontal="right" vertical="center"/>
    </xf>
    <xf numFmtId="0" fontId="0" fillId="0" borderId="0" xfId="0" applyFill="1" applyProtection="1"/>
    <xf numFmtId="0" fontId="2" fillId="0" borderId="0" xfId="0" applyFont="1" applyFill="1" applyProtection="1"/>
    <xf numFmtId="0" fontId="3" fillId="0" borderId="0" xfId="0" applyFont="1" applyFill="1" applyAlignment="1">
      <alignment wrapText="1"/>
    </xf>
    <xf numFmtId="0" fontId="1" fillId="0" borderId="0" xfId="0" applyFont="1" applyFill="1" applyAlignment="1">
      <alignment wrapText="1"/>
    </xf>
    <xf numFmtId="0" fontId="4" fillId="0" borderId="0" xfId="0" applyFont="1" applyFill="1" applyAlignment="1">
      <alignment wrapText="1"/>
    </xf>
    <xf numFmtId="49" fontId="4" fillId="8" borderId="20" xfId="0" applyNumberFormat="1" applyFont="1" applyFill="1" applyBorder="1" applyProtection="1"/>
    <xf numFmtId="0" fontId="4" fillId="8" borderId="22" xfId="0" applyFont="1" applyFill="1" applyBorder="1" applyProtection="1"/>
    <xf numFmtId="172" fontId="0" fillId="0" borderId="0" xfId="2" applyNumberFormat="1" applyFont="1" applyAlignment="1">
      <alignment vertical="center"/>
    </xf>
    <xf numFmtId="3" fontId="0" fillId="0" borderId="0" xfId="0" applyNumberFormat="1" applyAlignment="1">
      <alignment horizontal="right"/>
    </xf>
    <xf numFmtId="3" fontId="5" fillId="3" borderId="0" xfId="0" applyNumberFormat="1" applyFont="1" applyFill="1" applyBorder="1" applyAlignment="1">
      <alignment vertical="center"/>
    </xf>
    <xf numFmtId="3" fontId="20" fillId="3" borderId="27" xfId="0" applyNumberFormat="1" applyFont="1" applyFill="1" applyBorder="1" applyAlignment="1">
      <alignment vertical="center"/>
    </xf>
    <xf numFmtId="3" fontId="20" fillId="3" borderId="28" xfId="0" applyNumberFormat="1" applyFont="1" applyFill="1" applyBorder="1" applyAlignment="1">
      <alignment vertical="center"/>
    </xf>
    <xf numFmtId="3" fontId="20" fillId="3" borderId="11" xfId="0" applyNumberFormat="1" applyFont="1" applyFill="1" applyBorder="1" applyAlignment="1">
      <alignment vertical="center"/>
    </xf>
    <xf numFmtId="3" fontId="20" fillId="3" borderId="12" xfId="0" applyNumberFormat="1" applyFont="1" applyFill="1" applyBorder="1" applyAlignment="1">
      <alignment vertical="center"/>
    </xf>
    <xf numFmtId="3" fontId="5" fillId="3" borderId="9" xfId="0" applyNumberFormat="1" applyFont="1" applyFill="1" applyBorder="1" applyAlignment="1">
      <alignment vertical="center"/>
    </xf>
    <xf numFmtId="0" fontId="9" fillId="5" borderId="20" xfId="0" applyFont="1" applyFill="1" applyBorder="1" applyAlignment="1">
      <alignment horizontal="center" vertical="center"/>
    </xf>
    <xf numFmtId="3" fontId="10" fillId="0" borderId="33" xfId="0" applyNumberFormat="1" applyFont="1" applyBorder="1" applyAlignment="1">
      <alignment vertical="center"/>
    </xf>
    <xf numFmtId="0" fontId="9" fillId="5" borderId="22" xfId="0" applyFont="1" applyFill="1" applyBorder="1" applyAlignment="1">
      <alignment horizontal="center" vertical="center"/>
    </xf>
    <xf numFmtId="14" fontId="3" fillId="0" borderId="0" xfId="4" applyNumberFormat="1" applyAlignment="1">
      <alignment horizontal="left" vertical="center"/>
    </xf>
    <xf numFmtId="0" fontId="9" fillId="5" borderId="37" xfId="0" applyFont="1" applyFill="1" applyBorder="1"/>
    <xf numFmtId="0" fontId="0" fillId="0" borderId="38" xfId="0" applyBorder="1"/>
    <xf numFmtId="0" fontId="0" fillId="0" borderId="39" xfId="0" applyBorder="1"/>
    <xf numFmtId="0" fontId="3" fillId="0" borderId="8" xfId="0" applyFont="1" applyBorder="1"/>
    <xf numFmtId="0" fontId="3" fillId="0" borderId="8" xfId="0" applyFont="1" applyFill="1" applyBorder="1"/>
    <xf numFmtId="0" fontId="3" fillId="0" borderId="7" xfId="0" applyFont="1" applyBorder="1"/>
    <xf numFmtId="0" fontId="3" fillId="0" borderId="6" xfId="0" applyFont="1" applyBorder="1"/>
    <xf numFmtId="0" fontId="11" fillId="0" borderId="0" xfId="0" applyFont="1" applyAlignment="1">
      <alignment vertical="center"/>
    </xf>
    <xf numFmtId="166" fontId="10" fillId="0" borderId="0" xfId="0" applyNumberFormat="1" applyFont="1" applyBorder="1" applyAlignment="1">
      <alignment vertical="center"/>
    </xf>
    <xf numFmtId="0" fontId="0" fillId="0" borderId="0" xfId="0" applyFill="1" applyBorder="1" applyAlignment="1">
      <alignment horizontal="center"/>
    </xf>
    <xf numFmtId="10" fontId="0" fillId="0" borderId="5" xfId="3" applyNumberFormat="1" applyFont="1" applyBorder="1"/>
    <xf numFmtId="3" fontId="26" fillId="0" borderId="0" xfId="0" applyNumberFormat="1" applyFont="1" applyBorder="1" applyAlignment="1">
      <alignment vertical="center"/>
    </xf>
    <xf numFmtId="0" fontId="10" fillId="0" borderId="0" xfId="0" applyFont="1" applyFill="1" applyBorder="1" applyAlignment="1">
      <alignment horizontal="right" vertical="center"/>
    </xf>
    <xf numFmtId="0" fontId="41" fillId="0" borderId="0" xfId="0" applyFont="1" applyAlignment="1">
      <alignment vertical="center"/>
    </xf>
    <xf numFmtId="0" fontId="10" fillId="0" borderId="27" xfId="0" applyFont="1" applyFill="1" applyBorder="1" applyAlignment="1">
      <alignment vertical="center"/>
    </xf>
    <xf numFmtId="0" fontId="0" fillId="0" borderId="28" xfId="0" applyFill="1" applyBorder="1" applyAlignment="1">
      <alignment vertical="center"/>
    </xf>
    <xf numFmtId="0" fontId="0" fillId="0" borderId="9" xfId="0" applyFill="1" applyBorder="1" applyAlignment="1">
      <alignment vertical="center"/>
    </xf>
    <xf numFmtId="0" fontId="39" fillId="0" borderId="0" xfId="0" applyFont="1" applyFill="1" applyBorder="1" applyAlignment="1">
      <alignment vertical="center"/>
    </xf>
    <xf numFmtId="0" fontId="42" fillId="0" borderId="0" xfId="0" applyFont="1" applyFill="1" applyBorder="1" applyAlignment="1">
      <alignment vertical="center"/>
    </xf>
    <xf numFmtId="0" fontId="10" fillId="3" borderId="9" xfId="0" applyFont="1" applyFill="1" applyBorder="1" applyAlignment="1">
      <alignment horizontal="right" vertical="center"/>
    </xf>
    <xf numFmtId="9" fontId="10" fillId="3" borderId="0" xfId="0" applyNumberFormat="1" applyFont="1" applyFill="1" applyBorder="1" applyAlignment="1">
      <alignment horizontal="right" vertical="center"/>
    </xf>
    <xf numFmtId="0" fontId="11" fillId="3" borderId="0" xfId="0" applyFont="1" applyFill="1" applyBorder="1" applyAlignment="1">
      <alignment horizontal="left"/>
    </xf>
    <xf numFmtId="9" fontId="10" fillId="0" borderId="0" xfId="0" applyNumberFormat="1" applyFont="1" applyBorder="1" applyAlignment="1">
      <alignment vertical="center"/>
    </xf>
    <xf numFmtId="0" fontId="10" fillId="3" borderId="0" xfId="0" applyFont="1" applyFill="1" applyBorder="1" applyAlignment="1">
      <alignment horizontal="right" vertical="center"/>
    </xf>
    <xf numFmtId="3" fontId="10" fillId="0" borderId="0" xfId="0" applyNumberFormat="1" applyFont="1" applyFill="1" applyBorder="1" applyAlignment="1">
      <alignment vertical="center"/>
    </xf>
    <xf numFmtId="0" fontId="26" fillId="0" borderId="0" xfId="0" applyFont="1" applyBorder="1" applyAlignment="1">
      <alignment vertical="center"/>
    </xf>
    <xf numFmtId="0" fontId="9" fillId="5" borderId="20" xfId="0" applyFont="1" applyFill="1" applyBorder="1" applyAlignment="1">
      <alignment vertical="center"/>
    </xf>
    <xf numFmtId="0" fontId="4" fillId="3" borderId="13" xfId="0" applyFont="1" applyFill="1" applyBorder="1" applyAlignment="1">
      <alignment vertical="center"/>
    </xf>
    <xf numFmtId="3" fontId="26" fillId="0" borderId="0" xfId="0" applyNumberFormat="1" applyFont="1" applyBorder="1" applyAlignment="1">
      <alignment horizontal="right" vertical="center"/>
    </xf>
    <xf numFmtId="0" fontId="11" fillId="0" borderId="0" xfId="0" applyFont="1" applyAlignment="1">
      <alignment horizontal="right" vertical="center"/>
    </xf>
    <xf numFmtId="0" fontId="10" fillId="6" borderId="0" xfId="0" applyFont="1" applyFill="1" applyAlignment="1" applyProtection="1">
      <alignment horizontal="center" vertical="center"/>
      <protection locked="0"/>
    </xf>
    <xf numFmtId="0" fontId="26" fillId="0" borderId="0" xfId="0" applyFont="1" applyAlignment="1" applyProtection="1">
      <alignment horizontal="right" vertical="center" indent="1"/>
      <protection locked="0"/>
    </xf>
    <xf numFmtId="9" fontId="26" fillId="0" borderId="0" xfId="0" applyNumberFormat="1" applyFont="1" applyAlignment="1">
      <alignment horizontal="center" vertical="center"/>
    </xf>
    <xf numFmtId="0" fontId="10" fillId="0" borderId="0" xfId="0" applyFont="1" applyAlignment="1">
      <alignment horizontal="left" vertical="center" indent="1"/>
    </xf>
    <xf numFmtId="0" fontId="1" fillId="0" borderId="0" xfId="4" quotePrefix="1" applyFont="1" applyAlignment="1">
      <alignment wrapText="1"/>
    </xf>
    <xf numFmtId="0" fontId="9" fillId="5" borderId="33" xfId="0" applyFont="1" applyFill="1" applyBorder="1" applyAlignment="1">
      <alignment vertical="center"/>
    </xf>
    <xf numFmtId="0" fontId="11" fillId="0" borderId="0" xfId="0" applyFont="1" applyFill="1" applyAlignment="1">
      <alignment vertical="center"/>
    </xf>
    <xf numFmtId="0" fontId="1" fillId="0" borderId="0" xfId="4" quotePrefix="1" applyFont="1"/>
    <xf numFmtId="2" fontId="3" fillId="0" borderId="8" xfId="0" applyNumberFormat="1" applyFont="1" applyBorder="1"/>
    <xf numFmtId="2" fontId="3" fillId="0" borderId="7" xfId="0" applyNumberFormat="1" applyFont="1" applyBorder="1"/>
    <xf numFmtId="4" fontId="3" fillId="0" borderId="8" xfId="0" applyNumberFormat="1" applyFont="1" applyBorder="1"/>
    <xf numFmtId="9" fontId="3" fillId="0" borderId="8" xfId="0" applyNumberFormat="1" applyFont="1" applyBorder="1"/>
    <xf numFmtId="4" fontId="3" fillId="0" borderId="7" xfId="0" applyNumberFormat="1" applyFont="1" applyBorder="1"/>
    <xf numFmtId="10" fontId="3" fillId="0" borderId="7" xfId="3" applyNumberFormat="1" applyFont="1" applyBorder="1"/>
    <xf numFmtId="166" fontId="3" fillId="0" borderId="7" xfId="3" applyNumberFormat="1" applyFont="1" applyBorder="1"/>
    <xf numFmtId="166" fontId="3" fillId="0" borderId="8" xfId="0" applyNumberFormat="1" applyFont="1" applyBorder="1"/>
    <xf numFmtId="9" fontId="3" fillId="0" borderId="7" xfId="0" applyNumberFormat="1" applyFont="1" applyBorder="1"/>
    <xf numFmtId="9" fontId="0" fillId="0" borderId="8" xfId="3" applyFont="1" applyBorder="1"/>
    <xf numFmtId="9" fontId="0" fillId="0" borderId="7" xfId="3" applyFont="1" applyBorder="1"/>
    <xf numFmtId="0" fontId="39" fillId="0" borderId="4" xfId="0" applyFont="1" applyBorder="1"/>
    <xf numFmtId="2" fontId="39" fillId="0" borderId="0" xfId="0" applyNumberFormat="1" applyFont="1" applyBorder="1"/>
    <xf numFmtId="2" fontId="39" fillId="0" borderId="5" xfId="0" applyNumberFormat="1" applyFont="1" applyBorder="1"/>
    <xf numFmtId="4" fontId="39" fillId="0" borderId="0" xfId="0" applyNumberFormat="1" applyFont="1" applyBorder="1"/>
    <xf numFmtId="9" fontId="39" fillId="0" borderId="0" xfId="0" applyNumberFormat="1" applyFont="1" applyBorder="1"/>
    <xf numFmtId="4" fontId="39" fillId="0" borderId="5" xfId="0" applyNumberFormat="1" applyFont="1" applyBorder="1"/>
    <xf numFmtId="10" fontId="39" fillId="0" borderId="5" xfId="3" applyNumberFormat="1" applyFont="1" applyBorder="1"/>
    <xf numFmtId="10" fontId="39" fillId="10" borderId="5" xfId="3" applyNumberFormat="1" applyFont="1" applyFill="1" applyBorder="1"/>
    <xf numFmtId="166" fontId="39" fillId="0" borderId="5" xfId="3" applyNumberFormat="1" applyFont="1" applyBorder="1"/>
    <xf numFmtId="167" fontId="39" fillId="0" borderId="5" xfId="3" applyNumberFormat="1" applyFont="1" applyBorder="1"/>
    <xf numFmtId="0" fontId="39" fillId="0" borderId="0" xfId="0" applyFont="1" applyBorder="1"/>
    <xf numFmtId="0" fontId="39" fillId="0" borderId="0" xfId="0" applyFont="1" applyFill="1" applyBorder="1"/>
    <xf numFmtId="0" fontId="39" fillId="0" borderId="5" xfId="0" applyFont="1" applyBorder="1"/>
    <xf numFmtId="166" fontId="39" fillId="0" borderId="0" xfId="0" applyNumberFormat="1" applyFont="1" applyBorder="1"/>
    <xf numFmtId="9" fontId="39" fillId="0" borderId="5" xfId="0" applyNumberFormat="1" applyFont="1" applyBorder="1"/>
    <xf numFmtId="9" fontId="39" fillId="0" borderId="0" xfId="3" applyFont="1" applyBorder="1"/>
    <xf numFmtId="9" fontId="39" fillId="0" borderId="5" xfId="3" applyFont="1" applyBorder="1"/>
    <xf numFmtId="0" fontId="16" fillId="0" borderId="0" xfId="0" applyFont="1" applyBorder="1" applyAlignment="1">
      <alignment vertical="center"/>
    </xf>
    <xf numFmtId="0" fontId="10" fillId="11" borderId="0" xfId="0" applyFont="1" applyFill="1" applyBorder="1" applyAlignment="1">
      <alignment horizontal="center" vertical="center"/>
    </xf>
    <xf numFmtId="3" fontId="10" fillId="11" borderId="0" xfId="0" applyNumberFormat="1" applyFont="1" applyFill="1" applyBorder="1" applyAlignment="1" applyProtection="1">
      <alignment horizontal="center" vertical="center"/>
      <protection locked="0"/>
    </xf>
    <xf numFmtId="3" fontId="10" fillId="11" borderId="0" xfId="0" applyNumberFormat="1" applyFont="1" applyFill="1" applyBorder="1" applyAlignment="1">
      <alignment vertical="center"/>
    </xf>
    <xf numFmtId="0" fontId="1" fillId="0" borderId="0" xfId="4" quotePrefix="1" applyFont="1" applyAlignment="1"/>
    <xf numFmtId="0" fontId="1" fillId="0" borderId="4" xfId="0" applyFont="1" applyBorder="1"/>
    <xf numFmtId="2" fontId="1" fillId="0" borderId="0" xfId="0" applyNumberFormat="1" applyFont="1" applyBorder="1"/>
    <xf numFmtId="2" fontId="1" fillId="0" borderId="5" xfId="0" applyNumberFormat="1" applyFont="1" applyBorder="1"/>
    <xf numFmtId="0" fontId="1" fillId="0" borderId="0" xfId="0" applyFont="1"/>
    <xf numFmtId="4" fontId="1" fillId="0" borderId="0" xfId="0" applyNumberFormat="1" applyFont="1" applyBorder="1"/>
    <xf numFmtId="9" fontId="1" fillId="0" borderId="0" xfId="0" applyNumberFormat="1" applyFont="1" applyBorder="1"/>
    <xf numFmtId="10" fontId="1" fillId="0" borderId="5" xfId="3" applyNumberFormat="1" applyFont="1" applyBorder="1"/>
    <xf numFmtId="166" fontId="1" fillId="0" borderId="5" xfId="3" applyNumberFormat="1" applyFont="1" applyBorder="1"/>
    <xf numFmtId="167" fontId="1" fillId="0" borderId="5" xfId="3" applyNumberFormat="1" applyFont="1" applyBorder="1"/>
    <xf numFmtId="0" fontId="1" fillId="0" borderId="0" xfId="0" applyFont="1" applyBorder="1"/>
    <xf numFmtId="0" fontId="1" fillId="0" borderId="0" xfId="0" applyFont="1" applyFill="1" applyBorder="1"/>
    <xf numFmtId="0" fontId="1" fillId="0" borderId="5" xfId="0" applyFont="1" applyBorder="1"/>
    <xf numFmtId="166" fontId="1" fillId="0" borderId="0" xfId="0" applyNumberFormat="1" applyFont="1" applyBorder="1"/>
    <xf numFmtId="9" fontId="1" fillId="0" borderId="5" xfId="0" applyNumberFormat="1" applyFont="1" applyBorder="1"/>
    <xf numFmtId="9" fontId="1" fillId="0" borderId="0" xfId="3" applyFont="1" applyBorder="1"/>
    <xf numFmtId="9" fontId="1" fillId="0" borderId="5" xfId="3" applyFont="1" applyBorder="1"/>
    <xf numFmtId="0" fontId="33" fillId="0" borderId="0" xfId="0" applyFont="1" applyAlignment="1">
      <alignment horizontal="right" vertical="center"/>
    </xf>
    <xf numFmtId="175" fontId="10" fillId="0" borderId="0" xfId="0" applyNumberFormat="1" applyFont="1" applyFill="1" applyBorder="1" applyAlignment="1">
      <alignment vertical="center"/>
    </xf>
    <xf numFmtId="0" fontId="10" fillId="0" borderId="0" xfId="0" applyFont="1" applyBorder="1" applyAlignment="1">
      <alignment horizontal="right" vertical="center"/>
    </xf>
    <xf numFmtId="176" fontId="10" fillId="0" borderId="13" xfId="0" applyNumberFormat="1" applyFont="1" applyBorder="1" applyAlignment="1">
      <alignment vertical="center"/>
    </xf>
    <xf numFmtId="173" fontId="10" fillId="0" borderId="0" xfId="0" applyNumberFormat="1" applyFont="1" applyBorder="1" applyAlignment="1">
      <alignment horizontal="right" vertical="center"/>
    </xf>
    <xf numFmtId="173" fontId="10" fillId="0" borderId="13" xfId="0" applyNumberFormat="1" applyFont="1" applyBorder="1" applyAlignment="1">
      <alignment horizontal="right" vertical="center"/>
    </xf>
    <xf numFmtId="175" fontId="10" fillId="6" borderId="0" xfId="0" applyNumberFormat="1" applyFont="1" applyFill="1" applyAlignment="1" applyProtection="1">
      <alignment horizontal="center" vertical="center"/>
      <protection locked="0"/>
    </xf>
    <xf numFmtId="0" fontId="26" fillId="0" borderId="0" xfId="0" applyFont="1" applyFill="1" applyBorder="1" applyAlignment="1">
      <alignment horizontal="right" vertical="center"/>
    </xf>
    <xf numFmtId="0" fontId="1" fillId="0" borderId="0" xfId="0" applyFont="1" applyFill="1"/>
    <xf numFmtId="14" fontId="0" fillId="0" borderId="0" xfId="0" applyNumberFormat="1" applyFill="1"/>
    <xf numFmtId="0" fontId="10" fillId="0" borderId="0" xfId="0" applyFont="1" applyFill="1" applyAlignment="1">
      <alignment horizontal="left" vertical="top" wrapText="1"/>
    </xf>
    <xf numFmtId="0" fontId="10" fillId="0" borderId="0" xfId="0" applyFont="1" applyFill="1" applyAlignment="1">
      <alignment horizontal="left" vertical="top"/>
    </xf>
    <xf numFmtId="0" fontId="11" fillId="0" borderId="0" xfId="0" applyFont="1" applyFill="1" applyAlignment="1">
      <alignment horizontal="left" vertical="top"/>
    </xf>
    <xf numFmtId="0" fontId="5" fillId="2" borderId="3" xfId="0" applyFont="1" applyFill="1" applyBorder="1" applyProtection="1"/>
    <xf numFmtId="0" fontId="10" fillId="0" borderId="33" xfId="0" applyFont="1" applyFill="1" applyBorder="1" applyAlignment="1">
      <alignment vertical="center"/>
    </xf>
    <xf numFmtId="0" fontId="10" fillId="0" borderId="0" xfId="0" applyFont="1" applyFill="1" applyBorder="1" applyAlignment="1">
      <alignment horizontal="left" vertical="center"/>
    </xf>
    <xf numFmtId="3" fontId="5" fillId="3" borderId="27" xfId="0" applyNumberFormat="1" applyFont="1" applyFill="1" applyBorder="1" applyAlignment="1">
      <alignment vertical="center"/>
    </xf>
    <xf numFmtId="3" fontId="5" fillId="3" borderId="26" xfId="0" applyNumberFormat="1" applyFont="1" applyFill="1" applyBorder="1" applyAlignment="1">
      <alignment vertical="center"/>
    </xf>
    <xf numFmtId="3" fontId="5" fillId="3" borderId="13" xfId="0" applyNumberFormat="1" applyFont="1" applyFill="1" applyBorder="1" applyAlignment="1">
      <alignment vertical="center"/>
    </xf>
    <xf numFmtId="3" fontId="5" fillId="3" borderId="10" xfId="0" applyNumberFormat="1" applyFont="1" applyFill="1" applyBorder="1" applyAlignment="1">
      <alignment vertical="center"/>
    </xf>
    <xf numFmtId="3" fontId="5" fillId="3" borderId="11" xfId="0" applyNumberFormat="1" applyFont="1" applyFill="1" applyBorder="1" applyAlignment="1">
      <alignment vertical="center"/>
    </xf>
    <xf numFmtId="0" fontId="18" fillId="0" borderId="0" xfId="0" applyFont="1" applyAlignment="1">
      <alignment horizontal="right" vertical="center"/>
    </xf>
    <xf numFmtId="0" fontId="9" fillId="5" borderId="33" xfId="0" applyFont="1" applyFill="1" applyBorder="1" applyAlignment="1">
      <alignment vertical="center" wrapText="1"/>
    </xf>
    <xf numFmtId="3" fontId="10" fillId="12" borderId="33" xfId="0" applyNumberFormat="1" applyFont="1" applyFill="1" applyBorder="1" applyAlignment="1">
      <alignment horizontal="center" vertical="center"/>
    </xf>
    <xf numFmtId="0" fontId="9" fillId="5" borderId="33" xfId="0" applyFont="1" applyFill="1" applyBorder="1" applyAlignment="1">
      <alignment horizontal="center" vertical="center" wrapText="1"/>
    </xf>
    <xf numFmtId="0" fontId="10" fillId="0" borderId="33" xfId="0" applyFont="1" applyBorder="1" applyAlignment="1">
      <alignment horizontal="center" vertical="center"/>
    </xf>
    <xf numFmtId="3" fontId="10" fillId="9" borderId="33" xfId="0" applyNumberFormat="1" applyFont="1" applyFill="1" applyBorder="1" applyAlignment="1" applyProtection="1">
      <alignment horizontal="center" vertical="center"/>
      <protection locked="0"/>
    </xf>
    <xf numFmtId="0" fontId="11" fillId="0" borderId="26" xfId="0" applyFont="1" applyFill="1" applyBorder="1" applyAlignment="1">
      <alignment vertical="center"/>
    </xf>
    <xf numFmtId="0" fontId="11" fillId="0" borderId="28" xfId="0" applyFont="1" applyFill="1" applyBorder="1" applyAlignment="1">
      <alignment vertical="center"/>
    </xf>
    <xf numFmtId="0" fontId="11" fillId="0" borderId="13" xfId="0" applyFont="1" applyFill="1" applyBorder="1" applyAlignment="1">
      <alignment vertical="center"/>
    </xf>
    <xf numFmtId="0" fontId="11" fillId="0" borderId="9" xfId="0" applyFont="1" applyFill="1" applyBorder="1" applyAlignment="1">
      <alignment vertical="center"/>
    </xf>
    <xf numFmtId="0" fontId="11" fillId="0" borderId="10" xfId="0" applyFont="1" applyFill="1" applyBorder="1" applyAlignment="1">
      <alignment vertical="center"/>
    </xf>
    <xf numFmtId="0" fontId="11" fillId="0" borderId="12" xfId="0" applyFont="1" applyFill="1" applyBorder="1" applyAlignment="1">
      <alignment vertical="center"/>
    </xf>
    <xf numFmtId="0" fontId="1" fillId="0" borderId="0" xfId="0" applyFont="1" applyBorder="1" applyAlignment="1">
      <alignment vertical="center" wrapText="1"/>
    </xf>
    <xf numFmtId="0" fontId="1" fillId="0" borderId="33" xfId="0" applyFont="1" applyBorder="1" applyAlignment="1">
      <alignment vertical="center" wrapText="1"/>
    </xf>
    <xf numFmtId="0" fontId="44" fillId="0" borderId="33" xfId="0" applyFont="1" applyFill="1" applyBorder="1" applyAlignment="1">
      <alignment horizontal="right" vertical="center" wrapText="1" indent="1"/>
    </xf>
    <xf numFmtId="0" fontId="10" fillId="0" borderId="33" xfId="0" applyFont="1" applyFill="1" applyBorder="1" applyAlignment="1">
      <alignment horizontal="right" vertical="center" indent="1"/>
    </xf>
    <xf numFmtId="0" fontId="10" fillId="0" borderId="0" xfId="0" applyFont="1" applyFill="1" applyBorder="1" applyAlignment="1">
      <alignment horizontal="right" vertical="center" indent="1"/>
    </xf>
    <xf numFmtId="0" fontId="1" fillId="3" borderId="4" xfId="0" applyFont="1" applyFill="1" applyBorder="1"/>
    <xf numFmtId="0" fontId="1" fillId="3" borderId="0" xfId="0" applyFont="1" applyFill="1" applyBorder="1"/>
    <xf numFmtId="0" fontId="1" fillId="3" borderId="5" xfId="0" applyFont="1" applyFill="1" applyBorder="1"/>
    <xf numFmtId="0" fontId="0" fillId="0" borderId="23" xfId="0" applyBorder="1"/>
    <xf numFmtId="0" fontId="48" fillId="13" borderId="4" xfId="0" applyFont="1" applyFill="1" applyBorder="1"/>
    <xf numFmtId="0" fontId="48" fillId="13" borderId="0" xfId="0" applyFont="1" applyFill="1" applyBorder="1"/>
    <xf numFmtId="0" fontId="48" fillId="13" borderId="5" xfId="0" applyFont="1" applyFill="1" applyBorder="1"/>
    <xf numFmtId="0" fontId="49" fillId="13" borderId="4" xfId="0" applyFont="1" applyFill="1" applyBorder="1"/>
    <xf numFmtId="0" fontId="49" fillId="13" borderId="0" xfId="0" applyFont="1" applyFill="1" applyBorder="1"/>
    <xf numFmtId="0" fontId="49" fillId="13" borderId="5" xfId="0" applyFont="1" applyFill="1" applyBorder="1"/>
    <xf numFmtId="0" fontId="49" fillId="0" borderId="4" xfId="0" applyFont="1" applyBorder="1"/>
    <xf numFmtId="0" fontId="49" fillId="0" borderId="0" xfId="0" applyFont="1" applyBorder="1"/>
    <xf numFmtId="0" fontId="49" fillId="0" borderId="5" xfId="0" applyFont="1" applyBorder="1"/>
    <xf numFmtId="0" fontId="49" fillId="0" borderId="23" xfId="0" applyFont="1" applyBorder="1"/>
    <xf numFmtId="0" fontId="49" fillId="0" borderId="25" xfId="0" applyFont="1" applyBorder="1"/>
    <xf numFmtId="0" fontId="49" fillId="0" borderId="24" xfId="0" applyFont="1" applyBorder="1"/>
    <xf numFmtId="0" fontId="49" fillId="0" borderId="6" xfId="0" applyFont="1" applyBorder="1"/>
    <xf numFmtId="0" fontId="49" fillId="0" borderId="8" xfId="0" applyFont="1" applyBorder="1"/>
    <xf numFmtId="0" fontId="49" fillId="0" borderId="7" xfId="0" applyFont="1" applyBorder="1"/>
    <xf numFmtId="3" fontId="39" fillId="0" borderId="0" xfId="0" applyNumberFormat="1" applyFont="1" applyBorder="1"/>
    <xf numFmtId="3" fontId="0" fillId="0" borderId="25" xfId="0" applyNumberFormat="1" applyBorder="1"/>
    <xf numFmtId="3" fontId="0" fillId="0" borderId="24" xfId="0" applyNumberFormat="1" applyBorder="1"/>
    <xf numFmtId="3" fontId="39" fillId="0" borderId="5" xfId="0" applyNumberFormat="1" applyFont="1" applyBorder="1"/>
    <xf numFmtId="0" fontId="11" fillId="3" borderId="10" xfId="0" applyFont="1" applyFill="1" applyBorder="1" applyAlignment="1">
      <alignment vertical="center"/>
    </xf>
    <xf numFmtId="3" fontId="10" fillId="9" borderId="0" xfId="0" applyNumberFormat="1" applyFont="1" applyFill="1" applyBorder="1" applyAlignment="1" applyProtection="1">
      <alignment vertical="center"/>
      <protection locked="0"/>
    </xf>
    <xf numFmtId="14" fontId="1" fillId="0" borderId="0" xfId="4" applyNumberFormat="1" applyFont="1" applyAlignment="1">
      <alignment horizontal="left" vertical="center"/>
    </xf>
    <xf numFmtId="0" fontId="0" fillId="0" borderId="6" xfId="0" applyFill="1" applyBorder="1"/>
    <xf numFmtId="0" fontId="50" fillId="0" borderId="0" xfId="0" applyFont="1" applyAlignment="1">
      <alignment vertical="center"/>
    </xf>
    <xf numFmtId="0" fontId="51" fillId="0" borderId="0" xfId="0" quotePrefix="1" applyFont="1"/>
    <xf numFmtId="0" fontId="52" fillId="0" borderId="0" xfId="0" quotePrefix="1" applyFont="1"/>
    <xf numFmtId="0" fontId="43" fillId="0" borderId="0" xfId="0" applyFont="1"/>
    <xf numFmtId="2" fontId="3" fillId="0" borderId="8" xfId="0" applyNumberFormat="1" applyFont="1" applyFill="1" applyBorder="1"/>
    <xf numFmtId="2" fontId="3" fillId="0" borderId="0" xfId="0" applyNumberFormat="1" applyFont="1" applyFill="1" applyBorder="1"/>
    <xf numFmtId="2" fontId="1" fillId="0" borderId="0" xfId="0" applyNumberFormat="1" applyFont="1" applyFill="1" applyBorder="1"/>
    <xf numFmtId="2" fontId="39" fillId="0" borderId="0" xfId="0" applyNumberFormat="1" applyFont="1" applyFill="1" applyBorder="1"/>
    <xf numFmtId="0" fontId="1" fillId="0" borderId="0" xfId="0" quotePrefix="1" applyFont="1" applyAlignment="1">
      <alignment horizontal="left" indent="1"/>
    </xf>
    <xf numFmtId="0" fontId="1" fillId="0" borderId="0" xfId="0" quotePrefix="1" applyFont="1" applyAlignment="1">
      <alignment horizontal="left" indent="3"/>
    </xf>
    <xf numFmtId="0" fontId="0" fillId="0" borderId="0" xfId="0" applyAlignment="1">
      <alignment horizontal="left" indent="1"/>
    </xf>
    <xf numFmtId="166" fontId="10" fillId="3" borderId="0" xfId="0" applyNumberFormat="1" applyFont="1" applyFill="1" applyBorder="1" applyAlignment="1">
      <alignment horizontal="right" vertical="center"/>
    </xf>
    <xf numFmtId="166" fontId="10" fillId="3" borderId="9" xfId="0" applyNumberFormat="1" applyFont="1" applyFill="1" applyBorder="1" applyAlignment="1">
      <alignment horizontal="right" vertical="center"/>
    </xf>
    <xf numFmtId="0" fontId="4" fillId="4" borderId="0" xfId="0" applyFont="1" applyFill="1" applyAlignment="1" applyProtection="1">
      <alignment horizontal="right"/>
    </xf>
    <xf numFmtId="166" fontId="10" fillId="4" borderId="0" xfId="0" applyNumberFormat="1" applyFont="1" applyFill="1" applyAlignment="1">
      <alignment horizontal="center" vertical="top" wrapText="1"/>
    </xf>
    <xf numFmtId="1" fontId="10" fillId="6" borderId="30" xfId="0" applyNumberFormat="1" applyFont="1" applyFill="1" applyBorder="1" applyAlignment="1" applyProtection="1">
      <alignment horizontal="center"/>
      <protection locked="0"/>
    </xf>
    <xf numFmtId="1" fontId="10" fillId="6" borderId="31" xfId="0" applyNumberFormat="1" applyFont="1" applyFill="1" applyBorder="1" applyAlignment="1" applyProtection="1">
      <alignment horizontal="center"/>
      <protection locked="0"/>
    </xf>
    <xf numFmtId="3" fontId="11" fillId="6" borderId="0" xfId="0" applyNumberFormat="1" applyFont="1" applyFill="1" applyBorder="1" applyAlignment="1" applyProtection="1">
      <alignment horizontal="center" vertical="center"/>
      <protection locked="0"/>
    </xf>
    <xf numFmtId="0" fontId="10" fillId="0" borderId="0" xfId="0" applyFont="1" applyFill="1" applyAlignment="1">
      <alignment horizontal="left" vertical="top" wrapText="1"/>
    </xf>
    <xf numFmtId="0" fontId="10" fillId="4" borderId="15" xfId="0" applyFont="1" applyFill="1" applyBorder="1" applyAlignment="1">
      <alignment horizontal="center"/>
    </xf>
    <xf numFmtId="166" fontId="10" fillId="9" borderId="0" xfId="0" applyNumberFormat="1" applyFont="1" applyFill="1" applyAlignment="1" applyProtection="1">
      <alignment horizontal="center" vertical="top" wrapText="1"/>
      <protection locked="0"/>
    </xf>
    <xf numFmtId="0" fontId="10" fillId="6" borderId="0" xfId="0" applyFont="1" applyFill="1" applyAlignment="1" applyProtection="1">
      <alignment horizontal="left" vertical="center"/>
      <protection locked="0"/>
    </xf>
    <xf numFmtId="0" fontId="10" fillId="0" borderId="18" xfId="0" applyFont="1" applyBorder="1" applyAlignment="1">
      <alignment horizontal="center"/>
    </xf>
    <xf numFmtId="0" fontId="10" fillId="0" borderId="17" xfId="0" applyFont="1" applyBorder="1" applyAlignment="1">
      <alignment horizontal="center"/>
    </xf>
    <xf numFmtId="0" fontId="10" fillId="0" borderId="34" xfId="0" applyFont="1" applyBorder="1" applyAlignment="1">
      <alignment horizontal="center"/>
    </xf>
    <xf numFmtId="0" fontId="10" fillId="0" borderId="35" xfId="0" applyFont="1" applyBorder="1" applyAlignment="1">
      <alignment horizontal="center"/>
    </xf>
    <xf numFmtId="0" fontId="10" fillId="0" borderId="36" xfId="0" applyFont="1" applyBorder="1" applyAlignment="1">
      <alignment horizontal="center"/>
    </xf>
    <xf numFmtId="1" fontId="10" fillId="6" borderId="32" xfId="0" applyNumberFormat="1" applyFont="1" applyFill="1" applyBorder="1" applyAlignment="1" applyProtection="1">
      <alignment horizontal="center"/>
      <protection locked="0"/>
    </xf>
    <xf numFmtId="4" fontId="10" fillId="6" borderId="0" xfId="0" applyNumberFormat="1" applyFont="1" applyFill="1" applyAlignment="1" applyProtection="1">
      <alignment horizontal="center" vertical="center"/>
      <protection locked="0"/>
    </xf>
    <xf numFmtId="0" fontId="10" fillId="0" borderId="19" xfId="0" applyFont="1" applyBorder="1" applyAlignment="1">
      <alignment horizontal="center"/>
    </xf>
    <xf numFmtId="3" fontId="20" fillId="3" borderId="0" xfId="0" applyNumberFormat="1" applyFont="1" applyFill="1" applyBorder="1" applyAlignment="1">
      <alignment horizontal="right"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10" fillId="6" borderId="0" xfId="0" applyFont="1" applyFill="1" applyAlignment="1" applyProtection="1">
      <alignment horizontal="center" vertical="center"/>
      <protection locked="0"/>
    </xf>
    <xf numFmtId="0" fontId="31" fillId="0" borderId="0" xfId="0" applyFont="1" applyFill="1" applyAlignment="1">
      <alignment horizontal="center"/>
    </xf>
    <xf numFmtId="0" fontId="10" fillId="4" borderId="40" xfId="0" applyNumberFormat="1" applyFont="1" applyFill="1" applyBorder="1" applyAlignment="1">
      <alignment horizontal="center"/>
    </xf>
    <xf numFmtId="0" fontId="10" fillId="4" borderId="41" xfId="0" applyNumberFormat="1" applyFont="1" applyFill="1" applyBorder="1" applyAlignment="1">
      <alignment horizontal="center"/>
    </xf>
    <xf numFmtId="0" fontId="10" fillId="4" borderId="16" xfId="0" applyFont="1" applyFill="1" applyBorder="1" applyAlignment="1">
      <alignment horizontal="center"/>
    </xf>
    <xf numFmtId="9" fontId="10" fillId="6" borderId="0" xfId="0" applyNumberFormat="1" applyFont="1" applyFill="1" applyAlignment="1" applyProtection="1">
      <alignment horizontal="center" vertical="center"/>
      <protection locked="0"/>
    </xf>
    <xf numFmtId="0" fontId="0" fillId="0" borderId="0" xfId="0" applyProtection="1">
      <protection locked="0"/>
    </xf>
    <xf numFmtId="0" fontId="9" fillId="5" borderId="33" xfId="0" applyFont="1" applyFill="1" applyBorder="1" applyAlignment="1">
      <alignment horizontal="center" vertical="center"/>
    </xf>
    <xf numFmtId="0" fontId="10" fillId="0" borderId="27" xfId="0" applyFont="1" applyBorder="1" applyAlignment="1">
      <alignment horizontal="center" vertical="center"/>
    </xf>
    <xf numFmtId="0" fontId="10" fillId="0" borderId="0" xfId="0" quotePrefix="1" applyFont="1" applyBorder="1" applyAlignment="1">
      <alignment horizontal="left" vertical="center" wrapText="1" indent="2"/>
    </xf>
    <xf numFmtId="0" fontId="10" fillId="0" borderId="0" xfId="0" quotePrefix="1" applyFont="1" applyBorder="1" applyAlignment="1">
      <alignment horizontal="center" vertical="center"/>
    </xf>
    <xf numFmtId="0" fontId="10" fillId="0" borderId="0" xfId="0" applyFont="1" applyBorder="1" applyAlignment="1">
      <alignment horizontal="center" vertical="center"/>
    </xf>
    <xf numFmtId="9" fontId="10" fillId="0" borderId="0" xfId="3" applyNumberFormat="1" applyFont="1" applyBorder="1" applyAlignment="1">
      <alignment horizontal="center" vertical="center"/>
    </xf>
    <xf numFmtId="9" fontId="10" fillId="0" borderId="9" xfId="3" applyNumberFormat="1" applyFont="1" applyBorder="1" applyAlignment="1">
      <alignment horizontal="center" vertical="center"/>
    </xf>
    <xf numFmtId="174" fontId="10" fillId="0" borderId="0" xfId="0" quotePrefix="1" applyNumberFormat="1" applyFont="1" applyBorder="1" applyAlignment="1">
      <alignment horizontal="left" vertical="center" indent="2"/>
    </xf>
    <xf numFmtId="3" fontId="10" fillId="4" borderId="0" xfId="0" applyNumberFormat="1" applyFont="1" applyFill="1" applyBorder="1" applyAlignment="1">
      <alignment horizontal="center" vertical="center"/>
    </xf>
    <xf numFmtId="9" fontId="12" fillId="4" borderId="0" xfId="3" applyNumberFormat="1" applyFont="1" applyFill="1" applyBorder="1" applyAlignment="1">
      <alignment horizontal="center" vertical="center"/>
    </xf>
    <xf numFmtId="0" fontId="27" fillId="0" borderId="0" xfId="0" applyNumberFormat="1" applyFont="1" applyBorder="1" applyAlignment="1">
      <alignment horizontal="center" vertical="top" wrapText="1"/>
    </xf>
    <xf numFmtId="0" fontId="27" fillId="0" borderId="13" xfId="0" applyNumberFormat="1" applyFont="1" applyBorder="1" applyAlignment="1">
      <alignment horizontal="center" vertical="top" wrapText="1"/>
    </xf>
    <xf numFmtId="0" fontId="27" fillId="0" borderId="0" xfId="0" applyFont="1" applyAlignment="1">
      <alignment horizontal="right" vertical="center"/>
    </xf>
    <xf numFmtId="0" fontId="27" fillId="0" borderId="11" xfId="0" applyFont="1" applyBorder="1" applyAlignment="1">
      <alignment horizontal="center" vertical="center"/>
    </xf>
    <xf numFmtId="0" fontId="27" fillId="0" borderId="0" xfId="0" applyFont="1" applyAlignment="1">
      <alignment horizontal="center" vertical="center"/>
    </xf>
    <xf numFmtId="0" fontId="27" fillId="0" borderId="0" xfId="0" applyFont="1" applyAlignment="1">
      <alignment horizontal="left" vertical="center"/>
    </xf>
    <xf numFmtId="0" fontId="0" fillId="0" borderId="0" xfId="0" applyAlignment="1"/>
    <xf numFmtId="0" fontId="27" fillId="0" borderId="0" xfId="0" quotePrefix="1" applyFont="1" applyAlignment="1">
      <alignment horizontal="left" vertical="center"/>
    </xf>
    <xf numFmtId="0" fontId="0" fillId="6" borderId="26" xfId="0" applyFill="1" applyBorder="1" applyAlignment="1">
      <alignment horizontal="left" vertical="top" wrapText="1"/>
    </xf>
    <xf numFmtId="0" fontId="0" fillId="6" borderId="27" xfId="0" applyFill="1" applyBorder="1" applyAlignment="1">
      <alignment horizontal="left" vertical="top" wrapText="1"/>
    </xf>
    <xf numFmtId="0" fontId="0" fillId="6" borderId="28" xfId="0" applyFill="1" applyBorder="1" applyAlignment="1">
      <alignment horizontal="left" vertical="top" wrapText="1"/>
    </xf>
    <xf numFmtId="0" fontId="0" fillId="6" borderId="13" xfId="0" applyFill="1" applyBorder="1" applyAlignment="1">
      <alignment horizontal="left" vertical="top" wrapText="1"/>
    </xf>
    <xf numFmtId="0" fontId="0" fillId="6" borderId="0" xfId="0" applyFill="1" applyBorder="1" applyAlignment="1">
      <alignment horizontal="left" vertical="top" wrapText="1"/>
    </xf>
    <xf numFmtId="0" fontId="0" fillId="6" borderId="9" xfId="0" applyFill="1" applyBorder="1" applyAlignment="1">
      <alignment horizontal="left" vertical="top" wrapText="1"/>
    </xf>
    <xf numFmtId="0" fontId="0" fillId="6" borderId="10" xfId="0" applyFill="1" applyBorder="1" applyAlignment="1">
      <alignment horizontal="left" vertical="top" wrapText="1"/>
    </xf>
    <xf numFmtId="0" fontId="0" fillId="6" borderId="11" xfId="0" applyFill="1" applyBorder="1" applyAlignment="1">
      <alignment horizontal="left" vertical="top" wrapText="1"/>
    </xf>
    <xf numFmtId="0" fontId="0" fillId="6" borderId="12" xfId="0" applyFill="1" applyBorder="1" applyAlignment="1">
      <alignment horizontal="left" vertical="top" wrapText="1"/>
    </xf>
    <xf numFmtId="9" fontId="10" fillId="0" borderId="0" xfId="0" applyNumberFormat="1" applyFont="1" applyBorder="1" applyAlignment="1">
      <alignment horizontal="right"/>
    </xf>
    <xf numFmtId="0" fontId="5" fillId="2" borderId="1" xfId="0" applyFont="1" applyFill="1" applyBorder="1" applyAlignment="1" applyProtection="1">
      <alignment horizontal="left" vertical="center"/>
    </xf>
    <xf numFmtId="0" fontId="5" fillId="2" borderId="2" xfId="0" applyFont="1" applyFill="1" applyBorder="1" applyAlignment="1" applyProtection="1">
      <alignment horizontal="left" vertical="center"/>
    </xf>
    <xf numFmtId="0" fontId="5" fillId="2" borderId="3" xfId="0" applyFont="1" applyFill="1" applyBorder="1" applyAlignment="1" applyProtection="1">
      <alignment horizontal="left" vertical="center"/>
    </xf>
    <xf numFmtId="0" fontId="1" fillId="9" borderId="0" xfId="0" applyFont="1" applyFill="1" applyAlignment="1" applyProtection="1">
      <alignment horizontal="left" vertical="top"/>
      <protection locked="0"/>
    </xf>
    <xf numFmtId="0" fontId="0" fillId="9" borderId="0" xfId="0" applyFill="1" applyAlignment="1" applyProtection="1">
      <alignment horizontal="left" vertical="top"/>
      <protection locked="0"/>
    </xf>
    <xf numFmtId="0" fontId="10" fillId="0" borderId="33" xfId="0" applyFont="1" applyBorder="1" applyAlignment="1">
      <alignment horizontal="left" vertical="center"/>
    </xf>
    <xf numFmtId="3" fontId="10" fillId="12" borderId="33" xfId="0" applyNumberFormat="1" applyFont="1" applyFill="1" applyBorder="1" applyAlignment="1">
      <alignment horizontal="center" vertical="center"/>
    </xf>
    <xf numFmtId="172" fontId="10" fillId="0" borderId="20" xfId="2" applyNumberFormat="1" applyFont="1" applyFill="1" applyBorder="1" applyAlignment="1">
      <alignment horizontal="center" vertical="center"/>
    </xf>
    <xf numFmtId="172" fontId="10" fillId="0" borderId="22" xfId="2" applyNumberFormat="1" applyFont="1" applyFill="1" applyBorder="1" applyAlignment="1">
      <alignment horizontal="center" vertical="center"/>
    </xf>
    <xf numFmtId="0" fontId="10" fillId="0" borderId="33" xfId="0" applyFont="1" applyBorder="1" applyAlignment="1">
      <alignment horizontal="center" vertical="center"/>
    </xf>
    <xf numFmtId="3" fontId="10" fillId="9" borderId="33" xfId="0" applyNumberFormat="1" applyFont="1" applyFill="1" applyBorder="1" applyAlignment="1" applyProtection="1">
      <alignment horizontal="center" vertical="center"/>
      <protection locked="0"/>
    </xf>
    <xf numFmtId="0" fontId="11" fillId="0" borderId="26"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2" xfId="0" applyFont="1" applyFill="1" applyBorder="1" applyAlignment="1">
      <alignment horizontal="center" vertical="center"/>
    </xf>
    <xf numFmtId="0" fontId="9" fillId="5" borderId="33" xfId="0" applyFont="1" applyFill="1" applyBorder="1" applyAlignment="1">
      <alignment horizontal="center" vertical="center" wrapText="1"/>
    </xf>
    <xf numFmtId="0" fontId="9" fillId="5" borderId="20"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10" fillId="0" borderId="33" xfId="0" applyFont="1" applyFill="1" applyBorder="1" applyAlignment="1">
      <alignment horizontal="left" vertical="center"/>
    </xf>
  </cellXfs>
  <cellStyles count="6">
    <cellStyle name="Euro" xfId="1"/>
    <cellStyle name="Komma" xfId="2" builtinId="3"/>
    <cellStyle name="Prozent" xfId="3" builtinId="5"/>
    <cellStyle name="Standard" xfId="0" builtinId="0"/>
    <cellStyle name="Standard 2" xfId="4"/>
    <cellStyle name="Standard_Änderungen ASNFM für 2007 (BJ)" xfId="5"/>
  </cellStyles>
  <dxfs count="7">
    <dxf>
      <font>
        <condense val="0"/>
        <extend val="0"/>
        <color indexed="10"/>
      </font>
    </dxf>
    <dxf>
      <font>
        <condense val="0"/>
        <extend val="0"/>
        <color indexed="17"/>
      </font>
    </dxf>
    <dxf>
      <fill>
        <patternFill>
          <bgColor indexed="47"/>
        </patternFill>
      </fill>
    </dxf>
    <dxf>
      <font>
        <b val="0"/>
        <i/>
        <condense val="0"/>
        <extend val="0"/>
      </font>
    </dxf>
    <dxf>
      <font>
        <b val="0"/>
        <i/>
        <condense val="0"/>
        <extend val="0"/>
      </font>
    </dxf>
    <dxf>
      <font>
        <b val="0"/>
        <i/>
        <condense val="0"/>
        <extend val="0"/>
      </font>
    </dxf>
    <dxf>
      <font>
        <b val="0"/>
        <i/>
        <condense val="0"/>
        <extend val="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EAEAEA"/>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EAEAEA"/>
      <color rgb="FFC0C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w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27</xdr:col>
      <xdr:colOff>219075</xdr:colOff>
      <xdr:row>0</xdr:row>
      <xdr:rowOff>0</xdr:rowOff>
    </xdr:from>
    <xdr:to>
      <xdr:col>32</xdr:col>
      <xdr:colOff>95250</xdr:colOff>
      <xdr:row>3</xdr:row>
      <xdr:rowOff>28575</xdr:rowOff>
    </xdr:to>
    <xdr:pic>
      <xdr:nvPicPr>
        <xdr:cNvPr id="7322" name="Picture 7" descr="logo_verw_t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24925" y="0"/>
          <a:ext cx="15144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showGridLines="0" tabSelected="1" zoomScaleNormal="100" workbookViewId="0">
      <selection activeCell="A2" sqref="A2"/>
    </sheetView>
  </sheetViews>
  <sheetFormatPr baseColWidth="10" defaultColWidth="11.42578125" defaultRowHeight="12.75" x14ac:dyDescent="0.2"/>
  <cols>
    <col min="1" max="1" width="2.85546875" style="161" customWidth="1"/>
    <col min="2" max="2" width="91.28515625" style="161" customWidth="1"/>
    <col min="3" max="3" width="5" style="161" customWidth="1"/>
    <col min="4" max="16384" width="11.42578125" style="161"/>
  </cols>
  <sheetData>
    <row r="1" spans="1:2" s="379" customFormat="1" ht="19.5" x14ac:dyDescent="0.3">
      <c r="A1" s="380" t="s">
        <v>126</v>
      </c>
    </row>
    <row r="2" spans="1:2" s="379" customFormat="1" x14ac:dyDescent="0.2"/>
    <row r="3" spans="1:2" s="379" customFormat="1" x14ac:dyDescent="0.2">
      <c r="A3" s="384" t="s">
        <v>146</v>
      </c>
      <c r="B3" s="385"/>
    </row>
    <row r="4" spans="1:2" ht="6" customHeight="1" x14ac:dyDescent="0.2"/>
    <row r="5" spans="1:2" ht="25.5" x14ac:dyDescent="0.2">
      <c r="B5" s="382" t="s">
        <v>237</v>
      </c>
    </row>
    <row r="6" spans="1:2" x14ac:dyDescent="0.2">
      <c r="B6" s="382"/>
    </row>
    <row r="7" spans="1:2" ht="25.5" x14ac:dyDescent="0.2">
      <c r="B7" s="382" t="s">
        <v>154</v>
      </c>
    </row>
    <row r="8" spans="1:2" ht="25.5" x14ac:dyDescent="0.2">
      <c r="B8" s="382" t="s">
        <v>178</v>
      </c>
    </row>
    <row r="9" spans="1:2" x14ac:dyDescent="0.2">
      <c r="B9" s="382"/>
    </row>
    <row r="10" spans="1:2" ht="38.25" x14ac:dyDescent="0.2">
      <c r="B10" s="382" t="s">
        <v>176</v>
      </c>
    </row>
    <row r="11" spans="1:2" x14ac:dyDescent="0.2">
      <c r="B11" s="382"/>
    </row>
    <row r="12" spans="1:2" ht="38.25" x14ac:dyDescent="0.2">
      <c r="B12" s="381" t="s">
        <v>198</v>
      </c>
    </row>
    <row r="13" spans="1:2" x14ac:dyDescent="0.2">
      <c r="B13" s="382"/>
    </row>
    <row r="14" spans="1:2" s="379" customFormat="1" x14ac:dyDescent="0.2">
      <c r="A14" s="384" t="s">
        <v>145</v>
      </c>
      <c r="B14" s="385"/>
    </row>
    <row r="15" spans="1:2" ht="6" customHeight="1" x14ac:dyDescent="0.2"/>
    <row r="16" spans="1:2" ht="25.5" x14ac:dyDescent="0.2">
      <c r="B16" s="382" t="s">
        <v>238</v>
      </c>
    </row>
    <row r="17" spans="1:2" x14ac:dyDescent="0.2">
      <c r="B17" s="382" t="s">
        <v>256</v>
      </c>
    </row>
    <row r="18" spans="1:2" ht="38.25" x14ac:dyDescent="0.2">
      <c r="B18" s="382" t="s">
        <v>257</v>
      </c>
    </row>
    <row r="19" spans="1:2" x14ac:dyDescent="0.2">
      <c r="B19" s="382" t="s">
        <v>171</v>
      </c>
    </row>
    <row r="20" spans="1:2" x14ac:dyDescent="0.2">
      <c r="B20" s="382" t="s">
        <v>172</v>
      </c>
    </row>
    <row r="21" spans="1:2" x14ac:dyDescent="0.2">
      <c r="B21" s="382"/>
    </row>
    <row r="22" spans="1:2" ht="76.5" x14ac:dyDescent="0.2">
      <c r="B22" s="383" t="s">
        <v>239</v>
      </c>
    </row>
    <row r="23" spans="1:2" x14ac:dyDescent="0.2">
      <c r="B23" s="382"/>
    </row>
    <row r="24" spans="1:2" x14ac:dyDescent="0.2">
      <c r="A24" s="384" t="s">
        <v>156</v>
      </c>
      <c r="B24" s="385"/>
    </row>
    <row r="25" spans="1:2" ht="6" customHeight="1" x14ac:dyDescent="0.2">
      <c r="B25" s="382"/>
    </row>
    <row r="26" spans="1:2" ht="38.25" x14ac:dyDescent="0.2">
      <c r="B26" s="381" t="s">
        <v>199</v>
      </c>
    </row>
    <row r="27" spans="1:2" x14ac:dyDescent="0.2">
      <c r="B27" s="382"/>
    </row>
    <row r="28" spans="1:2" x14ac:dyDescent="0.2">
      <c r="A28" s="384" t="s">
        <v>147</v>
      </c>
      <c r="B28" s="385"/>
    </row>
    <row r="29" spans="1:2" ht="6" customHeight="1" x14ac:dyDescent="0.2"/>
    <row r="30" spans="1:2" x14ac:dyDescent="0.2">
      <c r="B30" s="382" t="s">
        <v>173</v>
      </c>
    </row>
    <row r="31" spans="1:2" x14ac:dyDescent="0.2">
      <c r="B31" s="382"/>
    </row>
    <row r="32" spans="1:2" x14ac:dyDescent="0.2">
      <c r="A32" s="384" t="s">
        <v>240</v>
      </c>
      <c r="B32" s="385"/>
    </row>
    <row r="33" spans="1:2" ht="6" customHeight="1" x14ac:dyDescent="0.2">
      <c r="B33" s="382"/>
    </row>
    <row r="34" spans="1:2" x14ac:dyDescent="0.2">
      <c r="B34" s="382" t="s">
        <v>241</v>
      </c>
    </row>
    <row r="35" spans="1:2" x14ac:dyDescent="0.2">
      <c r="B35" s="382"/>
    </row>
    <row r="36" spans="1:2" x14ac:dyDescent="0.2">
      <c r="A36" s="384" t="s">
        <v>148</v>
      </c>
      <c r="B36" s="385"/>
    </row>
    <row r="37" spans="1:2" ht="6" customHeight="1" x14ac:dyDescent="0.2"/>
    <row r="38" spans="1:2" ht="25.5" x14ac:dyDescent="0.2">
      <c r="B38" s="382" t="s">
        <v>155</v>
      </c>
    </row>
    <row r="39" spans="1:2" x14ac:dyDescent="0.2">
      <c r="B39" s="382"/>
    </row>
    <row r="40" spans="1:2" x14ac:dyDescent="0.2">
      <c r="B40" s="382"/>
    </row>
    <row r="41" spans="1:2" x14ac:dyDescent="0.2">
      <c r="B41" s="382"/>
    </row>
    <row r="42" spans="1:2" x14ac:dyDescent="0.2">
      <c r="B42" s="382"/>
    </row>
    <row r="43" spans="1:2" x14ac:dyDescent="0.2">
      <c r="B43" s="382"/>
    </row>
    <row r="44" spans="1:2" x14ac:dyDescent="0.2">
      <c r="B44" s="382"/>
    </row>
    <row r="45" spans="1:2" x14ac:dyDescent="0.2">
      <c r="B45" s="382"/>
    </row>
    <row r="46" spans="1:2" x14ac:dyDescent="0.2">
      <c r="B46" s="382"/>
    </row>
    <row r="47" spans="1:2" x14ac:dyDescent="0.2">
      <c r="B47" s="382"/>
    </row>
    <row r="48" spans="1:2" x14ac:dyDescent="0.2">
      <c r="B48" s="382"/>
    </row>
    <row r="49" spans="2:2" x14ac:dyDescent="0.2">
      <c r="B49" s="382"/>
    </row>
    <row r="50" spans="2:2" x14ac:dyDescent="0.2">
      <c r="B50" s="382"/>
    </row>
    <row r="51" spans="2:2" x14ac:dyDescent="0.2">
      <c r="B51" s="382"/>
    </row>
    <row r="52" spans="2:2" x14ac:dyDescent="0.2">
      <c r="B52" s="382"/>
    </row>
    <row r="53" spans="2:2" x14ac:dyDescent="0.2">
      <c r="B53" s="382"/>
    </row>
    <row r="54" spans="2:2" x14ac:dyDescent="0.2">
      <c r="B54" s="382"/>
    </row>
  </sheetData>
  <sheetProtection algorithmName="SHA-512" hashValue="jpja9jZzChZQbwA5T7tgp7+sYpRNHwx0PV4AXCmJfVCBNk5KWMt79hgSOBuSlue+wxJbqUrJydSuZaVL3ei7lw==" saltValue="HSKORyB7u5Na8JF1MHCtJg==" spinCount="100000" sheet="1" objects="1" scenarios="1"/>
  <phoneticPr fontId="10" type="noConversion"/>
  <printOptions horizontalCentered="1"/>
  <pageMargins left="0.19685039370078741" right="0.19685039370078741" top="0.98425196850393704" bottom="0.39370078740157483" header="0.19685039370078741" footer="0.19685039370078741"/>
  <pageSetup paperSize="9" fitToHeight="0" orientation="portrait" r:id="rId1"/>
  <headerFooter scaleWithDoc="0">
    <oddHeader>&amp;L&amp;"Arial,Fett"Amt für Volksschule&amp;"Arial,Standard"
Finanzen&amp;R
&amp;G</oddHeader>
    <oddFooter>&amp;L&amp;8&amp;F/AVKFIN
&amp;R&amp;8&amp;A
&amp;P/&amp;N</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W133"/>
  <sheetViews>
    <sheetView showGridLines="0" zoomScaleNormal="100" workbookViewId="0">
      <selection activeCell="C7" sqref="C7:H7"/>
    </sheetView>
  </sheetViews>
  <sheetFormatPr baseColWidth="10" defaultRowHeight="12.75" x14ac:dyDescent="0.2"/>
  <cols>
    <col min="1" max="1" width="2.28515625" customWidth="1"/>
    <col min="2" max="2" width="14.7109375" customWidth="1"/>
    <col min="3" max="3" width="8.85546875" customWidth="1"/>
    <col min="4" max="4" width="3.42578125" customWidth="1"/>
    <col min="5" max="5" width="6.5703125" customWidth="1"/>
    <col min="6" max="6" width="8.85546875" customWidth="1"/>
    <col min="7" max="7" width="3.42578125" customWidth="1"/>
    <col min="8" max="8" width="6.5703125" customWidth="1"/>
    <col min="9" max="9" width="8.85546875" customWidth="1"/>
    <col min="10" max="10" width="3.42578125" customWidth="1"/>
    <col min="11" max="11" width="6.5703125" customWidth="1"/>
    <col min="12" max="12" width="8.85546875" customWidth="1"/>
    <col min="13" max="13" width="3.42578125" customWidth="1"/>
    <col min="14" max="14" width="6.5703125" customWidth="1"/>
    <col min="15" max="15" width="8.85546875" customWidth="1"/>
    <col min="16" max="16" width="3.42578125" customWidth="1"/>
  </cols>
  <sheetData>
    <row r="1" spans="1:18" ht="19.5" x14ac:dyDescent="0.3">
      <c r="A1" s="1" t="s">
        <v>259</v>
      </c>
      <c r="B1" s="1"/>
      <c r="C1" s="1"/>
      <c r="D1" s="1"/>
      <c r="E1" s="1"/>
      <c r="F1" s="2"/>
      <c r="G1" s="2"/>
      <c r="H1" s="3"/>
      <c r="I1" s="3"/>
      <c r="J1" s="3"/>
      <c r="K1" s="3"/>
      <c r="L1" s="2"/>
      <c r="M1" s="2"/>
      <c r="N1" s="2"/>
      <c r="P1" s="181"/>
    </row>
    <row r="2" spans="1:18" s="52" customFormat="1" x14ac:dyDescent="0.2">
      <c r="A2" s="4"/>
      <c r="B2" s="4"/>
      <c r="C2" s="4"/>
      <c r="D2" s="4"/>
      <c r="E2" s="4"/>
      <c r="F2" s="2"/>
      <c r="G2" s="2"/>
      <c r="H2" s="3"/>
      <c r="I2" s="3"/>
      <c r="J2" s="3"/>
      <c r="K2" s="3"/>
      <c r="L2" s="2"/>
      <c r="M2" s="2"/>
      <c r="N2" s="2"/>
      <c r="O2" s="51"/>
      <c r="P2" s="51"/>
    </row>
    <row r="3" spans="1:18" s="52" customFormat="1" x14ac:dyDescent="0.2">
      <c r="A3" s="53" t="str">
        <f>IF(C7="","",C7)</f>
        <v/>
      </c>
      <c r="B3" s="56"/>
      <c r="C3" s="53"/>
      <c r="D3" s="53"/>
      <c r="E3" s="53"/>
      <c r="F3" s="54"/>
      <c r="G3" s="54"/>
      <c r="H3" s="55"/>
      <c r="I3" s="55"/>
      <c r="J3" s="55"/>
      <c r="K3" s="55"/>
      <c r="L3" s="563" t="str">
        <f>IF(O7="bitte wählen","","Rechnungsjahr "&amp;O7&amp;" (BJ "&amp;O7+1&amp;")")</f>
        <v/>
      </c>
      <c r="M3" s="563"/>
      <c r="N3" s="563"/>
      <c r="O3" s="563"/>
      <c r="P3" s="563"/>
    </row>
    <row r="4" spans="1:18" s="52" customFormat="1" ht="13.5" thickBot="1" x14ac:dyDescent="0.25">
      <c r="A4" s="4"/>
      <c r="B4" s="4"/>
      <c r="C4" s="4"/>
      <c r="D4" s="4"/>
      <c r="E4" s="4"/>
      <c r="F4" s="2"/>
      <c r="G4" s="2"/>
      <c r="H4" s="3"/>
      <c r="I4" s="3"/>
      <c r="J4" s="3"/>
      <c r="K4" s="3"/>
      <c r="L4" s="2"/>
      <c r="M4" s="2"/>
      <c r="N4" s="2"/>
      <c r="O4" s="51"/>
      <c r="P4" s="51"/>
    </row>
    <row r="5" spans="1:18" ht="16.5" thickBot="1" x14ac:dyDescent="0.3">
      <c r="A5" s="5" t="s">
        <v>0</v>
      </c>
      <c r="B5" s="6"/>
      <c r="C5" s="6"/>
      <c r="D5" s="6"/>
      <c r="E5" s="6"/>
      <c r="F5" s="7"/>
      <c r="G5" s="7"/>
      <c r="H5" s="7"/>
      <c r="I5" s="7"/>
      <c r="J5" s="7"/>
      <c r="K5" s="7"/>
      <c r="L5" s="7"/>
      <c r="M5" s="7"/>
      <c r="N5" s="7"/>
      <c r="O5" s="7"/>
      <c r="P5" s="8"/>
    </row>
    <row r="6" spans="1:18" x14ac:dyDescent="0.2">
      <c r="A6" s="18"/>
      <c r="B6" s="18"/>
      <c r="C6" s="18"/>
      <c r="D6" s="18"/>
      <c r="E6" s="18"/>
      <c r="F6" s="18"/>
      <c r="G6" s="18"/>
      <c r="H6" s="18"/>
      <c r="I6" s="18"/>
      <c r="J6" s="18"/>
      <c r="N6" s="18"/>
      <c r="O6" s="18"/>
      <c r="P6" s="18"/>
    </row>
    <row r="7" spans="1:18" ht="15.75" customHeight="1" x14ac:dyDescent="0.25">
      <c r="A7" s="23" t="s">
        <v>1</v>
      </c>
      <c r="B7" s="23"/>
      <c r="C7" s="571"/>
      <c r="D7" s="571"/>
      <c r="E7" s="571"/>
      <c r="F7" s="571"/>
      <c r="G7" s="571"/>
      <c r="H7" s="571"/>
      <c r="I7" s="427" t="s">
        <v>242</v>
      </c>
      <c r="J7" s="584" t="s">
        <v>128</v>
      </c>
      <c r="K7" s="584"/>
      <c r="N7" s="427" t="s">
        <v>306</v>
      </c>
      <c r="O7" s="428" t="s">
        <v>128</v>
      </c>
      <c r="P7" s="156"/>
      <c r="R7" s="237" t="str">
        <f>IF(OR(J7="bitte wählen",J7=""),"Schultyp wählen","")</f>
        <v>Schultyp wählen</v>
      </c>
    </row>
    <row r="8" spans="1:18" ht="15.75" x14ac:dyDescent="0.25">
      <c r="A8" s="23"/>
      <c r="B8" s="23"/>
      <c r="C8" s="24"/>
      <c r="D8" s="24"/>
      <c r="E8" s="24"/>
      <c r="F8" s="24"/>
      <c r="G8" s="24"/>
      <c r="K8" s="45"/>
      <c r="M8" s="24"/>
      <c r="O8" s="506" t="str">
        <f>IFERROR("Mittelfluss (Beitragsjahr) "&amp;O7+1,"")</f>
        <v/>
      </c>
      <c r="P8" s="73"/>
      <c r="R8" s="237" t="str">
        <f>IF(OR(O7="bitte wählen",O7=""),"Rechnungsjahr wählen","")</f>
        <v>Rechnungsjahr wählen</v>
      </c>
    </row>
    <row r="9" spans="1:18" ht="6" customHeight="1" x14ac:dyDescent="0.2">
      <c r="A9" s="23"/>
      <c r="B9" s="23"/>
      <c r="C9" s="24"/>
      <c r="D9" s="24"/>
      <c r="E9" s="24"/>
      <c r="F9" s="24"/>
      <c r="G9" s="24"/>
      <c r="K9" s="45"/>
      <c r="M9" s="24"/>
      <c r="O9" s="24"/>
      <c r="P9" s="73"/>
    </row>
    <row r="10" spans="1:18" s="25" customFormat="1" ht="15.75" customHeight="1" x14ac:dyDescent="0.2">
      <c r="A10" s="405" t="s">
        <v>261</v>
      </c>
      <c r="B10" s="24"/>
      <c r="C10" s="24"/>
      <c r="D10" s="24"/>
      <c r="G10" s="589"/>
      <c r="H10" s="590"/>
      <c r="I10" s="431" t="e">
        <f>"(Total "&amp;TEXT(L69,"0%")&amp;")"</f>
        <v>#N/A</v>
      </c>
      <c r="J10" s="429"/>
      <c r="K10" s="430"/>
    </row>
    <row r="11" spans="1:18" x14ac:dyDescent="0.2">
      <c r="A11" s="23"/>
      <c r="B11" s="23"/>
      <c r="C11" s="24"/>
      <c r="D11" s="24"/>
      <c r="E11" s="25"/>
      <c r="F11" s="24"/>
      <c r="G11" s="24"/>
      <c r="H11" s="24"/>
      <c r="I11" s="24"/>
      <c r="J11" s="24"/>
      <c r="N11" s="24"/>
      <c r="O11" s="24"/>
      <c r="P11" s="24"/>
    </row>
    <row r="12" spans="1:18" ht="15.75" x14ac:dyDescent="0.25">
      <c r="A12" s="28" t="s">
        <v>18</v>
      </c>
      <c r="B12" s="25"/>
      <c r="C12" s="427" t="s">
        <v>305</v>
      </c>
      <c r="D12" s="578"/>
      <c r="E12" s="578"/>
      <c r="F12" s="578"/>
      <c r="H12" s="427" t="s">
        <v>304</v>
      </c>
      <c r="I12" s="578" t="s">
        <v>128</v>
      </c>
      <c r="J12" s="578"/>
      <c r="K12" s="411">
        <f>VLOOKUP(I12,Hilfetabelle!H3:I6,2,FALSE)</f>
        <v>1</v>
      </c>
      <c r="N12" s="427" t="s">
        <v>307</v>
      </c>
      <c r="O12" s="491"/>
      <c r="P12" s="24"/>
      <c r="R12" s="237" t="str">
        <f>IF(I12="bitte wählen","Auswahl, ob Steuerkraft/Einwohner über- oder unterdurchschnittlich","")</f>
        <v>Auswahl, ob Steuerkraft/Einwohner über- oder unterdurchschnittlich</v>
      </c>
    </row>
    <row r="13" spans="1:18" x14ac:dyDescent="0.2">
      <c r="A13" s="23"/>
      <c r="B13" s="23"/>
      <c r="F13" s="24"/>
      <c r="G13" s="24"/>
      <c r="H13" s="24"/>
      <c r="I13" s="24"/>
      <c r="J13" s="24"/>
      <c r="N13" s="24"/>
      <c r="O13" s="24"/>
      <c r="P13" s="24"/>
    </row>
    <row r="14" spans="1:18" ht="15.75" customHeight="1" x14ac:dyDescent="0.25">
      <c r="A14" s="405" t="s">
        <v>253</v>
      </c>
      <c r="B14" s="22"/>
      <c r="C14" s="18"/>
      <c r="D14" s="18"/>
      <c r="E14" s="18"/>
      <c r="F14" s="18"/>
      <c r="G14" s="18"/>
      <c r="H14" s="18"/>
      <c r="I14" s="18"/>
      <c r="J14" s="18"/>
      <c r="K14" s="18"/>
      <c r="L14" s="18"/>
      <c r="M14" s="18"/>
      <c r="N14" s="18"/>
      <c r="O14" s="18"/>
      <c r="R14" s="237"/>
    </row>
    <row r="15" spans="1:18" x14ac:dyDescent="0.2">
      <c r="A15" s="22"/>
      <c r="B15" s="22"/>
      <c r="C15" s="574" t="str">
        <f>IF(L15="","",O7-2)</f>
        <v/>
      </c>
      <c r="D15" s="575"/>
      <c r="E15" s="575"/>
      <c r="F15" s="576"/>
      <c r="G15" s="574" t="str">
        <f>IF(L15="","",O7-1)</f>
        <v/>
      </c>
      <c r="H15" s="575"/>
      <c r="I15" s="575"/>
      <c r="J15" s="575"/>
      <c r="K15" s="576"/>
      <c r="L15" s="574" t="str">
        <f>IF(O7="bitte wählen","",O7)</f>
        <v/>
      </c>
      <c r="M15" s="575"/>
      <c r="N15" s="575"/>
      <c r="O15" s="576"/>
    </row>
    <row r="16" spans="1:18" x14ac:dyDescent="0.2">
      <c r="A16" s="22"/>
      <c r="B16" s="75" t="s">
        <v>40</v>
      </c>
      <c r="C16" s="42" t="s">
        <v>25</v>
      </c>
      <c r="D16" s="572" t="s">
        <v>26</v>
      </c>
      <c r="E16" s="572"/>
      <c r="F16" s="44" t="s">
        <v>27</v>
      </c>
      <c r="G16" s="573" t="s">
        <v>25</v>
      </c>
      <c r="H16" s="572"/>
      <c r="I16" s="43" t="s">
        <v>26</v>
      </c>
      <c r="J16" s="572" t="s">
        <v>27</v>
      </c>
      <c r="K16" s="579"/>
      <c r="L16" s="42" t="s">
        <v>25</v>
      </c>
      <c r="M16" s="572" t="s">
        <v>26</v>
      </c>
      <c r="N16" s="572"/>
      <c r="O16" s="44" t="s">
        <v>27</v>
      </c>
    </row>
    <row r="17" spans="1:20" x14ac:dyDescent="0.2">
      <c r="A17" s="18"/>
      <c r="B17" s="19" t="s">
        <v>33</v>
      </c>
      <c r="C17" s="153"/>
      <c r="D17" s="566"/>
      <c r="E17" s="566"/>
      <c r="F17" s="155"/>
      <c r="G17" s="565"/>
      <c r="H17" s="566"/>
      <c r="I17" s="154"/>
      <c r="J17" s="566"/>
      <c r="K17" s="577"/>
      <c r="L17" s="153"/>
      <c r="M17" s="566"/>
      <c r="N17" s="566"/>
      <c r="O17" s="155"/>
    </row>
    <row r="18" spans="1:20" x14ac:dyDescent="0.2">
      <c r="A18" s="18"/>
      <c r="B18" s="19" t="s">
        <v>34</v>
      </c>
      <c r="C18" s="153"/>
      <c r="D18" s="566"/>
      <c r="E18" s="566"/>
      <c r="F18" s="155"/>
      <c r="G18" s="565"/>
      <c r="H18" s="566"/>
      <c r="I18" s="154"/>
      <c r="J18" s="566"/>
      <c r="K18" s="577"/>
      <c r="L18" s="153"/>
      <c r="M18" s="566"/>
      <c r="N18" s="566"/>
      <c r="O18" s="155"/>
    </row>
    <row r="19" spans="1:20" x14ac:dyDescent="0.2">
      <c r="A19" s="18"/>
      <c r="B19" s="19" t="s">
        <v>35</v>
      </c>
      <c r="C19" s="39">
        <f>(C17+C18)/2</f>
        <v>0</v>
      </c>
      <c r="D19" s="569">
        <f t="shared" ref="D19:O19" si="0">(D17+D18)/2</f>
        <v>0</v>
      </c>
      <c r="E19" s="569">
        <f t="shared" si="0"/>
        <v>0</v>
      </c>
      <c r="F19" s="41">
        <f t="shared" si="0"/>
        <v>0</v>
      </c>
      <c r="G19" s="586">
        <f t="shared" si="0"/>
        <v>0</v>
      </c>
      <c r="H19" s="587">
        <f t="shared" si="0"/>
        <v>0</v>
      </c>
      <c r="I19" s="40">
        <f t="shared" si="0"/>
        <v>0</v>
      </c>
      <c r="J19" s="569">
        <f t="shared" si="0"/>
        <v>0</v>
      </c>
      <c r="K19" s="588">
        <f t="shared" si="0"/>
        <v>0</v>
      </c>
      <c r="L19" s="39">
        <f t="shared" si="0"/>
        <v>0</v>
      </c>
      <c r="M19" s="569">
        <f t="shared" si="0"/>
        <v>0</v>
      </c>
      <c r="N19" s="569">
        <f t="shared" si="0"/>
        <v>0</v>
      </c>
      <c r="O19" s="41">
        <f t="shared" si="0"/>
        <v>0</v>
      </c>
    </row>
    <row r="20" spans="1:20" ht="5.25" customHeight="1" x14ac:dyDescent="0.2">
      <c r="A20" s="18"/>
      <c r="B20" s="18"/>
      <c r="C20" s="18"/>
      <c r="D20" s="18"/>
      <c r="E20" s="18"/>
      <c r="F20" s="18"/>
      <c r="G20" s="18"/>
      <c r="H20" s="18"/>
      <c r="I20" s="18"/>
      <c r="J20" s="18"/>
      <c r="K20" s="18"/>
      <c r="L20" s="18"/>
      <c r="M20" s="18"/>
      <c r="N20" s="18"/>
      <c r="O20" s="18"/>
    </row>
    <row r="21" spans="1:20" x14ac:dyDescent="0.2">
      <c r="A21" s="18"/>
      <c r="C21" s="18"/>
      <c r="D21" s="18"/>
      <c r="E21" s="18"/>
      <c r="F21" s="18"/>
      <c r="G21" s="18"/>
      <c r="H21" s="18"/>
      <c r="I21" s="18"/>
      <c r="K21" s="19" t="s">
        <v>194</v>
      </c>
      <c r="L21" s="42" t="s">
        <v>25</v>
      </c>
      <c r="M21" s="572" t="s">
        <v>26</v>
      </c>
      <c r="N21" s="572"/>
      <c r="O21" s="18"/>
    </row>
    <row r="22" spans="1:20" x14ac:dyDescent="0.2">
      <c r="A22" s="18"/>
      <c r="C22" s="18"/>
      <c r="D22" s="18"/>
      <c r="E22" s="18"/>
      <c r="F22" s="18"/>
      <c r="G22" s="18"/>
      <c r="H22" s="18"/>
      <c r="I22" s="18"/>
      <c r="K22" s="19" t="s">
        <v>33</v>
      </c>
      <c r="L22" s="153"/>
      <c r="M22" s="566"/>
      <c r="N22" s="566"/>
      <c r="O22" s="18"/>
    </row>
    <row r="23" spans="1:20" x14ac:dyDescent="0.2">
      <c r="A23" s="18"/>
      <c r="C23" s="18"/>
      <c r="D23" s="18"/>
      <c r="E23" s="18"/>
      <c r="F23" s="18"/>
      <c r="G23" s="18"/>
      <c r="H23" s="18"/>
      <c r="I23" s="18"/>
      <c r="K23" s="19" t="s">
        <v>34</v>
      </c>
      <c r="L23" s="153"/>
      <c r="M23" s="566"/>
      <c r="N23" s="566"/>
      <c r="O23" s="18"/>
    </row>
    <row r="24" spans="1:20" x14ac:dyDescent="0.2">
      <c r="A24" s="18"/>
      <c r="C24" s="18"/>
      <c r="D24" s="18"/>
      <c r="E24" s="18"/>
      <c r="F24" s="18"/>
      <c r="G24" s="18"/>
      <c r="H24" s="18"/>
      <c r="I24" s="18"/>
      <c r="K24" s="19" t="s">
        <v>35</v>
      </c>
      <c r="L24" s="39">
        <f>(L22+L23)/2</f>
        <v>0</v>
      </c>
      <c r="M24" s="569">
        <f>(M22+M23)/2</f>
        <v>0</v>
      </c>
      <c r="N24" s="569">
        <f>(N22+N23)/2</f>
        <v>0</v>
      </c>
      <c r="O24" s="18"/>
    </row>
    <row r="25" spans="1:20" s="161" customFormat="1" x14ac:dyDescent="0.2">
      <c r="A25" s="165"/>
      <c r="C25" s="165"/>
      <c r="D25" s="165"/>
      <c r="E25" s="165"/>
      <c r="F25" s="165"/>
      <c r="G25" s="165"/>
      <c r="H25" s="165"/>
      <c r="I25" s="165"/>
      <c r="L25" s="166"/>
      <c r="M25" s="167"/>
      <c r="N25" s="167"/>
      <c r="O25" s="165"/>
      <c r="S25"/>
      <c r="T25"/>
    </row>
    <row r="26" spans="1:20" s="110" customFormat="1" ht="15.75" customHeight="1" x14ac:dyDescent="0.2">
      <c r="A26" s="434" t="s">
        <v>46</v>
      </c>
      <c r="C26" s="132"/>
      <c r="D26" s="132"/>
      <c r="E26" s="132"/>
      <c r="F26" s="132"/>
      <c r="G26" s="567"/>
      <c r="H26" s="567"/>
      <c r="I26" s="174">
        <v>1</v>
      </c>
      <c r="L26" s="168"/>
      <c r="M26" s="169"/>
      <c r="N26" s="169"/>
      <c r="O26" s="132"/>
      <c r="S26"/>
      <c r="T26"/>
    </row>
    <row r="27" spans="1:20" s="161" customFormat="1" ht="33" customHeight="1" x14ac:dyDescent="0.2">
      <c r="A27" s="568" t="s">
        <v>314</v>
      </c>
      <c r="B27" s="568"/>
      <c r="C27" s="568"/>
      <c r="D27" s="568"/>
      <c r="E27" s="568"/>
      <c r="F27" s="568"/>
      <c r="G27" s="568"/>
      <c r="H27" s="568"/>
      <c r="I27" s="568"/>
      <c r="J27" s="568"/>
      <c r="K27" s="568"/>
      <c r="L27" s="568"/>
      <c r="M27" s="568"/>
      <c r="N27" s="568"/>
      <c r="O27" s="568"/>
      <c r="P27" s="568"/>
      <c r="S27"/>
      <c r="T27"/>
    </row>
    <row r="28" spans="1:20" s="161" customFormat="1" x14ac:dyDescent="0.2">
      <c r="A28" s="320"/>
      <c r="B28" s="320"/>
      <c r="C28" s="320"/>
      <c r="D28" s="320"/>
      <c r="E28" s="320"/>
      <c r="F28" s="320"/>
      <c r="G28" s="320"/>
      <c r="H28" s="320"/>
      <c r="I28" s="320"/>
      <c r="J28" s="320"/>
      <c r="K28" s="320"/>
      <c r="L28" s="320"/>
      <c r="M28" s="320"/>
      <c r="N28" s="320"/>
      <c r="O28" s="320"/>
      <c r="P28" s="320"/>
      <c r="S28"/>
      <c r="T28"/>
    </row>
    <row r="29" spans="1:20" s="161" customFormat="1" x14ac:dyDescent="0.2">
      <c r="A29" s="497" t="s">
        <v>280</v>
      </c>
      <c r="B29" s="495"/>
      <c r="C29" s="495"/>
      <c r="D29" s="495"/>
      <c r="E29" s="495"/>
      <c r="F29" s="495"/>
      <c r="G29" s="495"/>
      <c r="H29" s="495"/>
      <c r="I29" s="495"/>
      <c r="J29" s="495"/>
      <c r="K29" s="495"/>
      <c r="L29" s="495"/>
      <c r="M29" s="495"/>
      <c r="N29" s="495"/>
      <c r="O29" s="495"/>
      <c r="P29" s="495"/>
      <c r="S29"/>
      <c r="T29"/>
    </row>
    <row r="30" spans="1:20" s="161" customFormat="1" x14ac:dyDescent="0.2">
      <c r="A30" s="496" t="s">
        <v>281</v>
      </c>
      <c r="B30" s="320"/>
      <c r="C30" s="321">
        <v>2023</v>
      </c>
      <c r="D30" s="564">
        <f>VLOOKUP(C30,Hilfetabelle!K16:L29,2,FALSE)</f>
        <v>1.4999999999999999E-2</v>
      </c>
      <c r="E30" s="564"/>
      <c r="F30" s="321">
        <v>2024</v>
      </c>
      <c r="G30" s="564">
        <f>VLOOKUP(F30,Hilfetabelle!K16:L29,2,FALSE)</f>
        <v>1.4999999999999999E-2</v>
      </c>
      <c r="H30" s="564"/>
      <c r="I30" s="321">
        <v>2025</v>
      </c>
      <c r="J30" s="570">
        <v>5.0000000000000001E-3</v>
      </c>
      <c r="K30" s="570"/>
      <c r="L30" s="321">
        <v>2026</v>
      </c>
      <c r="M30" s="570">
        <v>5.0000000000000001E-3</v>
      </c>
      <c r="N30" s="570"/>
      <c r="O30" s="320"/>
      <c r="P30" s="320"/>
      <c r="S30"/>
      <c r="T30"/>
    </row>
    <row r="31" spans="1:20" s="161" customFormat="1" ht="12.75" customHeight="1" x14ac:dyDescent="0.2">
      <c r="A31" s="585"/>
      <c r="B31" s="585"/>
      <c r="C31" s="585"/>
      <c r="D31" s="585"/>
      <c r="E31" s="585"/>
      <c r="F31" s="585"/>
      <c r="G31" s="585"/>
      <c r="H31" s="585"/>
      <c r="I31" s="585"/>
      <c r="J31" s="585"/>
      <c r="K31" s="585"/>
      <c r="L31" s="585"/>
      <c r="M31" s="585"/>
      <c r="N31" s="585"/>
      <c r="O31" s="585"/>
      <c r="P31" s="585"/>
      <c r="S31"/>
      <c r="T31"/>
    </row>
    <row r="32" spans="1:20" s="25" customFormat="1" ht="5.25" customHeight="1" thickBot="1" x14ac:dyDescent="0.25">
      <c r="A32" s="24"/>
      <c r="B32" s="24"/>
      <c r="C32" s="24"/>
      <c r="D32" s="24"/>
      <c r="E32" s="24"/>
      <c r="F32" s="24"/>
      <c r="G32" s="24"/>
      <c r="H32" s="24"/>
      <c r="I32" s="24"/>
      <c r="J32" s="24"/>
      <c r="K32" s="24"/>
      <c r="L32" s="24"/>
      <c r="M32" s="24"/>
      <c r="N32" s="24"/>
      <c r="O32" s="24"/>
    </row>
    <row r="33" spans="1:18" s="25" customFormat="1" ht="16.5" thickBot="1" x14ac:dyDescent="0.25">
      <c r="A33" s="103" t="s">
        <v>30</v>
      </c>
      <c r="B33" s="104"/>
      <c r="C33" s="104"/>
      <c r="D33" s="104"/>
      <c r="E33" s="104"/>
      <c r="F33" s="105"/>
      <c r="G33" s="105"/>
      <c r="H33" s="105"/>
      <c r="I33" s="105"/>
      <c r="J33" s="105"/>
      <c r="K33" s="105"/>
      <c r="L33" s="105"/>
      <c r="M33" s="105"/>
      <c r="N33" s="105"/>
      <c r="O33" s="105"/>
      <c r="P33" s="106"/>
      <c r="R33" s="550" t="str">
        <f>IF(VLOOKUP(O7,Hilfetabelle!A3:D13,2,FALSE)=0,"",VLOOKUP(O7,Hilfetabelle!A3:D13,2,FALSE))</f>
        <v/>
      </c>
    </row>
    <row r="34" spans="1:18" s="25" customFormat="1" x14ac:dyDescent="0.2"/>
    <row r="35" spans="1:18" s="25" customFormat="1" ht="21.75" customHeight="1" x14ac:dyDescent="0.2">
      <c r="A35" s="57"/>
      <c r="B35" s="58"/>
      <c r="C35" s="58"/>
      <c r="D35" s="58"/>
      <c r="E35" s="581" t="s">
        <v>3</v>
      </c>
      <c r="F35" s="582"/>
      <c r="G35" s="583"/>
      <c r="H35" s="581" t="s">
        <v>4</v>
      </c>
      <c r="I35" s="582"/>
      <c r="J35" s="583"/>
      <c r="K35" s="581" t="s">
        <v>5</v>
      </c>
      <c r="L35" s="582"/>
      <c r="M35" s="583"/>
      <c r="N35" s="581" t="s">
        <v>6</v>
      </c>
      <c r="O35" s="582"/>
      <c r="P35" s="583"/>
    </row>
    <row r="36" spans="1:18" s="25" customFormat="1" ht="5.25" customHeight="1" x14ac:dyDescent="0.2">
      <c r="F36" s="107"/>
      <c r="G36" s="107"/>
      <c r="H36" s="107"/>
      <c r="I36" s="107"/>
      <c r="J36" s="107"/>
      <c r="K36" s="107"/>
      <c r="L36" s="107"/>
    </row>
    <row r="37" spans="1:18" s="37" customFormat="1" ht="21.75" customHeight="1" x14ac:dyDescent="0.2">
      <c r="A37" s="424" t="s">
        <v>37</v>
      </c>
      <c r="B37" s="48"/>
      <c r="C37" s="49"/>
      <c r="D37" s="49"/>
      <c r="E37" s="49"/>
      <c r="F37" s="49"/>
      <c r="G37" s="49"/>
      <c r="H37" s="49"/>
      <c r="I37" s="49"/>
      <c r="J37" s="49"/>
      <c r="K37" s="49"/>
      <c r="L37" s="49"/>
      <c r="M37" s="49"/>
      <c r="N37" s="49"/>
      <c r="O37" s="49"/>
      <c r="P37" s="50"/>
    </row>
    <row r="38" spans="1:18" s="110" customFormat="1" ht="5.25" customHeight="1" x14ac:dyDescent="0.2">
      <c r="A38" s="108"/>
      <c r="B38" s="109"/>
    </row>
    <row r="39" spans="1:18" s="25" customFormat="1" ht="5.25" customHeight="1" x14ac:dyDescent="0.2">
      <c r="A39" s="111"/>
      <c r="B39" s="112"/>
      <c r="C39" s="112"/>
      <c r="D39" s="112"/>
      <c r="E39" s="113"/>
      <c r="F39" s="114"/>
      <c r="G39" s="115"/>
      <c r="H39" s="114"/>
      <c r="I39" s="114"/>
      <c r="J39" s="114"/>
      <c r="K39" s="113"/>
      <c r="L39" s="114"/>
      <c r="M39" s="115"/>
      <c r="N39" s="114"/>
      <c r="O39" s="114"/>
      <c r="P39" s="116"/>
    </row>
    <row r="40" spans="1:18" s="25" customFormat="1" x14ac:dyDescent="0.2">
      <c r="A40" s="128" t="s">
        <v>42</v>
      </c>
      <c r="B40" s="78"/>
      <c r="C40" s="78"/>
      <c r="D40" s="421" t="str">
        <f>"Ø "&amp;O7</f>
        <v>Ø bitte wählen</v>
      </c>
      <c r="E40" s="80"/>
      <c r="F40" s="99">
        <f>L19</f>
        <v>0</v>
      </c>
      <c r="G40" s="82"/>
      <c r="H40" s="81"/>
      <c r="I40" s="99">
        <f>M19</f>
        <v>0</v>
      </c>
      <c r="J40" s="81"/>
      <c r="K40" s="80"/>
      <c r="L40" s="99">
        <f>O19</f>
        <v>0</v>
      </c>
      <c r="M40" s="82"/>
      <c r="N40" s="81"/>
      <c r="O40" s="157">
        <f>F40+I40+L40</f>
        <v>0</v>
      </c>
      <c r="P40" s="83"/>
    </row>
    <row r="41" spans="1:18" s="25" customFormat="1" ht="5.25" customHeight="1" x14ac:dyDescent="0.2">
      <c r="A41" s="98"/>
      <c r="B41" s="78"/>
      <c r="C41" s="78"/>
      <c r="D41" s="78"/>
      <c r="E41" s="80"/>
      <c r="F41" s="81"/>
      <c r="G41" s="82"/>
      <c r="H41" s="81"/>
      <c r="I41" s="81"/>
      <c r="J41" s="81"/>
      <c r="K41" s="80"/>
      <c r="L41" s="81"/>
      <c r="M41" s="82"/>
      <c r="N41" s="81"/>
      <c r="O41" s="81"/>
      <c r="P41" s="83"/>
    </row>
    <row r="42" spans="1:18" s="25" customFormat="1" x14ac:dyDescent="0.2">
      <c r="A42" s="98"/>
      <c r="B42" s="78" t="s">
        <v>293</v>
      </c>
      <c r="C42" s="78"/>
      <c r="D42" s="78"/>
      <c r="E42" s="80"/>
      <c r="F42" s="85" t="e">
        <f>VLOOKUP(O7,Hilfetabelle!A34:C46,2,FALSE)</f>
        <v>#N/A</v>
      </c>
      <c r="G42" s="82"/>
      <c r="H42" s="81"/>
      <c r="I42" s="85" t="e">
        <f>VLOOKUP(O7,Hilfetabelle!A34:C46,3,FALSE)</f>
        <v>#N/A</v>
      </c>
      <c r="J42" s="81"/>
      <c r="K42" s="80"/>
      <c r="L42" s="85" t="e">
        <f>VLOOKUP(O7,Hilfetabelle!A34:D46,4,FALSE)</f>
        <v>#N/A</v>
      </c>
      <c r="M42" s="82"/>
      <c r="N42" s="81"/>
      <c r="O42" s="81"/>
      <c r="P42" s="83"/>
    </row>
    <row r="43" spans="1:18" s="25" customFormat="1" x14ac:dyDescent="0.2">
      <c r="A43" s="98"/>
      <c r="B43" s="78" t="s">
        <v>45</v>
      </c>
      <c r="C43" s="78"/>
      <c r="D43" s="78"/>
      <c r="E43" s="80"/>
      <c r="F43" s="85"/>
      <c r="G43" s="82"/>
      <c r="H43" s="81"/>
      <c r="I43" s="85"/>
      <c r="J43" s="81"/>
      <c r="K43" s="80"/>
      <c r="L43" s="101">
        <f>IF(L40=0,0,IF(L40&lt;=Hilfetabelle!E36,VLOOKUP($O$7,Hilfetabelle!A34:F46,5,FALSE),IF(AND(L40&gt;Hilfetabelle!E36,L40&lt;=Hilfetabelle!F36),VLOOKUP($O$7,Hilfetabelle!A34:F46,6,FALSE),0)))</f>
        <v>0</v>
      </c>
      <c r="M43" s="82"/>
      <c r="N43" s="81"/>
      <c r="O43" s="81"/>
      <c r="P43" s="83"/>
    </row>
    <row r="44" spans="1:18" s="25" customFormat="1" ht="5.25" customHeight="1" x14ac:dyDescent="0.2">
      <c r="A44" s="98"/>
      <c r="B44" s="78"/>
      <c r="C44" s="78"/>
      <c r="D44" s="78"/>
      <c r="E44" s="80"/>
      <c r="F44" s="81"/>
      <c r="G44" s="82"/>
      <c r="H44" s="81"/>
      <c r="I44" s="81"/>
      <c r="J44" s="81"/>
      <c r="K44" s="80"/>
      <c r="L44" s="81"/>
      <c r="M44" s="82"/>
      <c r="N44" s="81"/>
      <c r="O44" s="81"/>
      <c r="P44" s="83"/>
    </row>
    <row r="45" spans="1:18" s="25" customFormat="1" x14ac:dyDescent="0.2">
      <c r="A45" s="98"/>
      <c r="B45" s="78" t="str">
        <f>IF(G26="","","Aufwertung SEK-Lektionen")</f>
        <v/>
      </c>
      <c r="C45" s="78"/>
      <c r="D45" s="78"/>
      <c r="E45" s="80"/>
      <c r="F45" s="81"/>
      <c r="G45" s="82"/>
      <c r="H45" s="81"/>
      <c r="I45" s="81"/>
      <c r="J45" s="81"/>
      <c r="K45" s="80"/>
      <c r="L45" s="150" t="str">
        <f>IF(G26="","",L46-(L40*(L42+L43)*K46))</f>
        <v/>
      </c>
      <c r="M45" s="82"/>
      <c r="N45" s="81"/>
      <c r="O45" s="81"/>
      <c r="P45" s="83"/>
    </row>
    <row r="46" spans="1:18" s="25" customFormat="1" x14ac:dyDescent="0.2">
      <c r="A46" s="98"/>
      <c r="B46" s="152" t="s">
        <v>49</v>
      </c>
      <c r="C46" s="78"/>
      <c r="D46" s="78"/>
      <c r="E46" s="377" t="e">
        <f>VLOOKUP(O7,Hilfetabelle!Q16:R29,2,FALSE)</f>
        <v>#N/A</v>
      </c>
      <c r="F46" s="86" t="e">
        <f>F40*F42*E46</f>
        <v>#N/A</v>
      </c>
      <c r="G46" s="82"/>
      <c r="H46" s="378" t="e">
        <f>E46</f>
        <v>#N/A</v>
      </c>
      <c r="I46" s="86" t="e">
        <f>I40*I42*H46</f>
        <v>#N/A</v>
      </c>
      <c r="J46" s="81"/>
      <c r="K46" s="377" t="e">
        <f>E46</f>
        <v>#N/A</v>
      </c>
      <c r="L46" s="86" t="e">
        <f>IF(G26&gt;0,G26,L40*(L42+L43)*K46)</f>
        <v>#N/A</v>
      </c>
      <c r="M46" s="82"/>
      <c r="N46" s="81"/>
      <c r="O46" s="86" t="e">
        <f>F46+I46+L46</f>
        <v>#N/A</v>
      </c>
      <c r="P46" s="83"/>
    </row>
    <row r="47" spans="1:18" s="25" customFormat="1" ht="5.25" customHeight="1" x14ac:dyDescent="0.2">
      <c r="A47" s="118"/>
      <c r="B47" s="119"/>
      <c r="C47" s="119"/>
      <c r="D47" s="119"/>
      <c r="E47" s="87"/>
      <c r="F47" s="88"/>
      <c r="G47" s="89"/>
      <c r="H47" s="88"/>
      <c r="I47" s="88"/>
      <c r="J47" s="88"/>
      <c r="K47" s="87"/>
      <c r="L47" s="88"/>
      <c r="M47" s="89"/>
      <c r="N47" s="88"/>
      <c r="O47" s="88"/>
      <c r="P47" s="91"/>
    </row>
    <row r="48" spans="1:18" s="25" customFormat="1" ht="5.25" customHeight="1" x14ac:dyDescent="0.2">
      <c r="A48" s="111"/>
      <c r="B48" s="112"/>
      <c r="C48" s="112"/>
      <c r="D48" s="120"/>
      <c r="E48" s="80"/>
      <c r="F48" s="81"/>
      <c r="G48" s="82"/>
      <c r="H48" s="81"/>
      <c r="I48" s="81"/>
      <c r="J48" s="81"/>
      <c r="K48" s="80"/>
      <c r="L48" s="81"/>
      <c r="M48" s="82"/>
      <c r="N48" s="81"/>
      <c r="O48" s="81"/>
      <c r="P48" s="83"/>
    </row>
    <row r="49" spans="1:18" s="25" customFormat="1" x14ac:dyDescent="0.2">
      <c r="A49" s="128" t="s">
        <v>38</v>
      </c>
      <c r="B49" s="78"/>
      <c r="C49" s="78"/>
      <c r="D49" s="79"/>
      <c r="E49" s="80"/>
      <c r="F49" s="81"/>
      <c r="G49" s="82"/>
      <c r="H49" s="81"/>
      <c r="I49" s="81"/>
      <c r="J49" s="81"/>
      <c r="K49" s="80"/>
      <c r="L49" s="81"/>
      <c r="M49" s="82"/>
      <c r="N49" s="81"/>
      <c r="O49" s="81"/>
      <c r="P49" s="83"/>
    </row>
    <row r="50" spans="1:18" s="25" customFormat="1" ht="5.25" customHeight="1" x14ac:dyDescent="0.2">
      <c r="A50" s="98"/>
      <c r="B50" s="78"/>
      <c r="C50" s="78"/>
      <c r="D50" s="79"/>
      <c r="E50" s="80"/>
      <c r="F50" s="81"/>
      <c r="G50" s="82"/>
      <c r="H50" s="81"/>
      <c r="I50" s="81"/>
      <c r="J50" s="81"/>
      <c r="K50" s="80"/>
      <c r="L50" s="81"/>
      <c r="M50" s="82"/>
      <c r="N50" s="81"/>
      <c r="O50" s="81"/>
      <c r="P50" s="83"/>
    </row>
    <row r="51" spans="1:18" s="25" customFormat="1" x14ac:dyDescent="0.2">
      <c r="A51" s="76"/>
      <c r="B51" s="77" t="s">
        <v>8</v>
      </c>
      <c r="C51" s="78"/>
      <c r="D51" s="417" t="s">
        <v>235</v>
      </c>
      <c r="E51" s="489" t="e">
        <f>VLOOKUP(O7,Hilfetabelle!A16:D29,2,FALSE)</f>
        <v>#N/A</v>
      </c>
      <c r="F51" s="86" t="e">
        <f>F46*E51</f>
        <v>#N/A</v>
      </c>
      <c r="G51" s="82"/>
      <c r="H51" s="489" t="e">
        <f>VLOOKUP(O7,Hilfetabelle!A16:D29,3,FALSE)</f>
        <v>#N/A</v>
      </c>
      <c r="I51" s="86" t="e">
        <f>I46*H51</f>
        <v>#N/A</v>
      </c>
      <c r="J51" s="81"/>
      <c r="K51" s="490" t="e">
        <f>VLOOKUP(O7,Hilfetabelle!A16:D29,4,FALSE)</f>
        <v>#N/A</v>
      </c>
      <c r="L51" s="86" t="e">
        <f>L46*K51</f>
        <v>#N/A</v>
      </c>
      <c r="M51" s="82"/>
      <c r="N51" s="81"/>
      <c r="O51" s="86" t="e">
        <f>F51+I51+L51</f>
        <v>#N/A</v>
      </c>
      <c r="P51" s="83"/>
    </row>
    <row r="52" spans="1:18" s="25" customFormat="1" ht="5.25" customHeight="1" x14ac:dyDescent="0.2">
      <c r="A52" s="84"/>
      <c r="B52" s="78"/>
      <c r="C52" s="78"/>
      <c r="D52" s="79"/>
      <c r="E52" s="87"/>
      <c r="F52" s="88"/>
      <c r="G52" s="89"/>
      <c r="H52" s="88"/>
      <c r="I52" s="90"/>
      <c r="J52" s="88"/>
      <c r="K52" s="87"/>
      <c r="L52" s="88"/>
      <c r="M52" s="89"/>
      <c r="N52" s="88"/>
      <c r="O52" s="88"/>
      <c r="P52" s="91"/>
    </row>
    <row r="53" spans="1:18" s="25" customFormat="1" ht="5.25" customHeight="1" x14ac:dyDescent="0.2">
      <c r="A53" s="84"/>
      <c r="B53" s="78"/>
      <c r="C53" s="78"/>
      <c r="D53" s="78"/>
      <c r="E53" s="80"/>
      <c r="F53" s="81"/>
      <c r="G53" s="82"/>
      <c r="H53" s="81"/>
      <c r="I53" s="86"/>
      <c r="J53" s="81"/>
      <c r="K53" s="80"/>
      <c r="L53" s="81"/>
      <c r="M53" s="82"/>
      <c r="N53" s="81"/>
      <c r="O53" s="81"/>
      <c r="P53" s="83"/>
    </row>
    <row r="54" spans="1:18" s="25" customFormat="1" x14ac:dyDescent="0.2">
      <c r="A54" s="76"/>
      <c r="B54" s="77" t="s">
        <v>10</v>
      </c>
      <c r="C54" s="78"/>
      <c r="D54" s="418">
        <v>0.02</v>
      </c>
      <c r="E54" s="80"/>
      <c r="F54" s="86" t="e">
        <f>F51*$D$54</f>
        <v>#N/A</v>
      </c>
      <c r="G54" s="82"/>
      <c r="H54" s="81"/>
      <c r="I54" s="86" t="e">
        <f>I51*$D$54</f>
        <v>#N/A</v>
      </c>
      <c r="J54" s="81"/>
      <c r="K54" s="80"/>
      <c r="L54" s="86" t="e">
        <f>L51*$D$54</f>
        <v>#N/A</v>
      </c>
      <c r="M54" s="82"/>
      <c r="N54" s="81"/>
      <c r="O54" s="86" t="e">
        <f>F54+I54+L54</f>
        <v>#N/A</v>
      </c>
      <c r="P54" s="83"/>
    </row>
    <row r="55" spans="1:18" s="25" customFormat="1" ht="5.25" customHeight="1" x14ac:dyDescent="0.2">
      <c r="A55" s="84"/>
      <c r="B55" s="78"/>
      <c r="C55" s="92"/>
      <c r="D55" s="93"/>
      <c r="E55" s="94"/>
      <c r="F55" s="90"/>
      <c r="G55" s="89"/>
      <c r="H55" s="88"/>
      <c r="I55" s="90"/>
      <c r="J55" s="88"/>
      <c r="K55" s="87"/>
      <c r="L55" s="90"/>
      <c r="M55" s="89"/>
      <c r="N55" s="88"/>
      <c r="O55" s="90"/>
      <c r="P55" s="91"/>
    </row>
    <row r="56" spans="1:18" s="25" customFormat="1" ht="5.25" customHeight="1" x14ac:dyDescent="0.2">
      <c r="A56" s="84"/>
      <c r="B56" s="78"/>
      <c r="C56" s="92"/>
      <c r="D56" s="93"/>
      <c r="E56" s="420"/>
      <c r="F56" s="86"/>
      <c r="G56" s="81"/>
      <c r="H56" s="81"/>
      <c r="I56" s="86"/>
      <c r="J56" s="81"/>
      <c r="K56" s="81"/>
      <c r="L56" s="86"/>
      <c r="M56" s="81"/>
      <c r="N56" s="81"/>
      <c r="O56" s="86"/>
      <c r="P56" s="83"/>
    </row>
    <row r="57" spans="1:18" s="25" customFormat="1" x14ac:dyDescent="0.2">
      <c r="A57" s="76"/>
      <c r="B57" s="77" t="s">
        <v>14</v>
      </c>
      <c r="C57" s="78"/>
      <c r="D57" s="79"/>
      <c r="E57" s="81"/>
      <c r="F57" s="81"/>
      <c r="G57" s="81"/>
      <c r="H57" s="81"/>
      <c r="I57" s="96">
        <f>(90%*O40/380)+(ROUNDUP(O40/380,0)*10%)</f>
        <v>0</v>
      </c>
      <c r="J57" s="81"/>
      <c r="K57" s="158" t="s">
        <v>236</v>
      </c>
      <c r="L57" s="409" t="e">
        <f>VLOOKUP(O7,Hilfetabelle!F16:I29,4,FALSE)</f>
        <v>#N/A</v>
      </c>
      <c r="M57" s="409"/>
      <c r="O57" s="86" t="e">
        <f>L57*I57</f>
        <v>#N/A</v>
      </c>
      <c r="P57" s="83"/>
    </row>
    <row r="58" spans="1:18" s="25" customFormat="1" ht="5.25" customHeight="1" x14ac:dyDescent="0.2">
      <c r="A58" s="84"/>
      <c r="B58" s="78"/>
      <c r="C58" s="78"/>
      <c r="D58" s="79"/>
      <c r="E58" s="88"/>
      <c r="F58" s="88"/>
      <c r="G58" s="88"/>
      <c r="H58" s="88"/>
      <c r="I58" s="88"/>
      <c r="J58" s="88"/>
      <c r="K58" s="88"/>
      <c r="L58" s="88"/>
      <c r="M58" s="88"/>
      <c r="N58" s="88"/>
      <c r="O58" s="88"/>
      <c r="P58" s="91"/>
    </row>
    <row r="59" spans="1:18" s="25" customFormat="1" ht="5.25" customHeight="1" x14ac:dyDescent="0.2">
      <c r="A59" s="84"/>
      <c r="B59" s="78"/>
      <c r="C59" s="78"/>
      <c r="D59" s="79"/>
      <c r="E59" s="81"/>
      <c r="F59" s="81"/>
      <c r="G59" s="81"/>
      <c r="H59" s="81"/>
      <c r="I59" s="81"/>
      <c r="J59" s="81"/>
      <c r="K59" s="81"/>
      <c r="L59" s="81"/>
      <c r="M59" s="81"/>
      <c r="N59" s="81"/>
      <c r="O59" s="81"/>
      <c r="P59" s="83"/>
    </row>
    <row r="60" spans="1:18" s="25" customFormat="1" x14ac:dyDescent="0.2">
      <c r="A60" s="76"/>
      <c r="B60" s="77" t="s">
        <v>48</v>
      </c>
      <c r="C60" s="78"/>
      <c r="D60" s="79"/>
      <c r="E60" s="81"/>
      <c r="F60" s="81"/>
      <c r="G60" s="81"/>
      <c r="H60" s="81"/>
      <c r="I60" s="81"/>
      <c r="J60" s="81"/>
      <c r="K60" s="81"/>
      <c r="L60" s="406" t="e">
        <f>VLOOKUP(O7,Hilfetabelle!N16:O29,2,FALSE)</f>
        <v>#N/A</v>
      </c>
      <c r="M60" s="81"/>
      <c r="O60" s="86" t="e">
        <f>(O57+O51)*L60</f>
        <v>#N/A</v>
      </c>
      <c r="P60" s="83"/>
    </row>
    <row r="61" spans="1:18" s="25" customFormat="1" ht="5.25" customHeight="1" x14ac:dyDescent="0.2">
      <c r="A61" s="84"/>
      <c r="B61" s="78"/>
      <c r="C61" s="78"/>
      <c r="D61" s="79"/>
      <c r="E61" s="88"/>
      <c r="F61" s="88"/>
      <c r="G61" s="88"/>
      <c r="H61" s="88"/>
      <c r="I61" s="88"/>
      <c r="J61" s="88"/>
      <c r="K61" s="88"/>
      <c r="L61" s="88"/>
      <c r="M61" s="88"/>
      <c r="N61" s="88"/>
      <c r="O61" s="88"/>
      <c r="P61" s="91"/>
    </row>
    <row r="62" spans="1:18" s="25" customFormat="1" ht="5.25" customHeight="1" x14ac:dyDescent="0.2">
      <c r="A62" s="84"/>
      <c r="B62" s="78"/>
      <c r="C62" s="78"/>
      <c r="D62" s="79"/>
      <c r="E62" s="81"/>
      <c r="F62" s="81"/>
      <c r="G62" s="81"/>
      <c r="H62" s="81"/>
      <c r="I62" s="81"/>
      <c r="J62" s="81"/>
      <c r="K62" s="81"/>
      <c r="L62" s="81"/>
      <c r="M62" s="81"/>
      <c r="N62" s="81"/>
      <c r="O62" s="81"/>
      <c r="P62" s="83"/>
    </row>
    <row r="63" spans="1:18" x14ac:dyDescent="0.2">
      <c r="A63" s="72"/>
      <c r="B63" s="419" t="s">
        <v>279</v>
      </c>
      <c r="C63" s="177"/>
      <c r="D63" s="35"/>
      <c r="E63" s="26"/>
      <c r="F63" s="176"/>
      <c r="G63" s="26"/>
      <c r="H63" s="26"/>
      <c r="I63" s="176"/>
      <c r="J63" s="26"/>
      <c r="K63" s="26"/>
      <c r="L63" s="176"/>
      <c r="M63" s="26"/>
      <c r="N63" s="33"/>
      <c r="O63" s="30" t="e">
        <f>O60+O57+O54+O51</f>
        <v>#N/A</v>
      </c>
      <c r="P63" s="29"/>
      <c r="R63" s="175"/>
    </row>
    <row r="64" spans="1:18" ht="5.25" customHeight="1" x14ac:dyDescent="0.2">
      <c r="A64" s="31"/>
      <c r="B64" s="32"/>
      <c r="C64" s="32"/>
      <c r="D64" s="36"/>
      <c r="E64" s="26"/>
      <c r="F64" s="26"/>
      <c r="G64" s="26"/>
      <c r="H64" s="26"/>
      <c r="I64" s="26"/>
      <c r="J64" s="26"/>
      <c r="K64" s="26"/>
      <c r="L64" s="26"/>
      <c r="M64" s="26"/>
      <c r="N64" s="33"/>
      <c r="O64" s="34"/>
      <c r="P64" s="29"/>
    </row>
    <row r="65" spans="1:23" s="25" customFormat="1" ht="5.25" customHeight="1" x14ac:dyDescent="0.2">
      <c r="A65" s="111"/>
      <c r="B65" s="112"/>
      <c r="C65" s="112"/>
      <c r="D65" s="120"/>
      <c r="E65" s="114"/>
      <c r="F65" s="114"/>
      <c r="G65" s="114"/>
      <c r="H65" s="114"/>
      <c r="I65" s="114"/>
      <c r="J65" s="114"/>
      <c r="K65" s="114"/>
      <c r="L65" s="114"/>
      <c r="M65" s="114"/>
      <c r="N65" s="114"/>
      <c r="O65" s="114"/>
      <c r="P65" s="116"/>
    </row>
    <row r="66" spans="1:23" s="25" customFormat="1" x14ac:dyDescent="0.2">
      <c r="A66" s="128" t="s">
        <v>266</v>
      </c>
      <c r="B66" s="78"/>
      <c r="C66" s="78"/>
      <c r="D66" s="79"/>
      <c r="E66" s="81"/>
      <c r="F66" s="81"/>
      <c r="G66" s="81"/>
      <c r="H66" s="81"/>
      <c r="I66" s="81"/>
      <c r="J66" s="81"/>
      <c r="K66" s="81"/>
      <c r="L66" s="81"/>
      <c r="M66" s="81"/>
      <c r="N66" s="81"/>
      <c r="O66" s="81"/>
      <c r="P66" s="83"/>
    </row>
    <row r="67" spans="1:23" s="25" customFormat="1" x14ac:dyDescent="0.2">
      <c r="A67" s="98"/>
      <c r="B67" s="78" t="str">
        <f>"Zuschlag "&amp;J7</f>
        <v>Zuschlag bitte wählen</v>
      </c>
      <c r="C67" s="78"/>
      <c r="D67" s="79"/>
      <c r="E67" s="81"/>
      <c r="F67" s="81"/>
      <c r="G67" s="81"/>
      <c r="H67" s="81"/>
      <c r="I67" s="81"/>
      <c r="J67" s="81"/>
      <c r="K67" s="81"/>
      <c r="L67" s="146" t="e">
        <f>VLOOKUP(O7,Hilfetabelle!P37:S46,HLOOKUP(J7,Hilfetabelle!Q35:S36,2,FALSE),FALSE)</f>
        <v>#N/A</v>
      </c>
      <c r="M67" s="81"/>
      <c r="O67" s="81"/>
      <c r="P67" s="83"/>
      <c r="W67" s="137"/>
    </row>
    <row r="68" spans="1:23" s="25" customFormat="1" x14ac:dyDescent="0.2">
      <c r="A68" s="98"/>
      <c r="B68" s="78" t="s">
        <v>260</v>
      </c>
      <c r="C68" s="78"/>
      <c r="D68" s="79"/>
      <c r="E68" s="81"/>
      <c r="F68" s="81"/>
      <c r="G68" s="81"/>
      <c r="H68" s="81"/>
      <c r="I68" s="81"/>
      <c r="J68" s="81"/>
      <c r="K68" s="81"/>
      <c r="L68" s="147">
        <f>G10</f>
        <v>0</v>
      </c>
      <c r="M68" s="81"/>
      <c r="O68" s="81"/>
      <c r="P68" s="83"/>
    </row>
    <row r="69" spans="1:23" s="25" customFormat="1" x14ac:dyDescent="0.2">
      <c r="A69" s="98"/>
      <c r="B69" s="152" t="s">
        <v>6</v>
      </c>
      <c r="C69" s="78"/>
      <c r="D69" s="79"/>
      <c r="E69" s="81"/>
      <c r="F69" s="81"/>
      <c r="G69" s="81"/>
      <c r="H69" s="81"/>
      <c r="I69" s="81"/>
      <c r="J69" s="81"/>
      <c r="K69" s="81"/>
      <c r="L69" s="148" t="e">
        <f>L68+L67</f>
        <v>#N/A</v>
      </c>
      <c r="M69" s="81"/>
      <c r="O69" s="86" t="e">
        <f>(O51+O54+O57+O60)*L69</f>
        <v>#N/A</v>
      </c>
      <c r="P69" s="83"/>
    </row>
    <row r="70" spans="1:23" s="25" customFormat="1" ht="5.25" customHeight="1" x14ac:dyDescent="0.2">
      <c r="A70" s="118"/>
      <c r="B70" s="119"/>
      <c r="C70" s="119"/>
      <c r="D70" s="121"/>
      <c r="E70" s="88"/>
      <c r="F70" s="88"/>
      <c r="G70" s="88"/>
      <c r="H70" s="88"/>
      <c r="I70" s="88"/>
      <c r="J70" s="88"/>
      <c r="K70" s="88"/>
      <c r="L70" s="88"/>
      <c r="M70" s="88"/>
      <c r="N70" s="88"/>
      <c r="O70" s="88"/>
      <c r="P70" s="91"/>
    </row>
    <row r="71" spans="1:23" s="25" customFormat="1" ht="5.25" customHeight="1" x14ac:dyDescent="0.2">
      <c r="A71" s="111"/>
      <c r="B71" s="112"/>
      <c r="C71" s="112"/>
      <c r="D71" s="112"/>
      <c r="E71" s="113"/>
      <c r="F71" s="114"/>
      <c r="G71" s="115"/>
      <c r="H71" s="114"/>
      <c r="I71" s="114"/>
      <c r="J71" s="114"/>
      <c r="K71" s="113"/>
      <c r="L71" s="114"/>
      <c r="M71" s="115"/>
      <c r="N71" s="114"/>
      <c r="O71" s="114"/>
      <c r="P71" s="116"/>
    </row>
    <row r="72" spans="1:23" s="25" customFormat="1" x14ac:dyDescent="0.2">
      <c r="A72" s="128" t="s">
        <v>195</v>
      </c>
      <c r="B72" s="78"/>
      <c r="C72" s="78"/>
      <c r="D72" s="78"/>
      <c r="E72" s="80"/>
      <c r="F72" s="81"/>
      <c r="G72" s="82"/>
      <c r="H72" s="81"/>
      <c r="I72" s="81"/>
      <c r="J72" s="81"/>
      <c r="K72" s="80"/>
      <c r="L72" s="81"/>
      <c r="M72" s="82"/>
      <c r="N72" s="81"/>
      <c r="O72" s="81"/>
      <c r="P72" s="83"/>
    </row>
    <row r="73" spans="1:23" s="25" customFormat="1" x14ac:dyDescent="0.2">
      <c r="A73" s="98"/>
      <c r="B73" s="78" t="s">
        <v>42</v>
      </c>
      <c r="C73" s="78"/>
      <c r="D73" s="421" t="str">
        <f>D40</f>
        <v>Ø bitte wählen</v>
      </c>
      <c r="E73" s="359"/>
      <c r="F73" s="99">
        <f>L24</f>
        <v>0</v>
      </c>
      <c r="G73" s="82"/>
      <c r="I73" s="99">
        <f>M24</f>
        <v>0</v>
      </c>
      <c r="J73" s="81"/>
      <c r="K73" s="80"/>
      <c r="L73" s="122"/>
      <c r="M73" s="82"/>
      <c r="N73" s="81"/>
      <c r="O73" s="81"/>
      <c r="P73" s="83"/>
    </row>
    <row r="74" spans="1:23" s="25" customFormat="1" x14ac:dyDescent="0.2">
      <c r="A74" s="98"/>
      <c r="B74" s="152" t="s">
        <v>264</v>
      </c>
      <c r="C74" s="561">
        <v>0.1</v>
      </c>
      <c r="D74" s="562"/>
      <c r="E74" s="488" t="e">
        <f>F73*F42*E46*C74</f>
        <v>#N/A</v>
      </c>
      <c r="F74" s="86" t="e">
        <f>(F73*F42*E46*E51*$C$74)*(1+$D$54+$L$60)</f>
        <v>#N/A</v>
      </c>
      <c r="G74" s="82"/>
      <c r="H74" s="488" t="e">
        <f>I73*I42*H46*C74</f>
        <v>#N/A</v>
      </c>
      <c r="I74" s="86" t="e">
        <f>(I73*I42*H46*H51*$C$74)*(1+$D$54+$L$60)</f>
        <v>#N/A</v>
      </c>
      <c r="J74" s="81"/>
      <c r="K74" s="80"/>
      <c r="L74" s="149"/>
      <c r="M74" s="82"/>
      <c r="N74" s="81"/>
      <c r="O74" s="86" t="e">
        <f>F74+I74+L74</f>
        <v>#N/A</v>
      </c>
      <c r="P74" s="83"/>
    </row>
    <row r="75" spans="1:23" s="25" customFormat="1" ht="5.25" customHeight="1" x14ac:dyDescent="0.2">
      <c r="A75" s="118"/>
      <c r="B75" s="119"/>
      <c r="C75" s="119"/>
      <c r="D75" s="119"/>
      <c r="E75" s="87"/>
      <c r="F75" s="88"/>
      <c r="G75" s="89"/>
      <c r="H75" s="88"/>
      <c r="I75" s="88"/>
      <c r="J75" s="88"/>
      <c r="K75" s="87"/>
      <c r="L75" s="88"/>
      <c r="M75" s="89"/>
      <c r="N75" s="88"/>
      <c r="O75" s="88"/>
      <c r="P75" s="91"/>
    </row>
    <row r="76" spans="1:23" s="25" customFormat="1" ht="5.25" customHeight="1" x14ac:dyDescent="0.2">
      <c r="A76" s="111"/>
      <c r="B76" s="112"/>
      <c r="C76" s="112"/>
      <c r="D76" s="120"/>
      <c r="E76" s="114"/>
      <c r="F76" s="114"/>
      <c r="G76" s="114"/>
      <c r="H76" s="114"/>
      <c r="I76" s="114"/>
      <c r="J76" s="114"/>
      <c r="K76" s="114"/>
      <c r="L76" s="114"/>
      <c r="M76" s="114"/>
      <c r="N76" s="114"/>
      <c r="O76" s="114"/>
      <c r="P76" s="116"/>
    </row>
    <row r="77" spans="1:23" s="25" customFormat="1" x14ac:dyDescent="0.2">
      <c r="A77" s="128" t="s">
        <v>153</v>
      </c>
      <c r="B77" s="78"/>
      <c r="C77" s="78"/>
      <c r="D77" s="79"/>
      <c r="E77" s="81"/>
      <c r="F77" s="81"/>
      <c r="G77" s="81"/>
      <c r="H77" s="81"/>
      <c r="I77" s="81"/>
      <c r="J77" s="81"/>
      <c r="K77" s="487" t="s">
        <v>263</v>
      </c>
      <c r="L77" s="20">
        <v>30</v>
      </c>
      <c r="M77" s="81"/>
      <c r="O77" s="86">
        <f>(F40+I40+L40)*L77</f>
        <v>0</v>
      </c>
      <c r="P77" s="83"/>
    </row>
    <row r="78" spans="1:23" s="25" customFormat="1" ht="5.25" customHeight="1" x14ac:dyDescent="0.2">
      <c r="A78" s="118"/>
      <c r="B78" s="119"/>
      <c r="C78" s="119"/>
      <c r="D78" s="121"/>
      <c r="E78" s="88"/>
      <c r="F78" s="88"/>
      <c r="G78" s="88"/>
      <c r="H78" s="88"/>
      <c r="I78" s="88"/>
      <c r="J78" s="88"/>
      <c r="K78" s="88"/>
      <c r="L78" s="88"/>
      <c r="M78" s="88"/>
      <c r="N78" s="88"/>
      <c r="O78" s="88"/>
      <c r="P78" s="91"/>
    </row>
    <row r="79" spans="1:23" s="25" customFormat="1" ht="5.25" customHeight="1" x14ac:dyDescent="0.2">
      <c r="A79" s="111"/>
      <c r="B79" s="112"/>
      <c r="C79" s="112"/>
      <c r="D79" s="112"/>
      <c r="E79" s="113"/>
      <c r="F79" s="114"/>
      <c r="G79" s="115"/>
      <c r="H79" s="113"/>
      <c r="I79" s="114"/>
      <c r="J79" s="115"/>
      <c r="K79" s="113"/>
      <c r="L79" s="114"/>
      <c r="M79" s="115"/>
      <c r="N79" s="113"/>
      <c r="O79" s="114"/>
      <c r="P79" s="116"/>
    </row>
    <row r="80" spans="1:23" s="25" customFormat="1" x14ac:dyDescent="0.2">
      <c r="A80" s="128" t="s">
        <v>300</v>
      </c>
      <c r="B80" s="78"/>
      <c r="C80" s="78"/>
      <c r="D80" s="78"/>
      <c r="E80" s="80"/>
      <c r="F80" s="547"/>
      <c r="G80" s="82"/>
      <c r="H80" s="80"/>
      <c r="I80" s="547"/>
      <c r="J80" s="82"/>
      <c r="K80" s="80"/>
      <c r="L80" s="547"/>
      <c r="M80" s="82"/>
      <c r="N80" s="80"/>
      <c r="O80" s="149">
        <f>F80+I80+L80</f>
        <v>0</v>
      </c>
      <c r="P80" s="83"/>
    </row>
    <row r="81" spans="1:16" s="25" customFormat="1" ht="5.25" customHeight="1" x14ac:dyDescent="0.2">
      <c r="A81" s="546"/>
      <c r="B81" s="119"/>
      <c r="C81" s="119"/>
      <c r="D81" s="119"/>
      <c r="E81" s="87"/>
      <c r="F81" s="88"/>
      <c r="G81" s="89"/>
      <c r="H81" s="87"/>
      <c r="I81" s="88"/>
      <c r="J81" s="89"/>
      <c r="K81" s="87"/>
      <c r="L81" s="88"/>
      <c r="M81" s="89"/>
      <c r="N81" s="87"/>
      <c r="O81" s="88"/>
      <c r="P81" s="91"/>
    </row>
    <row r="82" spans="1:16" s="123" customFormat="1" ht="5.25" customHeight="1" x14ac:dyDescent="0.2">
      <c r="A82" s="122"/>
      <c r="B82" s="122"/>
      <c r="C82" s="122"/>
      <c r="D82" s="122"/>
      <c r="E82" s="122"/>
      <c r="F82" s="122"/>
      <c r="G82" s="122"/>
      <c r="H82" s="122"/>
      <c r="I82" s="122"/>
      <c r="J82" s="122"/>
      <c r="K82" s="122"/>
      <c r="L82" s="122"/>
      <c r="M82" s="122"/>
      <c r="N82" s="122"/>
      <c r="O82" s="122"/>
    </row>
    <row r="83" spans="1:16" s="127" customFormat="1" ht="5.25" customHeight="1" x14ac:dyDescent="0.2">
      <c r="A83" s="124"/>
      <c r="B83" s="112"/>
      <c r="C83" s="112"/>
      <c r="D83" s="112"/>
      <c r="E83" s="112"/>
      <c r="F83" s="112"/>
      <c r="G83" s="112"/>
      <c r="H83" s="112"/>
      <c r="I83" s="112"/>
      <c r="J83" s="112"/>
      <c r="K83" s="112"/>
      <c r="L83" s="112"/>
      <c r="M83" s="112"/>
      <c r="N83" s="112"/>
      <c r="O83" s="125"/>
      <c r="P83" s="126"/>
    </row>
    <row r="84" spans="1:16" s="25" customFormat="1" x14ac:dyDescent="0.2">
      <c r="A84" s="128" t="s">
        <v>265</v>
      </c>
      <c r="B84" s="78"/>
      <c r="C84" s="78"/>
      <c r="D84" s="78"/>
      <c r="E84" s="78"/>
      <c r="F84" s="78"/>
      <c r="G84" s="78"/>
      <c r="H84" s="78"/>
      <c r="I84" s="78"/>
      <c r="J84" s="78"/>
      <c r="K84" s="78"/>
      <c r="L84" s="78"/>
      <c r="M84" s="78"/>
      <c r="N84" s="78"/>
      <c r="O84" s="129" t="e">
        <f>O60+O69+O57+O54+O74+O51+O77+O80</f>
        <v>#N/A</v>
      </c>
      <c r="P84" s="130"/>
    </row>
    <row r="85" spans="1:16" s="25" customFormat="1" ht="5.25" customHeight="1" x14ac:dyDescent="0.2">
      <c r="A85" s="118"/>
      <c r="B85" s="119"/>
      <c r="C85" s="119"/>
      <c r="D85" s="119"/>
      <c r="E85" s="119"/>
      <c r="F85" s="119"/>
      <c r="G85" s="119"/>
      <c r="H85" s="119"/>
      <c r="I85" s="119"/>
      <c r="J85" s="119"/>
      <c r="K85" s="119"/>
      <c r="L85" s="119"/>
      <c r="M85" s="119"/>
      <c r="N85" s="119"/>
      <c r="O85" s="119"/>
      <c r="P85" s="131"/>
    </row>
    <row r="86" spans="1:16" s="110" customFormat="1" x14ac:dyDescent="0.2">
      <c r="A86" s="132"/>
      <c r="B86" s="132"/>
      <c r="C86" s="132"/>
      <c r="D86" s="132"/>
      <c r="E86" s="132"/>
      <c r="F86" s="132"/>
      <c r="G86" s="132"/>
      <c r="H86" s="132"/>
      <c r="I86" s="132"/>
      <c r="J86" s="132"/>
      <c r="K86" s="132"/>
      <c r="L86" s="132"/>
      <c r="M86" s="132"/>
      <c r="N86" s="132"/>
      <c r="O86" s="132"/>
    </row>
    <row r="87" spans="1:16" s="37" customFormat="1" ht="21.75" customHeight="1" x14ac:dyDescent="0.2">
      <c r="A87" s="424" t="s">
        <v>15</v>
      </c>
      <c r="B87" s="48"/>
      <c r="C87" s="49"/>
      <c r="D87" s="49"/>
      <c r="E87" s="49"/>
      <c r="F87" s="49"/>
      <c r="G87" s="49"/>
      <c r="H87" s="49"/>
      <c r="I87" s="49"/>
      <c r="J87" s="49"/>
      <c r="K87" s="49"/>
      <c r="L87" s="49"/>
      <c r="M87" s="49"/>
      <c r="N87" s="49"/>
      <c r="O87" s="49"/>
      <c r="P87" s="50"/>
    </row>
    <row r="88" spans="1:16" s="110" customFormat="1" ht="5.25" customHeight="1" x14ac:dyDescent="0.2">
      <c r="A88" s="108"/>
      <c r="B88" s="109"/>
    </row>
    <row r="89" spans="1:16" s="25" customFormat="1" ht="5.25" customHeight="1" x14ac:dyDescent="0.2">
      <c r="A89" s="111"/>
      <c r="B89" s="112"/>
      <c r="C89" s="112"/>
      <c r="D89" s="112"/>
      <c r="E89" s="113"/>
      <c r="F89" s="114"/>
      <c r="G89" s="115"/>
      <c r="H89" s="114"/>
      <c r="I89" s="114"/>
      <c r="J89" s="114"/>
      <c r="K89" s="113"/>
      <c r="L89" s="114"/>
      <c r="M89" s="115"/>
      <c r="N89" s="114"/>
      <c r="O89" s="114"/>
      <c r="P89" s="116"/>
    </row>
    <row r="90" spans="1:16" s="25" customFormat="1" x14ac:dyDescent="0.2">
      <c r="A90" s="128" t="s">
        <v>42</v>
      </c>
      <c r="B90" s="78"/>
      <c r="C90" s="78"/>
      <c r="D90" s="421" t="str">
        <f>"Ø "&amp;C15&amp;" / "&amp;G15&amp;" / "&amp;L15</f>
        <v xml:space="preserve">Ø  /  / </v>
      </c>
      <c r="E90" s="80"/>
      <c r="F90" s="100">
        <f>ROUND((C19+G19+L19)/3,2)</f>
        <v>0</v>
      </c>
      <c r="G90" s="82"/>
      <c r="H90" s="81"/>
      <c r="I90" s="100">
        <f>ROUND((D19+I19+M19)/3,2)</f>
        <v>0</v>
      </c>
      <c r="J90" s="81"/>
      <c r="K90" s="80"/>
      <c r="L90" s="100">
        <f>ROUND((F19+J19+O19)/3,2)</f>
        <v>0</v>
      </c>
      <c r="M90" s="82"/>
      <c r="N90" s="81"/>
      <c r="O90" s="157">
        <f>F90+I90+L90</f>
        <v>0</v>
      </c>
      <c r="P90" s="83"/>
    </row>
    <row r="91" spans="1:16" s="25" customFormat="1" ht="5.25" customHeight="1" x14ac:dyDescent="0.2">
      <c r="A91" s="118"/>
      <c r="B91" s="119"/>
      <c r="C91" s="119"/>
      <c r="D91" s="119"/>
      <c r="E91" s="87"/>
      <c r="F91" s="88"/>
      <c r="G91" s="89"/>
      <c r="H91" s="88"/>
      <c r="I91" s="88"/>
      <c r="J91" s="88"/>
      <c r="K91" s="87"/>
      <c r="L91" s="88"/>
      <c r="M91" s="89"/>
      <c r="N91" s="88"/>
      <c r="O91" s="88"/>
      <c r="P91" s="91"/>
    </row>
    <row r="92" spans="1:16" s="25" customFormat="1" ht="5.25" customHeight="1" x14ac:dyDescent="0.2">
      <c r="A92" s="111"/>
      <c r="B92" s="112"/>
      <c r="C92" s="112"/>
      <c r="D92" s="112"/>
      <c r="E92" s="113"/>
      <c r="F92" s="114"/>
      <c r="G92" s="115"/>
      <c r="H92" s="114"/>
      <c r="I92" s="114"/>
      <c r="J92" s="114"/>
      <c r="K92" s="113"/>
      <c r="L92" s="114"/>
      <c r="M92" s="115"/>
      <c r="N92" s="114"/>
      <c r="O92" s="114"/>
      <c r="P92" s="116"/>
    </row>
    <row r="93" spans="1:16" s="25" customFormat="1" x14ac:dyDescent="0.2">
      <c r="A93" s="128" t="s">
        <v>16</v>
      </c>
      <c r="B93" s="78"/>
      <c r="C93" s="78"/>
      <c r="D93" s="78"/>
      <c r="E93" s="38" t="e">
        <f>VLOOKUP(O7,Hilfetabelle!H36:K46,2,FALSE)</f>
        <v>#N/A</v>
      </c>
      <c r="F93" s="86" t="e">
        <f>F90*E93</f>
        <v>#N/A</v>
      </c>
      <c r="G93" s="82"/>
      <c r="H93" s="20" t="e">
        <f>VLOOKUP(O7,Hilfetabelle!H36:K46,3,FALSE)</f>
        <v>#N/A</v>
      </c>
      <c r="I93" s="86" t="e">
        <f>I90*H93</f>
        <v>#N/A</v>
      </c>
      <c r="J93" s="81"/>
      <c r="K93" s="38" t="e">
        <f>VLOOKUP(O7,Hilfetabelle!H36:K46,4,FALSE)</f>
        <v>#N/A</v>
      </c>
      <c r="L93" s="86" t="e">
        <f>L90*K93</f>
        <v>#N/A</v>
      </c>
      <c r="M93" s="82"/>
      <c r="N93" s="81"/>
      <c r="O93" s="86" t="e">
        <f>F93+I93+L93</f>
        <v>#N/A</v>
      </c>
      <c r="P93" s="83"/>
    </row>
    <row r="94" spans="1:16" s="25" customFormat="1" ht="5.25" customHeight="1" x14ac:dyDescent="0.2">
      <c r="A94" s="118"/>
      <c r="B94" s="119"/>
      <c r="C94" s="119"/>
      <c r="D94" s="119"/>
      <c r="E94" s="87"/>
      <c r="F94" s="88"/>
      <c r="G94" s="89"/>
      <c r="H94" s="88"/>
      <c r="I94" s="88"/>
      <c r="J94" s="88"/>
      <c r="K94" s="87"/>
      <c r="L94" s="88"/>
      <c r="M94" s="89"/>
      <c r="N94" s="88"/>
      <c r="O94" s="88"/>
      <c r="P94" s="91"/>
    </row>
    <row r="95" spans="1:16" s="25" customFormat="1" ht="5.25" customHeight="1" x14ac:dyDescent="0.2">
      <c r="A95" s="111"/>
      <c r="B95" s="112"/>
      <c r="C95" s="112"/>
      <c r="D95" s="112"/>
      <c r="E95" s="113"/>
      <c r="F95" s="114"/>
      <c r="G95" s="115"/>
      <c r="H95" s="113"/>
      <c r="I95" s="114"/>
      <c r="J95" s="115"/>
      <c r="K95" s="113"/>
      <c r="L95" s="114"/>
      <c r="M95" s="115"/>
      <c r="N95" s="113"/>
      <c r="O95" s="114"/>
      <c r="P95" s="116"/>
    </row>
    <row r="96" spans="1:16" s="25" customFormat="1" x14ac:dyDescent="0.2">
      <c r="A96" s="128" t="s">
        <v>301</v>
      </c>
      <c r="B96" s="78"/>
      <c r="C96" s="78"/>
      <c r="D96" s="78"/>
      <c r="E96" s="80"/>
      <c r="F96" s="547"/>
      <c r="G96" s="82"/>
      <c r="H96" s="80"/>
      <c r="I96" s="547"/>
      <c r="J96" s="82"/>
      <c r="K96" s="80"/>
      <c r="L96" s="547"/>
      <c r="M96" s="82"/>
      <c r="N96" s="80"/>
      <c r="O96" s="149">
        <f>F96+I96+L96</f>
        <v>0</v>
      </c>
      <c r="P96" s="83"/>
    </row>
    <row r="97" spans="1:18" s="25" customFormat="1" ht="5.25" customHeight="1" x14ac:dyDescent="0.2">
      <c r="A97" s="546"/>
      <c r="B97" s="119"/>
      <c r="C97" s="119"/>
      <c r="D97" s="119"/>
      <c r="E97" s="87"/>
      <c r="F97" s="88"/>
      <c r="G97" s="89"/>
      <c r="H97" s="87"/>
      <c r="I97" s="88"/>
      <c r="J97" s="89"/>
      <c r="K97" s="87"/>
      <c r="L97" s="88"/>
      <c r="M97" s="89"/>
      <c r="N97" s="87"/>
      <c r="O97" s="88"/>
      <c r="P97" s="91"/>
    </row>
    <row r="98" spans="1:18" s="123" customFormat="1" ht="5.25" customHeight="1" x14ac:dyDescent="0.2">
      <c r="A98" s="122"/>
      <c r="B98" s="122"/>
      <c r="C98" s="122"/>
      <c r="D98" s="122"/>
      <c r="E98" s="122"/>
      <c r="F98" s="122"/>
      <c r="G98" s="122"/>
      <c r="H98" s="122"/>
      <c r="I98" s="122"/>
      <c r="J98" s="122"/>
      <c r="K98" s="122"/>
      <c r="L98" s="122"/>
      <c r="M98" s="122"/>
      <c r="N98" s="122"/>
      <c r="O98" s="122"/>
    </row>
    <row r="99" spans="1:18" s="25" customFormat="1" ht="5.25" customHeight="1" x14ac:dyDescent="0.2">
      <c r="A99" s="111"/>
      <c r="B99" s="112"/>
      <c r="C99" s="112"/>
      <c r="D99" s="112"/>
      <c r="E99" s="112"/>
      <c r="F99" s="112"/>
      <c r="G99" s="112"/>
      <c r="H99" s="112"/>
      <c r="I99" s="112"/>
      <c r="J99" s="112"/>
      <c r="K99" s="112"/>
      <c r="L99" s="112"/>
      <c r="M99" s="112"/>
      <c r="N99" s="112"/>
      <c r="O99" s="112"/>
      <c r="P99" s="126"/>
    </row>
    <row r="100" spans="1:18" s="25" customFormat="1" x14ac:dyDescent="0.2">
      <c r="A100" s="128" t="s">
        <v>267</v>
      </c>
      <c r="B100" s="78"/>
      <c r="C100" s="78"/>
      <c r="D100" s="78"/>
      <c r="E100" s="78"/>
      <c r="F100" s="78"/>
      <c r="G100" s="78"/>
      <c r="H100" s="78"/>
      <c r="I100" s="78"/>
      <c r="J100" s="78"/>
      <c r="K100" s="78"/>
      <c r="L100" s="78"/>
      <c r="M100" s="78"/>
      <c r="N100" s="78"/>
      <c r="O100" s="129" t="e">
        <f>O93+O96</f>
        <v>#N/A</v>
      </c>
      <c r="P100" s="130"/>
    </row>
    <row r="101" spans="1:18" s="25" customFormat="1" ht="5.25" customHeight="1" x14ac:dyDescent="0.2">
      <c r="A101" s="118"/>
      <c r="B101" s="119"/>
      <c r="C101" s="119"/>
      <c r="D101" s="119"/>
      <c r="E101" s="119"/>
      <c r="F101" s="119"/>
      <c r="G101" s="119"/>
      <c r="H101" s="119"/>
      <c r="I101" s="119"/>
      <c r="J101" s="119"/>
      <c r="K101" s="119"/>
      <c r="L101" s="119"/>
      <c r="M101" s="119"/>
      <c r="N101" s="119"/>
      <c r="O101" s="119"/>
      <c r="P101" s="131"/>
    </row>
    <row r="102" spans="1:18" s="25" customFormat="1" x14ac:dyDescent="0.2">
      <c r="A102" s="24"/>
      <c r="B102" s="24"/>
      <c r="C102" s="24"/>
      <c r="D102" s="24"/>
      <c r="E102" s="24"/>
      <c r="F102" s="24"/>
      <c r="G102" s="24"/>
      <c r="H102" s="24"/>
      <c r="I102" s="24"/>
      <c r="J102" s="24"/>
      <c r="K102" s="24"/>
      <c r="L102" s="24"/>
      <c r="M102" s="24"/>
      <c r="N102" s="24"/>
      <c r="O102" s="24"/>
    </row>
    <row r="103" spans="1:18" s="37" customFormat="1" ht="21.75" customHeight="1" x14ac:dyDescent="0.2">
      <c r="A103" s="424" t="s">
        <v>17</v>
      </c>
      <c r="B103" s="48"/>
      <c r="C103" s="49"/>
      <c r="D103" s="49"/>
      <c r="E103" s="49"/>
      <c r="F103" s="49"/>
      <c r="G103" s="49"/>
      <c r="H103" s="49"/>
      <c r="I103" s="49"/>
      <c r="J103" s="49"/>
      <c r="K103" s="49"/>
      <c r="L103" s="49"/>
      <c r="M103" s="49"/>
      <c r="N103" s="49"/>
      <c r="O103" s="49"/>
      <c r="P103" s="50"/>
    </row>
    <row r="104" spans="1:18" s="110" customFormat="1" ht="5.25" customHeight="1" x14ac:dyDescent="0.2">
      <c r="A104" s="108"/>
      <c r="B104" s="109"/>
    </row>
    <row r="105" spans="1:18" s="25" customFormat="1" ht="5.25" customHeight="1" x14ac:dyDescent="0.2">
      <c r="A105" s="111"/>
      <c r="B105" s="112"/>
      <c r="C105" s="112"/>
      <c r="D105" s="120"/>
      <c r="E105" s="114"/>
      <c r="F105" s="114"/>
      <c r="G105" s="114"/>
      <c r="H105" s="114"/>
      <c r="I105" s="114"/>
      <c r="J105" s="114"/>
      <c r="K105" s="114"/>
      <c r="L105" s="114"/>
      <c r="M105" s="114"/>
      <c r="N105" s="114"/>
      <c r="O105" s="114"/>
      <c r="P105" s="116"/>
    </row>
    <row r="106" spans="1:18" s="25" customFormat="1" x14ac:dyDescent="0.2">
      <c r="A106" s="128" t="s">
        <v>268</v>
      </c>
      <c r="B106" s="78"/>
      <c r="C106" s="78"/>
      <c r="D106" s="417" t="str">
        <f>TEXT(O7,0)</f>
        <v>bitte wählen</v>
      </c>
      <c r="E106" s="81"/>
      <c r="F106" s="81"/>
      <c r="G106" s="81"/>
      <c r="H106" s="81"/>
      <c r="I106" s="81"/>
      <c r="J106" s="81"/>
      <c r="K106" s="81"/>
      <c r="L106" s="81"/>
      <c r="M106" s="81"/>
      <c r="N106" s="81"/>
      <c r="O106" s="133">
        <f>D12</f>
        <v>0</v>
      </c>
      <c r="P106" s="83"/>
    </row>
    <row r="107" spans="1:18" s="25" customFormat="1" ht="5.25" customHeight="1" x14ac:dyDescent="0.2">
      <c r="A107" s="118"/>
      <c r="B107" s="119"/>
      <c r="C107" s="119"/>
      <c r="D107" s="121"/>
      <c r="E107" s="88"/>
      <c r="F107" s="88"/>
      <c r="G107" s="88"/>
      <c r="H107" s="88"/>
      <c r="I107" s="88"/>
      <c r="J107" s="88"/>
      <c r="K107" s="88"/>
      <c r="L107" s="88"/>
      <c r="M107" s="88"/>
      <c r="N107" s="88"/>
      <c r="O107" s="88"/>
      <c r="P107" s="91"/>
    </row>
    <row r="108" spans="1:18" s="25" customFormat="1" ht="5.25" customHeight="1" x14ac:dyDescent="0.2">
      <c r="A108" s="111"/>
      <c r="B108" s="112"/>
      <c r="C108" s="112"/>
      <c r="D108" s="120"/>
      <c r="E108" s="114"/>
      <c r="F108" s="114"/>
      <c r="G108" s="114"/>
      <c r="H108" s="114"/>
      <c r="I108" s="114"/>
      <c r="J108" s="114"/>
      <c r="K108" s="114"/>
      <c r="L108" s="114"/>
      <c r="M108" s="114"/>
      <c r="N108" s="114"/>
      <c r="O108" s="114"/>
      <c r="P108" s="116"/>
    </row>
    <row r="109" spans="1:18" s="25" customFormat="1" x14ac:dyDescent="0.2">
      <c r="A109" s="128" t="s">
        <v>269</v>
      </c>
      <c r="B109" s="78"/>
      <c r="C109" s="78"/>
      <c r="D109" s="79"/>
      <c r="E109" s="81"/>
      <c r="F109" s="81"/>
      <c r="G109" s="81"/>
      <c r="H109" s="81"/>
      <c r="I109" s="81"/>
      <c r="J109" s="81"/>
      <c r="K109" s="81"/>
      <c r="L109" s="81"/>
      <c r="M109" s="81"/>
      <c r="N109" s="81"/>
      <c r="O109" s="81"/>
      <c r="P109" s="83"/>
    </row>
    <row r="110" spans="1:18" s="25" customFormat="1" x14ac:dyDescent="0.2">
      <c r="A110" s="98"/>
      <c r="B110" s="78" t="s">
        <v>270</v>
      </c>
      <c r="C110" s="78"/>
      <c r="D110" s="79"/>
      <c r="E110" s="81"/>
      <c r="F110" s="81"/>
      <c r="G110" s="81"/>
      <c r="H110" s="81"/>
      <c r="I110" s="81"/>
      <c r="J110" s="81"/>
      <c r="K110" s="81"/>
      <c r="L110" s="81"/>
      <c r="M110" s="81"/>
      <c r="N110" s="81"/>
      <c r="O110" s="150" t="e">
        <f>O84</f>
        <v>#N/A</v>
      </c>
      <c r="P110" s="83"/>
      <c r="R110" s="97"/>
    </row>
    <row r="111" spans="1:18" s="25" customFormat="1" x14ac:dyDescent="0.2">
      <c r="A111" s="98"/>
      <c r="B111" s="78" t="s">
        <v>271</v>
      </c>
      <c r="C111" s="78"/>
      <c r="D111" s="79"/>
      <c r="E111" s="81"/>
      <c r="F111" s="81"/>
      <c r="G111" s="81"/>
      <c r="H111" s="81"/>
      <c r="I111" s="81"/>
      <c r="J111" s="81"/>
      <c r="K111" s="81"/>
      <c r="L111" s="151" t="e">
        <f>VLOOKUP(J7,Hilfetabelle!A49:C54,2,FALSE)</f>
        <v>#N/A</v>
      </c>
      <c r="M111" s="81"/>
      <c r="O111" s="150" t="e">
        <f>L111*O106</f>
        <v>#N/A</v>
      </c>
      <c r="P111" s="83"/>
    </row>
    <row r="112" spans="1:18" s="25" customFormat="1" x14ac:dyDescent="0.2">
      <c r="A112" s="98"/>
      <c r="B112" s="152" t="s">
        <v>272</v>
      </c>
      <c r="C112" s="78"/>
      <c r="D112" s="79"/>
      <c r="E112" s="81"/>
      <c r="F112" s="81"/>
      <c r="G112" s="81"/>
      <c r="H112" s="81"/>
      <c r="I112" s="95"/>
      <c r="J112" s="81"/>
      <c r="K112" s="158" t="e">
        <f>IF(L112&gt;0,"","Abschöpfungspotenzial")</f>
        <v>#N/A</v>
      </c>
      <c r="L112" s="426" t="e">
        <f>O110-O111</f>
        <v>#N/A</v>
      </c>
      <c r="M112" s="159"/>
      <c r="N112" s="409"/>
      <c r="O112" s="86" t="e">
        <f>IF(O110-O111&gt;0,O110-O111,IF(-L112&lt;O118,L112,0))</f>
        <v>#N/A</v>
      </c>
      <c r="P112" s="83"/>
    </row>
    <row r="113" spans="1:18" s="25" customFormat="1" ht="5.25" customHeight="1" x14ac:dyDescent="0.2">
      <c r="A113" s="118"/>
      <c r="B113" s="119"/>
      <c r="C113" s="119"/>
      <c r="D113" s="121"/>
      <c r="E113" s="88"/>
      <c r="F113" s="88"/>
      <c r="G113" s="88"/>
      <c r="H113" s="88"/>
      <c r="I113" s="88"/>
      <c r="J113" s="88"/>
      <c r="K113" s="88"/>
      <c r="L113" s="88"/>
      <c r="M113" s="88"/>
      <c r="N113" s="88"/>
      <c r="O113" s="88"/>
      <c r="P113" s="91"/>
    </row>
    <row r="114" spans="1:18" s="25" customFormat="1" ht="5.25" customHeight="1" x14ac:dyDescent="0.2">
      <c r="A114" s="111"/>
      <c r="B114" s="112"/>
      <c r="C114" s="112"/>
      <c r="D114" s="120"/>
      <c r="E114" s="114"/>
      <c r="F114" s="114"/>
      <c r="G114" s="114"/>
      <c r="H114" s="114"/>
      <c r="I114" s="114"/>
      <c r="J114" s="114"/>
      <c r="K114" s="114"/>
      <c r="L114" s="114"/>
      <c r="M114" s="114"/>
      <c r="N114" s="114"/>
      <c r="O114" s="114"/>
      <c r="P114" s="116"/>
    </row>
    <row r="115" spans="1:18" s="25" customFormat="1" x14ac:dyDescent="0.2">
      <c r="A115" s="128" t="s">
        <v>273</v>
      </c>
      <c r="B115" s="78"/>
      <c r="C115" s="78"/>
      <c r="D115" s="79"/>
      <c r="E115" s="81"/>
      <c r="F115" s="81"/>
      <c r="G115" s="81"/>
      <c r="H115" s="81"/>
      <c r="I115" s="81"/>
      <c r="J115" s="81"/>
      <c r="K115" s="81"/>
      <c r="L115" s="81"/>
      <c r="M115" s="81"/>
      <c r="N115" s="81"/>
      <c r="O115" s="81"/>
      <c r="P115" s="83"/>
    </row>
    <row r="116" spans="1:18" s="25" customFormat="1" x14ac:dyDescent="0.2">
      <c r="A116" s="98"/>
      <c r="B116" s="78" t="s">
        <v>274</v>
      </c>
      <c r="C116" s="78"/>
      <c r="D116" s="79"/>
      <c r="E116" s="81"/>
      <c r="F116" s="81"/>
      <c r="G116" s="81"/>
      <c r="H116" s="81"/>
      <c r="I116" s="81"/>
      <c r="J116" s="81"/>
      <c r="K116" s="81"/>
      <c r="L116" s="81"/>
      <c r="M116" s="81"/>
      <c r="N116" s="81"/>
      <c r="O116" s="150" t="e">
        <f>O100</f>
        <v>#N/A</v>
      </c>
      <c r="P116" s="83"/>
    </row>
    <row r="117" spans="1:18" s="25" customFormat="1" x14ac:dyDescent="0.2">
      <c r="A117" s="98"/>
      <c r="B117" s="78" t="s">
        <v>271</v>
      </c>
      <c r="C117" s="78"/>
      <c r="D117" s="79"/>
      <c r="E117" s="81"/>
      <c r="F117" s="81"/>
      <c r="G117" s="81"/>
      <c r="H117" s="81"/>
      <c r="I117" s="81"/>
      <c r="J117" s="81"/>
      <c r="K117" s="81"/>
      <c r="L117" s="151" t="e">
        <f>VLOOKUP(J7,Hilfetabelle!A50:C54,3,FALSE)</f>
        <v>#N/A</v>
      </c>
      <c r="M117" s="81"/>
      <c r="O117" s="150" t="e">
        <f>L117*O106</f>
        <v>#N/A</v>
      </c>
      <c r="P117" s="83"/>
    </row>
    <row r="118" spans="1:18" s="25" customFormat="1" x14ac:dyDescent="0.2">
      <c r="A118" s="98"/>
      <c r="B118" s="152" t="s">
        <v>272</v>
      </c>
      <c r="C118" s="78"/>
      <c r="D118" s="79"/>
      <c r="E118" s="81"/>
      <c r="F118" s="81"/>
      <c r="G118" s="81"/>
      <c r="H118" s="81"/>
      <c r="I118" s="81"/>
      <c r="J118" s="81"/>
      <c r="K118" s="423"/>
      <c r="L118" s="426" t="e">
        <f>O116-O117</f>
        <v>#N/A</v>
      </c>
      <c r="M118" s="164"/>
      <c r="O118" s="86" t="e">
        <f>IF(L112+L118&lt;0,0,IF(O116-O117&gt;0,O116-O117,0))</f>
        <v>#N/A</v>
      </c>
      <c r="P118" s="83"/>
    </row>
    <row r="119" spans="1:18" s="25" customFormat="1" ht="5.25" customHeight="1" x14ac:dyDescent="0.2">
      <c r="A119" s="118"/>
      <c r="B119" s="119"/>
      <c r="C119" s="119"/>
      <c r="D119" s="121"/>
      <c r="E119" s="88"/>
      <c r="F119" s="88"/>
      <c r="G119" s="88"/>
      <c r="H119" s="88"/>
      <c r="I119" s="88"/>
      <c r="J119" s="88"/>
      <c r="K119" s="88"/>
      <c r="L119" s="88"/>
      <c r="M119" s="88"/>
      <c r="N119" s="88"/>
      <c r="O119" s="88"/>
      <c r="P119" s="91"/>
    </row>
    <row r="120" spans="1:18" s="123" customFormat="1" ht="5.25" customHeight="1" x14ac:dyDescent="0.2">
      <c r="A120" s="111"/>
      <c r="B120" s="112"/>
      <c r="C120" s="112"/>
      <c r="D120" s="120"/>
      <c r="E120" s="412"/>
      <c r="F120" s="412"/>
      <c r="G120" s="412"/>
      <c r="H120" s="412"/>
      <c r="I120" s="412"/>
      <c r="J120" s="412"/>
      <c r="K120" s="412"/>
      <c r="L120" s="412"/>
      <c r="M120" s="412"/>
      <c r="N120" s="412"/>
      <c r="O120" s="412"/>
      <c r="P120" s="413"/>
    </row>
    <row r="121" spans="1:18" s="123" customFormat="1" x14ac:dyDescent="0.2">
      <c r="A121" s="128" t="s">
        <v>275</v>
      </c>
      <c r="B121" s="78"/>
      <c r="C121" s="78"/>
      <c r="D121" s="79"/>
      <c r="E121" s="122"/>
      <c r="F121" s="122"/>
      <c r="G121" s="122"/>
      <c r="H121" s="122"/>
      <c r="I121" s="122"/>
      <c r="J121" s="122"/>
      <c r="K121" s="122"/>
      <c r="L121" s="492" t="e">
        <f>IF(AND(O112=0,O118=0,O123=0,K12=3),"abschöpfungsbefreit aufgrund unterdurchschnittlicher Steuerkraft","")</f>
        <v>#N/A</v>
      </c>
      <c r="M121" s="122"/>
      <c r="N121" s="122"/>
      <c r="O121" s="122"/>
      <c r="P121" s="414"/>
    </row>
    <row r="122" spans="1:18" s="123" customFormat="1" x14ac:dyDescent="0.2">
      <c r="A122" s="98"/>
      <c r="B122" s="78" t="s">
        <v>276</v>
      </c>
      <c r="C122" s="78"/>
      <c r="D122" s="79"/>
      <c r="E122" s="122"/>
      <c r="F122" s="122"/>
      <c r="G122" s="122"/>
      <c r="H122" s="122"/>
      <c r="I122" s="122"/>
      <c r="J122" s="122"/>
      <c r="K122" s="122"/>
      <c r="L122" s="426" t="e">
        <f>IF(O112+O118&gt;0,"",IF(L118&lt;0,"",TEXT(L112,"#'###'##0")&amp;" + "&amp;TEXT(L118,"#'###'##0")))</f>
        <v>#N/A</v>
      </c>
      <c r="M122" s="122"/>
      <c r="N122" s="410" t="e">
        <f>IF(AND(O112+O118&lt;0,K12=3),"Abschöpfungsbefreit aufgrund unterdurchschnittlicher Steuerkraft","")</f>
        <v>#N/A</v>
      </c>
      <c r="O122" s="422" t="e">
        <f>IF(O112&gt;0,0,IF(L112+L118&gt;0,0,IF(K12=3,0,IF(L118&gt;0,L112+L118,L112))))</f>
        <v>#N/A</v>
      </c>
      <c r="P122" s="414"/>
      <c r="R122" s="415"/>
    </row>
    <row r="123" spans="1:18" s="123" customFormat="1" ht="15.75" x14ac:dyDescent="0.2">
      <c r="A123" s="98"/>
      <c r="B123" s="152" t="s">
        <v>277</v>
      </c>
      <c r="C123" s="78"/>
      <c r="D123" s="79"/>
      <c r="E123" s="122"/>
      <c r="F123" s="122"/>
      <c r="G123" s="122"/>
      <c r="H123" s="122"/>
      <c r="J123" s="122"/>
      <c r="K123" s="410" t="s">
        <v>234</v>
      </c>
      <c r="L123" s="486">
        <f>O12</f>
        <v>0</v>
      </c>
      <c r="O123" s="149" t="e">
        <f>O122*L123</f>
        <v>#N/A</v>
      </c>
      <c r="P123" s="414"/>
      <c r="R123" s="416" t="e">
        <f>IF(AND(O12=0,O112+O118=0),"Abschöpfungsquote erfassen","")</f>
        <v>#N/A</v>
      </c>
    </row>
    <row r="124" spans="1:18" s="25" customFormat="1" ht="5.25" customHeight="1" x14ac:dyDescent="0.2">
      <c r="A124" s="118"/>
      <c r="B124" s="119"/>
      <c r="C124" s="119"/>
      <c r="D124" s="121"/>
      <c r="E124" s="88"/>
      <c r="F124" s="88"/>
      <c r="G124" s="88"/>
      <c r="H124" s="88"/>
      <c r="I124" s="88"/>
      <c r="J124" s="88"/>
      <c r="K124" s="88"/>
      <c r="L124" s="88"/>
      <c r="M124" s="88"/>
      <c r="N124" s="88"/>
      <c r="O124" s="88"/>
      <c r="P124" s="91"/>
    </row>
    <row r="125" spans="1:18" s="123" customFormat="1" ht="4.9000000000000004" customHeight="1" x14ac:dyDescent="0.2">
      <c r="A125" s="122"/>
      <c r="B125" s="122"/>
      <c r="C125" s="122"/>
      <c r="D125" s="122"/>
      <c r="E125" s="122"/>
      <c r="F125" s="122"/>
      <c r="G125" s="122"/>
      <c r="H125" s="122"/>
      <c r="I125" s="122"/>
      <c r="J125" s="122"/>
      <c r="K125" s="122"/>
      <c r="L125" s="122"/>
      <c r="M125" s="122"/>
      <c r="N125" s="122"/>
      <c r="O125" s="122"/>
    </row>
    <row r="126" spans="1:18" s="137" customFormat="1" ht="5.25" customHeight="1" x14ac:dyDescent="0.2">
      <c r="A126" s="134"/>
      <c r="B126" s="135"/>
      <c r="C126" s="135"/>
      <c r="D126" s="135"/>
      <c r="E126" s="135"/>
      <c r="F126" s="135"/>
      <c r="G126" s="135"/>
      <c r="H126" s="135"/>
      <c r="I126" s="135"/>
      <c r="J126" s="135"/>
      <c r="K126" s="135"/>
      <c r="L126" s="135"/>
      <c r="M126" s="135"/>
      <c r="N126" s="135"/>
      <c r="O126" s="135"/>
      <c r="P126" s="136"/>
    </row>
    <row r="127" spans="1:18" s="140" customFormat="1" x14ac:dyDescent="0.2">
      <c r="A127" s="425" t="s">
        <v>278</v>
      </c>
      <c r="B127" s="138"/>
      <c r="C127" s="138"/>
      <c r="D127" s="138"/>
      <c r="E127" s="138"/>
      <c r="F127" s="138"/>
      <c r="G127" s="138"/>
      <c r="H127" s="138"/>
      <c r="I127" s="138"/>
      <c r="J127" s="138"/>
      <c r="K127" s="138"/>
      <c r="L127" s="138"/>
      <c r="M127" s="138"/>
      <c r="N127" s="580" t="e">
        <f>O118+O112+O123</f>
        <v>#N/A</v>
      </c>
      <c r="O127" s="580"/>
      <c r="P127" s="139"/>
    </row>
    <row r="128" spans="1:18" s="140" customFormat="1" ht="5.25" customHeight="1" x14ac:dyDescent="0.2">
      <c r="A128" s="141"/>
      <c r="B128" s="142"/>
      <c r="C128" s="142"/>
      <c r="D128" s="142"/>
      <c r="E128" s="142"/>
      <c r="F128" s="142"/>
      <c r="G128" s="142"/>
      <c r="H128" s="142"/>
      <c r="I128" s="142"/>
      <c r="J128" s="142"/>
      <c r="K128" s="142"/>
      <c r="L128" s="142"/>
      <c r="M128" s="142"/>
      <c r="N128" s="142"/>
      <c r="O128" s="142"/>
      <c r="P128" s="143"/>
    </row>
    <row r="129" spans="1:16" s="25" customFormat="1" ht="5.25" customHeight="1" x14ac:dyDescent="0.2">
      <c r="A129" s="235"/>
      <c r="B129" s="24"/>
      <c r="C129" s="24"/>
      <c r="D129" s="24"/>
      <c r="E129" s="24"/>
      <c r="F129" s="24"/>
      <c r="G129" s="24"/>
      <c r="H129" s="24"/>
      <c r="I129" s="24"/>
      <c r="J129" s="24"/>
      <c r="K129" s="24"/>
      <c r="L129" s="24"/>
      <c r="M129" s="24"/>
      <c r="N129" s="24"/>
      <c r="O129" s="24"/>
    </row>
    <row r="130" spans="1:16" s="25" customFormat="1" x14ac:dyDescent="0.2">
      <c r="A130" s="235"/>
      <c r="B130" s="24" t="s">
        <v>262</v>
      </c>
      <c r="C130" s="24"/>
      <c r="D130" s="24"/>
      <c r="E130" s="24"/>
      <c r="F130" s="24"/>
      <c r="G130" s="24"/>
      <c r="H130" s="24"/>
      <c r="I130" s="24"/>
      <c r="J130" s="24"/>
      <c r="K130" s="24"/>
      <c r="L130" s="24"/>
      <c r="M130" s="24"/>
      <c r="N130" s="24"/>
      <c r="P130" s="485" t="s">
        <v>245</v>
      </c>
    </row>
    <row r="131" spans="1:16" s="25" customFormat="1" ht="5.25" customHeight="1" x14ac:dyDescent="0.2">
      <c r="A131" s="235"/>
      <c r="B131" s="236"/>
      <c r="C131" s="24"/>
      <c r="D131" s="24"/>
      <c r="E131" s="24"/>
      <c r="F131" s="24"/>
      <c r="G131" s="24"/>
      <c r="H131" s="24"/>
      <c r="I131" s="24"/>
      <c r="J131" s="24"/>
      <c r="K131" s="24"/>
      <c r="L131" s="24"/>
      <c r="M131" s="24"/>
      <c r="N131" s="24"/>
      <c r="O131" s="24"/>
    </row>
    <row r="132" spans="1:16" s="25" customFormat="1" x14ac:dyDescent="0.2"/>
    <row r="133" spans="1:16" s="25" customFormat="1" x14ac:dyDescent="0.2">
      <c r="O133" s="144"/>
    </row>
  </sheetData>
  <sheetProtection algorithmName="SHA-512" hashValue="sxrmIJXmHD3E/JlGiHJJ/0vYbTDzNGBDAWOdcVWjCoqoLJj9Pw1NmEsm/pZEXbpT/pfi+LLzApLXfaqFTaScpQ==" saltValue="y0RJsNpaTAYhYeyZcv5F8g==" spinCount="100000" sheet="1" objects="1" scenarios="1"/>
  <mergeCells count="42">
    <mergeCell ref="J7:K7"/>
    <mergeCell ref="A31:P31"/>
    <mergeCell ref="M30:N30"/>
    <mergeCell ref="D30:E30"/>
    <mergeCell ref="D17:E17"/>
    <mergeCell ref="D19:E19"/>
    <mergeCell ref="G19:H19"/>
    <mergeCell ref="J19:K19"/>
    <mergeCell ref="M19:N19"/>
    <mergeCell ref="J18:K18"/>
    <mergeCell ref="M18:N18"/>
    <mergeCell ref="D18:E18"/>
    <mergeCell ref="G10:H10"/>
    <mergeCell ref="M16:N16"/>
    <mergeCell ref="C15:F15"/>
    <mergeCell ref="G15:K15"/>
    <mergeCell ref="N127:O127"/>
    <mergeCell ref="E35:G35"/>
    <mergeCell ref="N35:P35"/>
    <mergeCell ref="K35:M35"/>
    <mergeCell ref="H35:J35"/>
    <mergeCell ref="M17:N17"/>
    <mergeCell ref="D12:F12"/>
    <mergeCell ref="D16:E16"/>
    <mergeCell ref="J16:K16"/>
    <mergeCell ref="I12:J12"/>
    <mergeCell ref="C74:D74"/>
    <mergeCell ref="L3:P3"/>
    <mergeCell ref="G30:H30"/>
    <mergeCell ref="G17:H17"/>
    <mergeCell ref="G26:H26"/>
    <mergeCell ref="A27:P27"/>
    <mergeCell ref="M22:N22"/>
    <mergeCell ref="M23:N23"/>
    <mergeCell ref="M24:N24"/>
    <mergeCell ref="J30:K30"/>
    <mergeCell ref="C7:H7"/>
    <mergeCell ref="M21:N21"/>
    <mergeCell ref="G16:H16"/>
    <mergeCell ref="G18:H18"/>
    <mergeCell ref="L15:O15"/>
    <mergeCell ref="J17:K17"/>
  </mergeCells>
  <phoneticPr fontId="0" type="noConversion"/>
  <conditionalFormatting sqref="L112">
    <cfRule type="expression" dxfId="6" priority="4" stopIfTrue="1">
      <formula>#REF!=""</formula>
    </cfRule>
  </conditionalFormatting>
  <conditionalFormatting sqref="L118">
    <cfRule type="expression" dxfId="5" priority="3" stopIfTrue="1">
      <formula>#REF!=""</formula>
    </cfRule>
  </conditionalFormatting>
  <conditionalFormatting sqref="N112">
    <cfRule type="expression" dxfId="4" priority="2" stopIfTrue="1">
      <formula>#REF!=""</formula>
    </cfRule>
  </conditionalFormatting>
  <conditionalFormatting sqref="L122">
    <cfRule type="expression" dxfId="3" priority="1" stopIfTrue="1">
      <formula>#REF!=""</formula>
    </cfRule>
  </conditionalFormatting>
  <printOptions horizontalCentered="1"/>
  <pageMargins left="0.19685039370078741" right="0.19685039370078741" top="0.98425196850393704" bottom="0.39370078740157483" header="0.19685039370078741" footer="0.19685039370078741"/>
  <pageSetup paperSize="9" scale="78" orientation="portrait" r:id="rId1"/>
  <headerFooter scaleWithDoc="0">
    <oddHeader>&amp;L&amp;"Arial,Fett"Amt für Volksschule&amp;"Arial,Standard"
Finanzen&amp;R
&amp;G</oddHeader>
    <oddFooter>&amp;L&amp;8&amp;F/AVKFIN
Druck: &amp;D/&amp;T&amp;R&amp;8&amp;A
&amp;P/&amp;N</oddFooter>
  </headerFooter>
  <rowBreaks count="1" manualBreakCount="1">
    <brk id="31" max="16383" man="1"/>
  </rowBreaks>
  <legacyDrawing r:id="rId2"/>
  <legacyDrawingHF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Hilfetabelle!$A$4:$A$13</xm:f>
          </x14:formula1>
          <xm:sqref>O7</xm:sqref>
        </x14:dataValidation>
        <x14:dataValidation type="list" allowBlank="1" showInputMessage="1" showErrorMessage="1">
          <x14:formula1>
            <xm:f>Hilfetabelle!$F$4:$F$7</xm:f>
          </x14:formula1>
          <xm:sqref>J7</xm:sqref>
        </x14:dataValidation>
        <x14:dataValidation type="list" allowBlank="1" showInputMessage="1" showErrorMessage="1">
          <x14:formula1>
            <xm:f>Hilfetabelle!$H$4:$H$6</xm:f>
          </x14:formula1>
          <xm:sqref>I12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Q94"/>
  <sheetViews>
    <sheetView showGridLines="0" zoomScaleNormal="100" workbookViewId="0">
      <pane ySplit="7" topLeftCell="A8" activePane="bottomLeft" state="frozen"/>
      <selection activeCell="B1" sqref="B1"/>
      <selection pane="bottomLeft" activeCell="B4" sqref="B4"/>
    </sheetView>
  </sheetViews>
  <sheetFormatPr baseColWidth="10" defaultColWidth="30.85546875" defaultRowHeight="12.75" x14ac:dyDescent="0.2"/>
  <cols>
    <col min="1" max="1" width="6.42578125" hidden="1" customWidth="1"/>
    <col min="2" max="2" width="35.5703125" customWidth="1"/>
    <col min="3" max="3" width="11.140625" bestFit="1" customWidth="1"/>
    <col min="4" max="4" width="7.28515625" customWidth="1"/>
    <col min="5" max="7" width="10.85546875" customWidth="1"/>
    <col min="8" max="8" width="16.140625" customWidth="1"/>
  </cols>
  <sheetData>
    <row r="1" spans="1:17" ht="19.5" x14ac:dyDescent="0.3">
      <c r="B1" s="1" t="s">
        <v>316</v>
      </c>
      <c r="C1" s="1"/>
      <c r="D1" s="1"/>
      <c r="E1" s="1"/>
      <c r="F1" s="1"/>
      <c r="G1" s="2"/>
      <c r="H1" s="2"/>
      <c r="I1" s="3"/>
      <c r="J1" s="3"/>
      <c r="K1" s="3"/>
      <c r="L1" s="3"/>
      <c r="M1" s="2"/>
      <c r="N1" s="2"/>
      <c r="O1" s="2"/>
      <c r="Q1" s="181"/>
    </row>
    <row r="2" spans="1:17" x14ac:dyDescent="0.2">
      <c r="B2" s="493" t="s">
        <v>295</v>
      </c>
    </row>
    <row r="3" spans="1:17" x14ac:dyDescent="0.2">
      <c r="B3" s="494">
        <v>45273</v>
      </c>
    </row>
    <row r="6" spans="1:17" s="25" customFormat="1" ht="21.75" customHeight="1" x14ac:dyDescent="0.2">
      <c r="A6" s="280"/>
      <c r="B6" s="280"/>
      <c r="C6" s="280"/>
      <c r="D6" s="280"/>
      <c r="E6" s="591" t="s">
        <v>12</v>
      </c>
      <c r="F6" s="591"/>
      <c r="G6" s="591"/>
    </row>
    <row r="7" spans="1:17" s="25" customFormat="1" ht="25.5" x14ac:dyDescent="0.2">
      <c r="A7" s="281" t="s">
        <v>127</v>
      </c>
      <c r="B7" s="433" t="s">
        <v>287</v>
      </c>
      <c r="C7" s="433" t="s">
        <v>9</v>
      </c>
      <c r="D7" s="433" t="s">
        <v>288</v>
      </c>
      <c r="E7" s="507" t="s">
        <v>285</v>
      </c>
      <c r="F7" s="507" t="s">
        <v>286</v>
      </c>
      <c r="G7" s="507" t="s">
        <v>6</v>
      </c>
    </row>
    <row r="8" spans="1:17" x14ac:dyDescent="0.2">
      <c r="A8" s="178">
        <v>214</v>
      </c>
      <c r="B8" s="179" t="s">
        <v>41</v>
      </c>
      <c r="C8" s="179" t="s">
        <v>21</v>
      </c>
      <c r="D8" s="179">
        <v>2023</v>
      </c>
      <c r="E8" s="180">
        <v>0.23</v>
      </c>
      <c r="F8" s="364">
        <v>0</v>
      </c>
      <c r="G8" s="182">
        <v>0.23</v>
      </c>
    </row>
    <row r="9" spans="1:17" x14ac:dyDescent="0.2">
      <c r="A9" s="178">
        <v>31</v>
      </c>
      <c r="B9" s="179" t="s">
        <v>50</v>
      </c>
      <c r="C9" s="179" t="s">
        <v>22</v>
      </c>
      <c r="D9" s="179">
        <v>2023</v>
      </c>
      <c r="E9" s="180">
        <v>0.15</v>
      </c>
      <c r="F9" s="364">
        <v>-0.03</v>
      </c>
      <c r="G9" s="182">
        <v>0.12</v>
      </c>
    </row>
    <row r="10" spans="1:17" x14ac:dyDescent="0.2">
      <c r="A10" s="178">
        <v>17</v>
      </c>
      <c r="B10" s="179" t="s">
        <v>51</v>
      </c>
      <c r="C10" s="179" t="s">
        <v>20</v>
      </c>
      <c r="D10" s="179">
        <v>2023</v>
      </c>
      <c r="E10" s="180">
        <v>0.28000000000000003</v>
      </c>
      <c r="F10" s="364">
        <v>-8.0000000000000016E-2</v>
      </c>
      <c r="G10" s="182">
        <v>0.2</v>
      </c>
    </row>
    <row r="11" spans="1:17" x14ac:dyDescent="0.2">
      <c r="A11" s="178">
        <v>16</v>
      </c>
      <c r="B11" s="179" t="s">
        <v>52</v>
      </c>
      <c r="C11" s="179" t="s">
        <v>22</v>
      </c>
      <c r="D11" s="179">
        <v>2023</v>
      </c>
      <c r="E11" s="180">
        <v>0.15</v>
      </c>
      <c r="F11" s="364">
        <v>-3.9999999999999994E-2</v>
      </c>
      <c r="G11" s="182">
        <v>0.11</v>
      </c>
    </row>
    <row r="12" spans="1:17" x14ac:dyDescent="0.2">
      <c r="A12" s="178">
        <v>225</v>
      </c>
      <c r="B12" s="179" t="s">
        <v>129</v>
      </c>
      <c r="C12" s="179" t="s">
        <v>20</v>
      </c>
      <c r="D12" s="179">
        <v>2023</v>
      </c>
      <c r="E12" s="180">
        <v>0.28000000000000003</v>
      </c>
      <c r="F12" s="364">
        <v>-8.0000000000000016E-2</v>
      </c>
      <c r="G12" s="182">
        <v>0.2</v>
      </c>
    </row>
    <row r="13" spans="1:17" x14ac:dyDescent="0.2">
      <c r="A13" s="178">
        <v>222</v>
      </c>
      <c r="B13" s="179" t="s">
        <v>248</v>
      </c>
      <c r="C13" s="179" t="s">
        <v>21</v>
      </c>
      <c r="D13" s="179">
        <v>2023</v>
      </c>
      <c r="E13" s="180">
        <v>0.23</v>
      </c>
      <c r="F13" s="364">
        <v>6.9999999999999979E-2</v>
      </c>
      <c r="G13" s="182">
        <v>0.3</v>
      </c>
    </row>
    <row r="14" spans="1:17" x14ac:dyDescent="0.2">
      <c r="A14" s="178">
        <v>142</v>
      </c>
      <c r="B14" s="179" t="s">
        <v>53</v>
      </c>
      <c r="C14" s="179" t="s">
        <v>20</v>
      </c>
      <c r="D14" s="179">
        <v>2023</v>
      </c>
      <c r="E14" s="180">
        <v>0.28000000000000003</v>
      </c>
      <c r="F14" s="364">
        <v>7.999999999999996E-2</v>
      </c>
      <c r="G14" s="182">
        <v>0.36</v>
      </c>
    </row>
    <row r="15" spans="1:17" x14ac:dyDescent="0.2">
      <c r="A15" s="178">
        <v>37</v>
      </c>
      <c r="B15" s="179" t="s">
        <v>54</v>
      </c>
      <c r="C15" s="179" t="s">
        <v>22</v>
      </c>
      <c r="D15" s="179">
        <v>2023</v>
      </c>
      <c r="E15" s="180">
        <v>0.15</v>
      </c>
      <c r="F15" s="364">
        <v>1.0000000000000009E-2</v>
      </c>
      <c r="G15" s="182">
        <v>0.16</v>
      </c>
    </row>
    <row r="16" spans="1:17" x14ac:dyDescent="0.2">
      <c r="A16" s="178">
        <v>210</v>
      </c>
      <c r="B16" s="179" t="s">
        <v>55</v>
      </c>
      <c r="C16" s="179" t="s">
        <v>21</v>
      </c>
      <c r="D16" s="179">
        <v>2023</v>
      </c>
      <c r="E16" s="180">
        <v>0.23</v>
      </c>
      <c r="F16" s="364">
        <v>-4.0000000000000008E-2</v>
      </c>
      <c r="G16" s="182">
        <v>0.19</v>
      </c>
    </row>
    <row r="17" spans="1:7" x14ac:dyDescent="0.2">
      <c r="A17" s="178">
        <v>39</v>
      </c>
      <c r="B17" s="179" t="s">
        <v>56</v>
      </c>
      <c r="C17" s="179" t="s">
        <v>20</v>
      </c>
      <c r="D17" s="179">
        <v>2023</v>
      </c>
      <c r="E17" s="180">
        <v>0.28000000000000003</v>
      </c>
      <c r="F17" s="364">
        <v>-9.0000000000000024E-2</v>
      </c>
      <c r="G17" s="182">
        <v>0.19</v>
      </c>
    </row>
    <row r="18" spans="1:7" x14ac:dyDescent="0.2">
      <c r="A18" s="178">
        <v>40</v>
      </c>
      <c r="B18" s="179" t="s">
        <v>57</v>
      </c>
      <c r="C18" s="179" t="s">
        <v>20</v>
      </c>
      <c r="D18" s="179">
        <v>2023</v>
      </c>
      <c r="E18" s="180">
        <v>0.28000000000000003</v>
      </c>
      <c r="F18" s="364">
        <v>-4.0000000000000036E-2</v>
      </c>
      <c r="G18" s="182">
        <v>0.24</v>
      </c>
    </row>
    <row r="19" spans="1:7" x14ac:dyDescent="0.2">
      <c r="A19" s="178">
        <v>41</v>
      </c>
      <c r="B19" s="179" t="s">
        <v>58</v>
      </c>
      <c r="C19" s="179" t="s">
        <v>21</v>
      </c>
      <c r="D19" s="179">
        <v>2023</v>
      </c>
      <c r="E19" s="180">
        <v>0.23</v>
      </c>
      <c r="F19" s="364">
        <v>-0.06</v>
      </c>
      <c r="G19" s="182">
        <v>0.17</v>
      </c>
    </row>
    <row r="20" spans="1:7" x14ac:dyDescent="0.2">
      <c r="A20" s="178">
        <v>215</v>
      </c>
      <c r="B20" s="179" t="s">
        <v>59</v>
      </c>
      <c r="C20" s="179" t="s">
        <v>21</v>
      </c>
      <c r="D20" s="179">
        <v>2023</v>
      </c>
      <c r="E20" s="180">
        <v>0.23</v>
      </c>
      <c r="F20" s="364">
        <v>-2.0000000000000018E-2</v>
      </c>
      <c r="G20" s="182">
        <v>0.21</v>
      </c>
    </row>
    <row r="21" spans="1:7" x14ac:dyDescent="0.2">
      <c r="A21" s="178">
        <v>45</v>
      </c>
      <c r="B21" s="179" t="s">
        <v>60</v>
      </c>
      <c r="C21" s="179" t="s">
        <v>20</v>
      </c>
      <c r="D21" s="179">
        <v>2023</v>
      </c>
      <c r="E21" s="180">
        <v>0.28000000000000003</v>
      </c>
      <c r="F21" s="364">
        <v>-6.0000000000000026E-2</v>
      </c>
      <c r="G21" s="182">
        <v>0.22</v>
      </c>
    </row>
    <row r="22" spans="1:7" x14ac:dyDescent="0.2">
      <c r="A22" s="178">
        <v>46</v>
      </c>
      <c r="B22" s="179" t="s">
        <v>61</v>
      </c>
      <c r="C22" s="179" t="s">
        <v>20</v>
      </c>
      <c r="D22" s="179">
        <v>2023</v>
      </c>
      <c r="E22" s="180">
        <v>0.28000000000000003</v>
      </c>
      <c r="F22" s="364">
        <v>-6.0000000000000026E-2</v>
      </c>
      <c r="G22" s="182">
        <v>0.22</v>
      </c>
    </row>
    <row r="23" spans="1:7" x14ac:dyDescent="0.2">
      <c r="A23" s="178">
        <v>212</v>
      </c>
      <c r="B23" s="179" t="s">
        <v>62</v>
      </c>
      <c r="C23" s="179" t="s">
        <v>21</v>
      </c>
      <c r="D23" s="179">
        <v>2023</v>
      </c>
      <c r="E23" s="180">
        <v>0.23</v>
      </c>
      <c r="F23" s="364">
        <v>0.03</v>
      </c>
      <c r="G23" s="182">
        <v>0.26</v>
      </c>
    </row>
    <row r="24" spans="1:7" x14ac:dyDescent="0.2">
      <c r="A24" s="178">
        <v>49</v>
      </c>
      <c r="B24" s="179" t="s">
        <v>63</v>
      </c>
      <c r="C24" s="179" t="s">
        <v>20</v>
      </c>
      <c r="D24" s="179">
        <v>2023</v>
      </c>
      <c r="E24" s="180">
        <v>0.28000000000000003</v>
      </c>
      <c r="F24" s="364">
        <v>-2.0000000000000018E-2</v>
      </c>
      <c r="G24" s="182">
        <v>0.26</v>
      </c>
    </row>
    <row r="25" spans="1:7" x14ac:dyDescent="0.2">
      <c r="A25" s="178">
        <v>227</v>
      </c>
      <c r="B25" s="179" t="s">
        <v>185</v>
      </c>
      <c r="C25" s="179" t="s">
        <v>20</v>
      </c>
      <c r="D25" s="179">
        <v>2023</v>
      </c>
      <c r="E25" s="180">
        <v>0.28000000000000003</v>
      </c>
      <c r="F25" s="364">
        <v>-4.0000000000000036E-2</v>
      </c>
      <c r="G25" s="182">
        <v>0.24</v>
      </c>
    </row>
    <row r="26" spans="1:7" x14ac:dyDescent="0.2">
      <c r="A26" s="178">
        <v>52</v>
      </c>
      <c r="B26" s="179" t="s">
        <v>64</v>
      </c>
      <c r="C26" s="179" t="s">
        <v>22</v>
      </c>
      <c r="D26" s="179">
        <v>2023</v>
      </c>
      <c r="E26" s="180">
        <v>0.15</v>
      </c>
      <c r="F26" s="364">
        <v>-0.03</v>
      </c>
      <c r="G26" s="182">
        <v>0.12</v>
      </c>
    </row>
    <row r="27" spans="1:7" x14ac:dyDescent="0.2">
      <c r="A27" s="178">
        <v>18</v>
      </c>
      <c r="B27" s="179" t="s">
        <v>65</v>
      </c>
      <c r="C27" s="179" t="s">
        <v>21</v>
      </c>
      <c r="D27" s="179">
        <v>2023</v>
      </c>
      <c r="E27" s="180">
        <v>0.23</v>
      </c>
      <c r="F27" s="364">
        <v>-4.0000000000000008E-2</v>
      </c>
      <c r="G27" s="182">
        <v>0.19</v>
      </c>
    </row>
    <row r="28" spans="1:7" x14ac:dyDescent="0.2">
      <c r="A28" s="178">
        <v>53</v>
      </c>
      <c r="B28" s="179" t="s">
        <v>66</v>
      </c>
      <c r="C28" s="179" t="s">
        <v>21</v>
      </c>
      <c r="D28" s="179">
        <v>2023</v>
      </c>
      <c r="E28" s="180">
        <v>0.23</v>
      </c>
      <c r="F28" s="364">
        <v>0.03</v>
      </c>
      <c r="G28" s="182">
        <v>0.26</v>
      </c>
    </row>
    <row r="29" spans="1:7" x14ac:dyDescent="0.2">
      <c r="A29" s="178">
        <v>55</v>
      </c>
      <c r="B29" s="179" t="s">
        <v>67</v>
      </c>
      <c r="C29" s="179" t="s">
        <v>20</v>
      </c>
      <c r="D29" s="179">
        <v>2023</v>
      </c>
      <c r="E29" s="180">
        <v>0.28000000000000003</v>
      </c>
      <c r="F29" s="364">
        <v>-4.0000000000000036E-2</v>
      </c>
      <c r="G29" s="182">
        <v>0.24</v>
      </c>
    </row>
    <row r="30" spans="1:7" x14ac:dyDescent="0.2">
      <c r="A30" s="178">
        <v>54</v>
      </c>
      <c r="B30" s="179" t="s">
        <v>68</v>
      </c>
      <c r="C30" s="179" t="s">
        <v>22</v>
      </c>
      <c r="D30" s="179">
        <v>2023</v>
      </c>
      <c r="E30" s="180">
        <v>0.15</v>
      </c>
      <c r="F30" s="364">
        <v>-3.9999999999999994E-2</v>
      </c>
      <c r="G30" s="182">
        <v>0.11</v>
      </c>
    </row>
    <row r="31" spans="1:7" x14ac:dyDescent="0.2">
      <c r="A31" s="178">
        <v>57</v>
      </c>
      <c r="B31" s="179" t="s">
        <v>69</v>
      </c>
      <c r="C31" s="179" t="s">
        <v>20</v>
      </c>
      <c r="D31" s="179">
        <v>2023</v>
      </c>
      <c r="E31" s="180">
        <v>0.28000000000000003</v>
      </c>
      <c r="F31" s="364">
        <v>-6.0000000000000026E-2</v>
      </c>
      <c r="G31" s="182">
        <v>0.22</v>
      </c>
    </row>
    <row r="32" spans="1:7" x14ac:dyDescent="0.2">
      <c r="A32" s="178">
        <v>56</v>
      </c>
      <c r="B32" s="179" t="s">
        <v>70</v>
      </c>
      <c r="C32" s="179" t="s">
        <v>22</v>
      </c>
      <c r="D32" s="179">
        <v>2023</v>
      </c>
      <c r="E32" s="180">
        <v>0.15</v>
      </c>
      <c r="F32" s="364">
        <v>-9.9999999999999811E-3</v>
      </c>
      <c r="G32" s="182">
        <v>0.14000000000000001</v>
      </c>
    </row>
    <row r="33" spans="1:7" x14ac:dyDescent="0.2">
      <c r="A33" s="178">
        <v>58</v>
      </c>
      <c r="B33" s="179" t="s">
        <v>71</v>
      </c>
      <c r="C33" s="179" t="s">
        <v>21</v>
      </c>
      <c r="D33" s="179">
        <v>2023</v>
      </c>
      <c r="E33" s="180">
        <v>0.23</v>
      </c>
      <c r="F33" s="364">
        <v>-2.0000000000000018E-2</v>
      </c>
      <c r="G33" s="182">
        <v>0.21</v>
      </c>
    </row>
    <row r="34" spans="1:7" x14ac:dyDescent="0.2">
      <c r="A34" s="178">
        <v>60</v>
      </c>
      <c r="B34" s="179" t="s">
        <v>174</v>
      </c>
      <c r="C34" s="179" t="s">
        <v>20</v>
      </c>
      <c r="D34" s="179">
        <v>2023</v>
      </c>
      <c r="E34" s="180">
        <v>0.28000000000000003</v>
      </c>
      <c r="F34" s="364">
        <v>-4.0000000000000036E-2</v>
      </c>
      <c r="G34" s="182">
        <v>0.24</v>
      </c>
    </row>
    <row r="35" spans="1:7" x14ac:dyDescent="0.2">
      <c r="A35" s="178">
        <v>62</v>
      </c>
      <c r="B35" s="179" t="s">
        <v>72</v>
      </c>
      <c r="C35" s="179" t="s">
        <v>21</v>
      </c>
      <c r="D35" s="179">
        <v>2023</v>
      </c>
      <c r="E35" s="180">
        <v>0.23</v>
      </c>
      <c r="F35" s="364">
        <v>-0.06</v>
      </c>
      <c r="G35" s="182">
        <v>0.17</v>
      </c>
    </row>
    <row r="36" spans="1:7" x14ac:dyDescent="0.2">
      <c r="A36" s="178">
        <v>63</v>
      </c>
      <c r="B36" s="179" t="s">
        <v>73</v>
      </c>
      <c r="C36" s="179" t="s">
        <v>20</v>
      </c>
      <c r="D36" s="179">
        <v>2023</v>
      </c>
      <c r="E36" s="180">
        <v>0.28000000000000003</v>
      </c>
      <c r="F36" s="364">
        <v>0</v>
      </c>
      <c r="G36" s="182">
        <v>0.28000000000000003</v>
      </c>
    </row>
    <row r="37" spans="1:7" x14ac:dyDescent="0.2">
      <c r="A37" s="178">
        <v>4</v>
      </c>
      <c r="B37" s="179" t="s">
        <v>74</v>
      </c>
      <c r="C37" s="179" t="s">
        <v>20</v>
      </c>
      <c r="D37" s="179">
        <v>2023</v>
      </c>
      <c r="E37" s="180">
        <v>0.28000000000000003</v>
      </c>
      <c r="F37" s="364">
        <v>3.999999999999998E-2</v>
      </c>
      <c r="G37" s="182">
        <v>0.32</v>
      </c>
    </row>
    <row r="38" spans="1:7" x14ac:dyDescent="0.2">
      <c r="A38" s="178">
        <v>20</v>
      </c>
      <c r="B38" s="179" t="s">
        <v>75</v>
      </c>
      <c r="C38" s="179" t="s">
        <v>22</v>
      </c>
      <c r="D38" s="179">
        <v>2023</v>
      </c>
      <c r="E38" s="180">
        <v>0.15</v>
      </c>
      <c r="F38" s="364">
        <v>1.0000000000000009E-2</v>
      </c>
      <c r="G38" s="182">
        <v>0.16</v>
      </c>
    </row>
    <row r="39" spans="1:7" x14ac:dyDescent="0.2">
      <c r="A39" s="178">
        <v>146</v>
      </c>
      <c r="B39" s="179" t="s">
        <v>76</v>
      </c>
      <c r="C39" s="179" t="s">
        <v>20</v>
      </c>
      <c r="D39" s="179">
        <v>2023</v>
      </c>
      <c r="E39" s="180">
        <v>0.28000000000000003</v>
      </c>
      <c r="F39" s="364">
        <v>-9.0000000000000024E-2</v>
      </c>
      <c r="G39" s="182">
        <v>0.19</v>
      </c>
    </row>
    <row r="40" spans="1:7" x14ac:dyDescent="0.2">
      <c r="A40" s="178">
        <v>65</v>
      </c>
      <c r="B40" s="179" t="s">
        <v>77</v>
      </c>
      <c r="C40" s="179" t="s">
        <v>20</v>
      </c>
      <c r="D40" s="179">
        <v>2023</v>
      </c>
      <c r="E40" s="180">
        <v>0.28000000000000003</v>
      </c>
      <c r="F40" s="364">
        <v>-6.0000000000000026E-2</v>
      </c>
      <c r="G40" s="182">
        <v>0.22</v>
      </c>
    </row>
    <row r="41" spans="1:7" x14ac:dyDescent="0.2">
      <c r="A41" s="178">
        <v>70</v>
      </c>
      <c r="B41" s="179" t="s">
        <v>78</v>
      </c>
      <c r="C41" s="179" t="s">
        <v>20</v>
      </c>
      <c r="D41" s="179">
        <v>2023</v>
      </c>
      <c r="E41" s="180">
        <v>0.28000000000000003</v>
      </c>
      <c r="F41" s="364">
        <v>-8.0000000000000016E-2</v>
      </c>
      <c r="G41" s="182">
        <v>0.2</v>
      </c>
    </row>
    <row r="42" spans="1:7" x14ac:dyDescent="0.2">
      <c r="A42" s="178">
        <v>72</v>
      </c>
      <c r="B42" s="179" t="s">
        <v>79</v>
      </c>
      <c r="C42" s="179" t="s">
        <v>22</v>
      </c>
      <c r="D42" s="179">
        <v>2023</v>
      </c>
      <c r="E42" s="180">
        <v>0.15</v>
      </c>
      <c r="F42" s="364">
        <v>0</v>
      </c>
      <c r="G42" s="182">
        <v>0.15</v>
      </c>
    </row>
    <row r="43" spans="1:7" x14ac:dyDescent="0.2">
      <c r="A43" s="178">
        <v>223</v>
      </c>
      <c r="B43" s="179" t="s">
        <v>80</v>
      </c>
      <c r="C43" s="179" t="s">
        <v>20</v>
      </c>
      <c r="D43" s="179">
        <v>2023</v>
      </c>
      <c r="E43" s="180">
        <v>0.28000000000000003</v>
      </c>
      <c r="F43" s="364">
        <v>-8.0000000000000016E-2</v>
      </c>
      <c r="G43" s="182">
        <v>0.2</v>
      </c>
    </row>
    <row r="44" spans="1:7" x14ac:dyDescent="0.2">
      <c r="A44" s="178">
        <v>228</v>
      </c>
      <c r="B44" s="179" t="s">
        <v>186</v>
      </c>
      <c r="C44" s="179" t="s">
        <v>20</v>
      </c>
      <c r="D44" s="179">
        <v>2023</v>
      </c>
      <c r="E44" s="180">
        <v>0.28000000000000003</v>
      </c>
      <c r="F44" s="364">
        <v>-9.0000000000000024E-2</v>
      </c>
      <c r="G44" s="182">
        <v>0.19</v>
      </c>
    </row>
    <row r="45" spans="1:7" x14ac:dyDescent="0.2">
      <c r="A45" s="178">
        <v>78</v>
      </c>
      <c r="B45" s="179" t="s">
        <v>81</v>
      </c>
      <c r="C45" s="179" t="s">
        <v>21</v>
      </c>
      <c r="D45" s="179">
        <v>2023</v>
      </c>
      <c r="E45" s="180">
        <v>0.23</v>
      </c>
      <c r="F45" s="364">
        <v>-4.0000000000000008E-2</v>
      </c>
      <c r="G45" s="182">
        <v>0.19</v>
      </c>
    </row>
    <row r="46" spans="1:7" x14ac:dyDescent="0.2">
      <c r="A46" s="178">
        <v>79</v>
      </c>
      <c r="B46" s="179" t="s">
        <v>82</v>
      </c>
      <c r="C46" s="179" t="s">
        <v>20</v>
      </c>
      <c r="D46" s="179">
        <v>2023</v>
      </c>
      <c r="E46" s="180">
        <v>0.28000000000000003</v>
      </c>
      <c r="F46" s="364">
        <v>-8.0000000000000016E-2</v>
      </c>
      <c r="G46" s="182">
        <v>0.2</v>
      </c>
    </row>
    <row r="47" spans="1:7" x14ac:dyDescent="0.2">
      <c r="A47" s="178">
        <v>81</v>
      </c>
      <c r="B47" s="179" t="s">
        <v>83</v>
      </c>
      <c r="C47" s="179" t="s">
        <v>20</v>
      </c>
      <c r="D47" s="179">
        <v>2023</v>
      </c>
      <c r="E47" s="180">
        <v>0.28000000000000003</v>
      </c>
      <c r="F47" s="364">
        <v>-8.0000000000000016E-2</v>
      </c>
      <c r="G47" s="182">
        <v>0.2</v>
      </c>
    </row>
    <row r="48" spans="1:7" x14ac:dyDescent="0.2">
      <c r="A48" s="178">
        <v>80</v>
      </c>
      <c r="B48" s="179" t="s">
        <v>84</v>
      </c>
      <c r="C48" s="179" t="s">
        <v>22</v>
      </c>
      <c r="D48" s="179">
        <v>2023</v>
      </c>
      <c r="E48" s="180">
        <v>0.15</v>
      </c>
      <c r="F48" s="364">
        <v>-4.9999999999999989E-2</v>
      </c>
      <c r="G48" s="182">
        <v>0.1</v>
      </c>
    </row>
    <row r="49" spans="1:7" x14ac:dyDescent="0.2">
      <c r="A49" s="178">
        <v>83</v>
      </c>
      <c r="B49" s="179" t="s">
        <v>85</v>
      </c>
      <c r="C49" s="179" t="s">
        <v>21</v>
      </c>
      <c r="D49" s="179">
        <v>2023</v>
      </c>
      <c r="E49" s="180">
        <v>0.23</v>
      </c>
      <c r="F49" s="364">
        <v>-4.0000000000000008E-2</v>
      </c>
      <c r="G49" s="182">
        <v>0.19</v>
      </c>
    </row>
    <row r="50" spans="1:7" x14ac:dyDescent="0.2">
      <c r="A50" s="178">
        <v>86</v>
      </c>
      <c r="B50" s="179" t="s">
        <v>86</v>
      </c>
      <c r="C50" s="179" t="s">
        <v>20</v>
      </c>
      <c r="D50" s="179">
        <v>2023</v>
      </c>
      <c r="E50" s="180">
        <v>0.28000000000000003</v>
      </c>
      <c r="F50" s="364">
        <v>0.06</v>
      </c>
      <c r="G50" s="182">
        <v>0.34</v>
      </c>
    </row>
    <row r="51" spans="1:7" x14ac:dyDescent="0.2">
      <c r="A51" s="178">
        <v>85</v>
      </c>
      <c r="B51" s="179" t="s">
        <v>87</v>
      </c>
      <c r="C51" s="179" t="s">
        <v>22</v>
      </c>
      <c r="D51" s="179">
        <v>2023</v>
      </c>
      <c r="E51" s="180">
        <v>0.15</v>
      </c>
      <c r="F51" s="364">
        <v>0.03</v>
      </c>
      <c r="G51" s="182">
        <v>0.18</v>
      </c>
    </row>
    <row r="52" spans="1:7" x14ac:dyDescent="0.2">
      <c r="A52" s="178">
        <v>88</v>
      </c>
      <c r="B52" s="179" t="s">
        <v>88</v>
      </c>
      <c r="C52" s="179" t="s">
        <v>20</v>
      </c>
      <c r="D52" s="179">
        <v>2023</v>
      </c>
      <c r="E52" s="180">
        <v>0.28000000000000003</v>
      </c>
      <c r="F52" s="364">
        <v>-4.0000000000000036E-2</v>
      </c>
      <c r="G52" s="182">
        <v>0.24</v>
      </c>
    </row>
    <row r="53" spans="1:7" x14ac:dyDescent="0.2">
      <c r="A53" s="178">
        <v>221</v>
      </c>
      <c r="B53" s="179" t="s">
        <v>89</v>
      </c>
      <c r="C53" s="179" t="s">
        <v>20</v>
      </c>
      <c r="D53" s="179">
        <v>2023</v>
      </c>
      <c r="E53" s="180">
        <v>0.28000000000000003</v>
      </c>
      <c r="F53" s="364">
        <v>-6.0000000000000026E-2</v>
      </c>
      <c r="G53" s="182">
        <v>0.22</v>
      </c>
    </row>
    <row r="54" spans="1:7" x14ac:dyDescent="0.2">
      <c r="A54" s="178">
        <v>91</v>
      </c>
      <c r="B54" s="179" t="s">
        <v>90</v>
      </c>
      <c r="C54" s="179" t="s">
        <v>20</v>
      </c>
      <c r="D54" s="179">
        <v>2023</v>
      </c>
      <c r="E54" s="180">
        <v>0.28000000000000003</v>
      </c>
      <c r="F54" s="364">
        <v>-4.0000000000000036E-2</v>
      </c>
      <c r="G54" s="182">
        <v>0.24</v>
      </c>
    </row>
    <row r="55" spans="1:7" x14ac:dyDescent="0.2">
      <c r="A55" s="178">
        <v>92</v>
      </c>
      <c r="B55" s="179" t="s">
        <v>91</v>
      </c>
      <c r="C55" s="179" t="s">
        <v>20</v>
      </c>
      <c r="D55" s="179">
        <v>2023</v>
      </c>
      <c r="E55" s="180">
        <v>0.28000000000000003</v>
      </c>
      <c r="F55" s="364">
        <v>-2.0000000000000018E-2</v>
      </c>
      <c r="G55" s="182">
        <v>0.26</v>
      </c>
    </row>
    <row r="56" spans="1:7" x14ac:dyDescent="0.2">
      <c r="A56" s="178">
        <v>93</v>
      </c>
      <c r="B56" s="179" t="s">
        <v>92</v>
      </c>
      <c r="C56" s="179" t="s">
        <v>20</v>
      </c>
      <c r="D56" s="179">
        <v>2023</v>
      </c>
      <c r="E56" s="180">
        <v>0.28000000000000003</v>
      </c>
      <c r="F56" s="364">
        <v>-2.0000000000000018E-2</v>
      </c>
      <c r="G56" s="182">
        <v>0.26</v>
      </c>
    </row>
    <row r="57" spans="1:7" x14ac:dyDescent="0.2">
      <c r="A57" s="178">
        <v>96</v>
      </c>
      <c r="B57" s="179" t="s">
        <v>93</v>
      </c>
      <c r="C57" s="179" t="s">
        <v>20</v>
      </c>
      <c r="D57" s="179">
        <v>2023</v>
      </c>
      <c r="E57" s="180">
        <v>0.28000000000000003</v>
      </c>
      <c r="F57" s="364">
        <v>0.06</v>
      </c>
      <c r="G57" s="182">
        <v>0.34</v>
      </c>
    </row>
    <row r="58" spans="1:7" x14ac:dyDescent="0.2">
      <c r="A58" s="178">
        <v>99</v>
      </c>
      <c r="B58" s="179" t="s">
        <v>94</v>
      </c>
      <c r="C58" s="179" t="s">
        <v>20</v>
      </c>
      <c r="D58" s="179">
        <v>2023</v>
      </c>
      <c r="E58" s="180">
        <v>0.28000000000000003</v>
      </c>
      <c r="F58" s="364">
        <v>-4.0000000000000036E-2</v>
      </c>
      <c r="G58" s="182">
        <v>0.24</v>
      </c>
    </row>
    <row r="59" spans="1:7" x14ac:dyDescent="0.2">
      <c r="A59" s="178">
        <v>98</v>
      </c>
      <c r="B59" s="179" t="s">
        <v>95</v>
      </c>
      <c r="C59" s="179" t="s">
        <v>22</v>
      </c>
      <c r="D59" s="179">
        <v>2023</v>
      </c>
      <c r="E59" s="180">
        <v>0.15</v>
      </c>
      <c r="F59" s="364">
        <v>-3.9999999999999994E-2</v>
      </c>
      <c r="G59" s="182">
        <v>0.11</v>
      </c>
    </row>
    <row r="60" spans="1:7" x14ac:dyDescent="0.2">
      <c r="A60" s="178">
        <v>100</v>
      </c>
      <c r="B60" s="179" t="s">
        <v>96</v>
      </c>
      <c r="C60" s="179" t="s">
        <v>21</v>
      </c>
      <c r="D60" s="179">
        <v>2023</v>
      </c>
      <c r="E60" s="180">
        <v>0.23</v>
      </c>
      <c r="F60" s="364">
        <v>0</v>
      </c>
      <c r="G60" s="182">
        <v>0.23</v>
      </c>
    </row>
    <row r="61" spans="1:7" x14ac:dyDescent="0.2">
      <c r="A61" s="178">
        <v>101</v>
      </c>
      <c r="B61" s="179" t="s">
        <v>97</v>
      </c>
      <c r="C61" s="179" t="s">
        <v>20</v>
      </c>
      <c r="D61" s="179">
        <v>2023</v>
      </c>
      <c r="E61" s="180">
        <v>0.28000000000000003</v>
      </c>
      <c r="F61" s="364">
        <v>-2.0000000000000018E-2</v>
      </c>
      <c r="G61" s="182">
        <v>0.26</v>
      </c>
    </row>
    <row r="62" spans="1:7" x14ac:dyDescent="0.2">
      <c r="A62" s="178">
        <v>229</v>
      </c>
      <c r="B62" s="179" t="s">
        <v>200</v>
      </c>
      <c r="C62" s="179" t="s">
        <v>21</v>
      </c>
      <c r="D62" s="179">
        <v>2023</v>
      </c>
      <c r="E62" s="180">
        <v>0.23</v>
      </c>
      <c r="F62" s="364">
        <v>-7.0000000000000007E-2</v>
      </c>
      <c r="G62" s="182">
        <v>0.16</v>
      </c>
    </row>
    <row r="63" spans="1:7" x14ac:dyDescent="0.2">
      <c r="A63" s="178">
        <v>209</v>
      </c>
      <c r="B63" s="179" t="s">
        <v>98</v>
      </c>
      <c r="C63" s="179" t="s">
        <v>21</v>
      </c>
      <c r="D63" s="179">
        <v>2023</v>
      </c>
      <c r="E63" s="180">
        <v>0.23</v>
      </c>
      <c r="F63" s="364">
        <v>-0.06</v>
      </c>
      <c r="G63" s="182">
        <v>0.17</v>
      </c>
    </row>
    <row r="64" spans="1:7" x14ac:dyDescent="0.2">
      <c r="A64" s="178">
        <v>103</v>
      </c>
      <c r="B64" s="179" t="s">
        <v>99</v>
      </c>
      <c r="C64" s="179" t="s">
        <v>20</v>
      </c>
      <c r="D64" s="179">
        <v>2023</v>
      </c>
      <c r="E64" s="180">
        <v>0.28000000000000003</v>
      </c>
      <c r="F64" s="364">
        <v>-6.0000000000000026E-2</v>
      </c>
      <c r="G64" s="182">
        <v>0.22</v>
      </c>
    </row>
    <row r="65" spans="1:7" x14ac:dyDescent="0.2">
      <c r="A65" s="178">
        <v>104</v>
      </c>
      <c r="B65" s="179" t="s">
        <v>100</v>
      </c>
      <c r="C65" s="179" t="s">
        <v>20</v>
      </c>
      <c r="D65" s="179">
        <v>2023</v>
      </c>
      <c r="E65" s="180">
        <v>0.28000000000000003</v>
      </c>
      <c r="F65" s="364">
        <v>-8.0000000000000016E-2</v>
      </c>
      <c r="G65" s="182">
        <v>0.2</v>
      </c>
    </row>
    <row r="66" spans="1:7" x14ac:dyDescent="0.2">
      <c r="A66" s="178">
        <v>105</v>
      </c>
      <c r="B66" s="179" t="s">
        <v>101</v>
      </c>
      <c r="C66" s="179" t="s">
        <v>20</v>
      </c>
      <c r="D66" s="179">
        <v>2023</v>
      </c>
      <c r="E66" s="180">
        <v>0.28000000000000003</v>
      </c>
      <c r="F66" s="364">
        <v>-9.0000000000000024E-2</v>
      </c>
      <c r="G66" s="182">
        <v>0.19</v>
      </c>
    </row>
    <row r="67" spans="1:7" x14ac:dyDescent="0.2">
      <c r="A67" s="178">
        <v>106</v>
      </c>
      <c r="B67" s="179" t="s">
        <v>102</v>
      </c>
      <c r="C67" s="179" t="s">
        <v>20</v>
      </c>
      <c r="D67" s="179">
        <v>2023</v>
      </c>
      <c r="E67" s="180">
        <v>0.28000000000000003</v>
      </c>
      <c r="F67" s="364">
        <v>-2.0000000000000018E-2</v>
      </c>
      <c r="G67" s="182">
        <v>0.26</v>
      </c>
    </row>
    <row r="68" spans="1:7" x14ac:dyDescent="0.2">
      <c r="A68" s="178">
        <v>220</v>
      </c>
      <c r="B68" s="179" t="s">
        <v>103</v>
      </c>
      <c r="C68" s="179" t="s">
        <v>20</v>
      </c>
      <c r="D68" s="179">
        <v>2023</v>
      </c>
      <c r="E68" s="180">
        <v>0.28000000000000003</v>
      </c>
      <c r="F68" s="364">
        <v>-4.0000000000000036E-2</v>
      </c>
      <c r="G68" s="182">
        <v>0.24</v>
      </c>
    </row>
    <row r="69" spans="1:7" x14ac:dyDescent="0.2">
      <c r="A69" s="178">
        <v>213</v>
      </c>
      <c r="B69" s="179" t="s">
        <v>175</v>
      </c>
      <c r="C69" s="179" t="s">
        <v>21</v>
      </c>
      <c r="D69" s="179">
        <v>2023</v>
      </c>
      <c r="E69" s="180">
        <v>0.23</v>
      </c>
      <c r="F69" s="364">
        <v>0.03</v>
      </c>
      <c r="G69" s="182">
        <v>0.26</v>
      </c>
    </row>
    <row r="70" spans="1:7" x14ac:dyDescent="0.2">
      <c r="A70" s="178">
        <v>230</v>
      </c>
      <c r="B70" s="179" t="s">
        <v>230</v>
      </c>
      <c r="C70" s="179" t="s">
        <v>21</v>
      </c>
      <c r="D70" s="179">
        <v>2023</v>
      </c>
      <c r="E70" s="180">
        <v>0.23</v>
      </c>
      <c r="F70" s="364">
        <v>5.0000000000000017E-2</v>
      </c>
      <c r="G70" s="182">
        <v>0.28000000000000003</v>
      </c>
    </row>
    <row r="71" spans="1:7" x14ac:dyDescent="0.2">
      <c r="A71" s="178">
        <v>108</v>
      </c>
      <c r="B71" s="179" t="s">
        <v>104</v>
      </c>
      <c r="C71" s="179" t="s">
        <v>20</v>
      </c>
      <c r="D71" s="179">
        <v>2023</v>
      </c>
      <c r="E71" s="180">
        <v>0.28000000000000003</v>
      </c>
      <c r="F71" s="364">
        <v>8.9999999999999969E-2</v>
      </c>
      <c r="G71" s="182">
        <v>0.37</v>
      </c>
    </row>
    <row r="72" spans="1:7" x14ac:dyDescent="0.2">
      <c r="A72" s="178">
        <v>107</v>
      </c>
      <c r="B72" s="179" t="s">
        <v>105</v>
      </c>
      <c r="C72" s="179" t="s">
        <v>22</v>
      </c>
      <c r="D72" s="179">
        <v>2023</v>
      </c>
      <c r="E72" s="180">
        <v>0.15</v>
      </c>
      <c r="F72" s="364">
        <v>2.0000000000000018E-2</v>
      </c>
      <c r="G72" s="182">
        <v>0.17</v>
      </c>
    </row>
    <row r="73" spans="1:7" x14ac:dyDescent="0.2">
      <c r="A73" s="178">
        <v>109</v>
      </c>
      <c r="B73" s="179" t="s">
        <v>106</v>
      </c>
      <c r="C73" s="179" t="s">
        <v>20</v>
      </c>
      <c r="D73" s="179">
        <v>2023</v>
      </c>
      <c r="E73" s="180">
        <v>0.28000000000000003</v>
      </c>
      <c r="F73" s="364">
        <v>-8.0000000000000016E-2</v>
      </c>
      <c r="G73" s="182">
        <v>0.2</v>
      </c>
    </row>
    <row r="74" spans="1:7" x14ac:dyDescent="0.2">
      <c r="A74" s="178">
        <v>111</v>
      </c>
      <c r="B74" s="179" t="s">
        <v>107</v>
      </c>
      <c r="C74" s="179" t="s">
        <v>20</v>
      </c>
      <c r="D74" s="179">
        <v>2023</v>
      </c>
      <c r="E74" s="180">
        <v>0.28000000000000003</v>
      </c>
      <c r="F74" s="364">
        <v>0.06</v>
      </c>
      <c r="G74" s="182">
        <v>0.34</v>
      </c>
    </row>
    <row r="75" spans="1:7" x14ac:dyDescent="0.2">
      <c r="A75" s="178">
        <v>110</v>
      </c>
      <c r="B75" s="179" t="s">
        <v>108</v>
      </c>
      <c r="C75" s="179" t="s">
        <v>22</v>
      </c>
      <c r="D75" s="179">
        <v>2023</v>
      </c>
      <c r="E75" s="180">
        <v>0.15</v>
      </c>
      <c r="F75" s="364">
        <v>0.03</v>
      </c>
      <c r="G75" s="182">
        <v>0.18</v>
      </c>
    </row>
    <row r="76" spans="1:7" x14ac:dyDescent="0.2">
      <c r="A76" s="178">
        <v>112</v>
      </c>
      <c r="B76" s="179" t="s">
        <v>109</v>
      </c>
      <c r="C76" s="179" t="s">
        <v>20</v>
      </c>
      <c r="D76" s="179">
        <v>2023</v>
      </c>
      <c r="E76" s="180">
        <v>0.28000000000000003</v>
      </c>
      <c r="F76" s="364">
        <v>-6.0000000000000026E-2</v>
      </c>
      <c r="G76" s="182">
        <v>0.22</v>
      </c>
    </row>
    <row r="77" spans="1:7" x14ac:dyDescent="0.2">
      <c r="A77" s="178">
        <v>113</v>
      </c>
      <c r="B77" s="179" t="s">
        <v>110</v>
      </c>
      <c r="C77" s="179" t="s">
        <v>20</v>
      </c>
      <c r="D77" s="179">
        <v>2023</v>
      </c>
      <c r="E77" s="180">
        <v>0.28000000000000003</v>
      </c>
      <c r="F77" s="364">
        <v>3.999999999999998E-2</v>
      </c>
      <c r="G77" s="182">
        <v>0.32</v>
      </c>
    </row>
    <row r="78" spans="1:7" x14ac:dyDescent="0.2">
      <c r="A78" s="178">
        <v>119</v>
      </c>
      <c r="B78" s="179" t="s">
        <v>249</v>
      </c>
      <c r="C78" s="179" t="s">
        <v>21</v>
      </c>
      <c r="D78" s="179">
        <v>2023</v>
      </c>
      <c r="E78" s="180">
        <v>0.23</v>
      </c>
      <c r="F78" s="364">
        <v>1.999999999999999E-2</v>
      </c>
      <c r="G78" s="182">
        <v>0.25</v>
      </c>
    </row>
    <row r="79" spans="1:7" x14ac:dyDescent="0.2">
      <c r="A79" s="178">
        <v>122</v>
      </c>
      <c r="B79" s="179" t="s">
        <v>111</v>
      </c>
      <c r="C79" s="179" t="s">
        <v>20</v>
      </c>
      <c r="D79" s="179">
        <v>2023</v>
      </c>
      <c r="E79" s="180">
        <v>0.28000000000000003</v>
      </c>
      <c r="F79" s="364">
        <v>-6.0000000000000026E-2</v>
      </c>
      <c r="G79" s="182">
        <v>0.22</v>
      </c>
    </row>
    <row r="80" spans="1:7" x14ac:dyDescent="0.2">
      <c r="A80" s="178">
        <v>123</v>
      </c>
      <c r="B80" s="179" t="s">
        <v>112</v>
      </c>
      <c r="C80" s="179" t="s">
        <v>20</v>
      </c>
      <c r="D80" s="179">
        <v>2023</v>
      </c>
      <c r="E80" s="180">
        <v>0.28000000000000003</v>
      </c>
      <c r="F80" s="364">
        <v>-2.0000000000000018E-2</v>
      </c>
      <c r="G80" s="182">
        <v>0.26</v>
      </c>
    </row>
    <row r="81" spans="1:7" x14ac:dyDescent="0.2">
      <c r="A81" s="178">
        <v>24</v>
      </c>
      <c r="B81" s="179" t="s">
        <v>113</v>
      </c>
      <c r="C81" s="179" t="s">
        <v>22</v>
      </c>
      <c r="D81" s="179">
        <v>2023</v>
      </c>
      <c r="E81" s="180">
        <v>0.15</v>
      </c>
      <c r="F81" s="364">
        <v>-9.9999999999999811E-3</v>
      </c>
      <c r="G81" s="182">
        <v>0.14000000000000001</v>
      </c>
    </row>
    <row r="82" spans="1:7" x14ac:dyDescent="0.2">
      <c r="A82" s="178">
        <v>124</v>
      </c>
      <c r="B82" s="179" t="s">
        <v>114</v>
      </c>
      <c r="C82" s="179" t="s">
        <v>20</v>
      </c>
      <c r="D82" s="179">
        <v>2023</v>
      </c>
      <c r="E82" s="180">
        <v>0.28000000000000003</v>
      </c>
      <c r="F82" s="364">
        <v>-6.0000000000000026E-2</v>
      </c>
      <c r="G82" s="182">
        <v>0.22</v>
      </c>
    </row>
    <row r="83" spans="1:7" x14ac:dyDescent="0.2">
      <c r="A83" s="178">
        <v>28</v>
      </c>
      <c r="B83" s="179" t="s">
        <v>115</v>
      </c>
      <c r="C83" s="179" t="s">
        <v>21</v>
      </c>
      <c r="D83" s="179">
        <v>2023</v>
      </c>
      <c r="E83" s="180">
        <v>0.23</v>
      </c>
      <c r="F83" s="364">
        <v>-4.0000000000000008E-2</v>
      </c>
      <c r="G83" s="182">
        <v>0.19</v>
      </c>
    </row>
    <row r="84" spans="1:7" x14ac:dyDescent="0.2">
      <c r="A84" s="178">
        <v>127</v>
      </c>
      <c r="B84" s="179" t="s">
        <v>116</v>
      </c>
      <c r="C84" s="179" t="s">
        <v>20</v>
      </c>
      <c r="D84" s="179">
        <v>2023</v>
      </c>
      <c r="E84" s="180">
        <v>0.28000000000000003</v>
      </c>
      <c r="F84" s="364">
        <v>-9.0000000000000024E-2</v>
      </c>
      <c r="G84" s="182">
        <v>0.19</v>
      </c>
    </row>
    <row r="85" spans="1:7" x14ac:dyDescent="0.2">
      <c r="A85" s="178">
        <v>128</v>
      </c>
      <c r="B85" s="179" t="s">
        <v>117</v>
      </c>
      <c r="C85" s="179" t="s">
        <v>20</v>
      </c>
      <c r="D85" s="179">
        <v>2023</v>
      </c>
      <c r="E85" s="180">
        <v>0.28000000000000003</v>
      </c>
      <c r="F85" s="364">
        <v>-2.0000000000000018E-2</v>
      </c>
      <c r="G85" s="182">
        <v>0.26</v>
      </c>
    </row>
    <row r="86" spans="1:7" x14ac:dyDescent="0.2">
      <c r="A86" s="178">
        <v>224</v>
      </c>
      <c r="B86" s="179" t="s">
        <v>130</v>
      </c>
      <c r="C86" s="179" t="s">
        <v>20</v>
      </c>
      <c r="D86" s="179">
        <v>2023</v>
      </c>
      <c r="E86" s="180">
        <v>0.28000000000000003</v>
      </c>
      <c r="F86" s="364">
        <v>-9.0000000000000024E-2</v>
      </c>
      <c r="G86" s="182">
        <v>0.19</v>
      </c>
    </row>
    <row r="87" spans="1:7" x14ac:dyDescent="0.2">
      <c r="A87" s="178">
        <v>130</v>
      </c>
      <c r="B87" s="179" t="s">
        <v>118</v>
      </c>
      <c r="C87" s="179" t="s">
        <v>20</v>
      </c>
      <c r="D87" s="179">
        <v>2023</v>
      </c>
      <c r="E87" s="180">
        <v>0.28000000000000003</v>
      </c>
      <c r="F87" s="364">
        <v>-4.0000000000000036E-2</v>
      </c>
      <c r="G87" s="182">
        <v>0.24</v>
      </c>
    </row>
    <row r="88" spans="1:7" x14ac:dyDescent="0.2">
      <c r="A88" s="178">
        <v>211</v>
      </c>
      <c r="B88" s="179" t="s">
        <v>119</v>
      </c>
      <c r="C88" s="179" t="s">
        <v>20</v>
      </c>
      <c r="D88" s="179">
        <v>2023</v>
      </c>
      <c r="E88" s="180">
        <v>0.28000000000000003</v>
      </c>
      <c r="F88" s="364">
        <v>-2.0000000000000018E-2</v>
      </c>
      <c r="G88" s="182">
        <v>0.26</v>
      </c>
    </row>
    <row r="89" spans="1:7" x14ac:dyDescent="0.2">
      <c r="A89" s="178">
        <v>132</v>
      </c>
      <c r="B89" s="179" t="s">
        <v>120</v>
      </c>
      <c r="C89" s="179" t="s">
        <v>21</v>
      </c>
      <c r="D89" s="179">
        <v>2023</v>
      </c>
      <c r="E89" s="180">
        <v>0.23</v>
      </c>
      <c r="F89" s="364">
        <v>-2.0000000000000018E-2</v>
      </c>
      <c r="G89" s="182">
        <v>0.21</v>
      </c>
    </row>
    <row r="90" spans="1:7" x14ac:dyDescent="0.2">
      <c r="A90" s="178">
        <v>133</v>
      </c>
      <c r="B90" s="179" t="s">
        <v>121</v>
      </c>
      <c r="C90" s="179" t="s">
        <v>20</v>
      </c>
      <c r="D90" s="179">
        <v>2023</v>
      </c>
      <c r="E90" s="180">
        <v>0.28000000000000003</v>
      </c>
      <c r="F90" s="364">
        <v>-8.0000000000000016E-2</v>
      </c>
      <c r="G90" s="182">
        <v>0.2</v>
      </c>
    </row>
    <row r="91" spans="1:7" x14ac:dyDescent="0.2">
      <c r="A91" s="178">
        <v>27</v>
      </c>
      <c r="B91" s="179" t="s">
        <v>122</v>
      </c>
      <c r="C91" s="179" t="s">
        <v>20</v>
      </c>
      <c r="D91" s="179">
        <v>2023</v>
      </c>
      <c r="E91" s="180">
        <v>0.28000000000000003</v>
      </c>
      <c r="F91" s="364">
        <v>3.999999999999998E-2</v>
      </c>
      <c r="G91" s="182">
        <v>0.32</v>
      </c>
    </row>
    <row r="92" spans="1:7" x14ac:dyDescent="0.2">
      <c r="A92" s="178">
        <v>26</v>
      </c>
      <c r="B92" s="179" t="s">
        <v>123</v>
      </c>
      <c r="C92" s="179" t="s">
        <v>22</v>
      </c>
      <c r="D92" s="179">
        <v>2023</v>
      </c>
      <c r="E92" s="180">
        <v>0.15</v>
      </c>
      <c r="F92" s="364">
        <v>0</v>
      </c>
      <c r="G92" s="182">
        <v>0.15</v>
      </c>
    </row>
    <row r="93" spans="1:7" x14ac:dyDescent="0.2">
      <c r="A93" s="178">
        <v>134</v>
      </c>
      <c r="B93" s="179" t="s">
        <v>124</v>
      </c>
      <c r="C93" s="179" t="s">
        <v>21</v>
      </c>
      <c r="D93" s="179">
        <v>2023</v>
      </c>
      <c r="E93" s="180">
        <v>0.23</v>
      </c>
      <c r="F93" s="364">
        <v>-4.0000000000000008E-2</v>
      </c>
      <c r="G93" s="182">
        <v>0.19</v>
      </c>
    </row>
    <row r="94" spans="1:7" x14ac:dyDescent="0.2">
      <c r="A94" s="178">
        <v>135</v>
      </c>
      <c r="B94" s="179" t="s">
        <v>125</v>
      </c>
      <c r="C94" s="179" t="s">
        <v>20</v>
      </c>
      <c r="D94" s="179">
        <v>2023</v>
      </c>
      <c r="E94" s="180">
        <v>0.28000000000000003</v>
      </c>
      <c r="F94" s="364">
        <v>-4.0000000000000036E-2</v>
      </c>
      <c r="G94" s="182">
        <v>0.24</v>
      </c>
    </row>
  </sheetData>
  <sheetProtection algorithmName="SHA-512" hashValue="xCgfQ16d+97GYPOUnm9uT89hyofshgdvh29BY6gUaWeyJRtAsl9ps9heg2qOYZrDDkJx7BBfRDWybXwWojkx7A==" saltValue="4FklERoFOoSlt3+Hff8usw==" spinCount="100000" sheet="1" autoFilter="0"/>
  <autoFilter ref="B7:G94"/>
  <mergeCells count="1">
    <mergeCell ref="E6:G6"/>
  </mergeCells>
  <phoneticPr fontId="10" type="noConversion"/>
  <conditionalFormatting sqref="A8:G94">
    <cfRule type="expression" dxfId="2" priority="1" stopIfTrue="1">
      <formula>$A8=2</formula>
    </cfRule>
  </conditionalFormatting>
  <pageMargins left="0.19685039370078741" right="0.19685039370078741" top="0.98425196850393704" bottom="0.39370078740157483" header="0.19685039370078741" footer="0.19685039370078741"/>
  <pageSetup paperSize="9" orientation="portrait" r:id="rId1"/>
  <headerFooter scaleWithDoc="0">
    <oddHeader>&amp;L&amp;"Arial,Fett"Amt für Volksschule&amp;"Arial,Standard"
Finanzen&amp;R
&amp;G</oddHeader>
    <oddFooter>&amp;L&amp;8&amp;F/AVKFIN
Druck: &amp;D/&amp;T&amp;R&amp;8&amp;A
&amp;P/&amp;N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8"/>
  <sheetViews>
    <sheetView showGridLines="0" zoomScaleNormal="100" workbookViewId="0">
      <selection activeCell="A4" sqref="A4"/>
    </sheetView>
  </sheetViews>
  <sheetFormatPr baseColWidth="10" defaultRowHeight="12.75" x14ac:dyDescent="0.2"/>
  <cols>
    <col min="1" max="1" width="2.28515625" customWidth="1"/>
    <col min="2" max="3" width="12.28515625" customWidth="1"/>
    <col min="4" max="4" width="4.7109375" bestFit="1" customWidth="1"/>
    <col min="5" max="5" width="6.5703125" customWidth="1"/>
    <col min="6" max="6" width="8.85546875" customWidth="1"/>
    <col min="7" max="7" width="3.42578125" customWidth="1"/>
    <col min="8" max="8" width="6.5703125" customWidth="1"/>
    <col min="9" max="9" width="8.85546875" customWidth="1"/>
    <col min="10" max="10" width="3.42578125" customWidth="1"/>
    <col min="11" max="11" width="6.5703125" customWidth="1"/>
    <col min="12" max="12" width="8.85546875" customWidth="1"/>
    <col min="13" max="13" width="3.42578125" customWidth="1"/>
    <col min="14" max="14" width="6.5703125" customWidth="1"/>
    <col min="15" max="15" width="8.85546875" customWidth="1"/>
    <col min="16" max="16" width="3.42578125" customWidth="1"/>
  </cols>
  <sheetData>
    <row r="1" spans="1:16" ht="19.5" x14ac:dyDescent="0.3">
      <c r="A1" s="1" t="s">
        <v>143</v>
      </c>
    </row>
    <row r="3" spans="1:16" x14ac:dyDescent="0.2">
      <c r="A3" s="53" t="str">
        <f>Berechnungshilfe!A3</f>
        <v/>
      </c>
      <c r="B3" s="56"/>
      <c r="C3" s="53"/>
      <c r="D3" s="53"/>
      <c r="E3" s="53"/>
      <c r="F3" s="54"/>
      <c r="G3" s="54"/>
      <c r="H3" s="55"/>
      <c r="I3" s="55"/>
      <c r="J3" s="55"/>
      <c r="K3" s="55"/>
      <c r="L3" s="563" t="str">
        <f>Berechnungshilfe!L3</f>
        <v/>
      </c>
      <c r="M3" s="563"/>
      <c r="N3" s="563"/>
      <c r="O3" s="563"/>
      <c r="P3" s="563"/>
    </row>
    <row r="5" spans="1:16" s="37" customFormat="1" ht="21.75" customHeight="1" x14ac:dyDescent="0.2">
      <c r="A5" s="424" t="s">
        <v>158</v>
      </c>
      <c r="B5" s="48"/>
      <c r="C5" s="49"/>
      <c r="D5" s="49"/>
      <c r="E5" s="49"/>
      <c r="F5" s="49"/>
      <c r="G5" s="49"/>
      <c r="H5" s="49"/>
      <c r="I5" s="49"/>
      <c r="J5" s="49"/>
      <c r="K5" s="49"/>
      <c r="L5" s="49"/>
      <c r="M5" s="49"/>
      <c r="N5" s="49"/>
      <c r="O5" s="49"/>
      <c r="P5" s="49"/>
    </row>
    <row r="6" spans="1:16" s="245" customFormat="1" ht="6" customHeight="1" x14ac:dyDescent="0.2">
      <c r="A6" s="242"/>
      <c r="B6" s="243"/>
      <c r="C6" s="244"/>
      <c r="D6" s="244"/>
      <c r="E6" s="244"/>
      <c r="F6" s="244"/>
      <c r="G6" s="244"/>
      <c r="H6" s="244"/>
      <c r="I6" s="244"/>
      <c r="J6" s="244"/>
      <c r="K6" s="244"/>
      <c r="L6" s="244"/>
      <c r="M6" s="244"/>
      <c r="N6" s="244"/>
      <c r="O6" s="244"/>
      <c r="P6" s="244"/>
    </row>
    <row r="7" spans="1:16" s="25" customFormat="1" ht="21.75" customHeight="1" x14ac:dyDescent="0.2">
      <c r="A7" s="57"/>
      <c r="B7" s="58"/>
      <c r="C7" s="58"/>
      <c r="D7" s="58"/>
      <c r="E7" s="581" t="s">
        <v>3</v>
      </c>
      <c r="F7" s="582"/>
      <c r="G7" s="583"/>
      <c r="H7" s="581" t="s">
        <v>4</v>
      </c>
      <c r="I7" s="582"/>
      <c r="J7" s="583"/>
      <c r="K7" s="581" t="s">
        <v>5</v>
      </c>
      <c r="L7" s="582"/>
      <c r="M7" s="583"/>
      <c r="N7" s="581" t="s">
        <v>159</v>
      </c>
      <c r="O7" s="582"/>
      <c r="P7" s="583"/>
    </row>
    <row r="8" spans="1:16" s="245" customFormat="1" ht="6" customHeight="1" x14ac:dyDescent="0.2">
      <c r="A8" s="242"/>
      <c r="B8" s="243"/>
      <c r="C8" s="244"/>
      <c r="D8" s="244"/>
      <c r="E8" s="244"/>
      <c r="F8" s="244"/>
      <c r="G8" s="244"/>
      <c r="H8" s="244"/>
      <c r="I8" s="244"/>
      <c r="J8" s="244"/>
      <c r="K8" s="244"/>
      <c r="L8" s="244"/>
      <c r="M8" s="244"/>
      <c r="N8" s="244"/>
      <c r="O8" s="244"/>
      <c r="P8" s="244"/>
    </row>
    <row r="9" spans="1:16" ht="5.25" customHeight="1" x14ac:dyDescent="0.2">
      <c r="A9" s="228"/>
      <c r="B9" s="229"/>
      <c r="C9" s="229"/>
      <c r="D9" s="229"/>
      <c r="E9" s="222"/>
      <c r="F9" s="223"/>
      <c r="G9" s="116"/>
      <c r="H9" s="222"/>
      <c r="I9" s="223"/>
      <c r="J9" s="116"/>
      <c r="K9" s="222"/>
      <c r="L9" s="223"/>
      <c r="M9" s="116"/>
      <c r="N9" s="222"/>
      <c r="O9" s="223"/>
      <c r="P9" s="224"/>
    </row>
    <row r="10" spans="1:16" x14ac:dyDescent="0.2">
      <c r="A10" s="128" t="s">
        <v>42</v>
      </c>
      <c r="B10" s="78"/>
      <c r="C10" s="78"/>
      <c r="D10" s="78"/>
      <c r="E10" s="80"/>
      <c r="F10" s="127"/>
      <c r="G10" s="82"/>
      <c r="H10" s="80"/>
      <c r="I10" s="127"/>
      <c r="J10" s="82"/>
      <c r="K10" s="80"/>
      <c r="L10" s="127"/>
      <c r="M10" s="82"/>
      <c r="N10" s="80"/>
      <c r="O10" s="81"/>
      <c r="P10" s="29"/>
    </row>
    <row r="11" spans="1:16" x14ac:dyDescent="0.2">
      <c r="A11" s="98"/>
      <c r="B11" s="78" t="str">
        <f>Berechnungshilfe!D40</f>
        <v>Ø bitte wählen</v>
      </c>
      <c r="C11" s="78"/>
      <c r="D11" s="78"/>
      <c r="E11" s="80"/>
      <c r="F11" s="212">
        <f>Berechnungshilfe!F40</f>
        <v>0</v>
      </c>
      <c r="G11" s="187"/>
      <c r="H11" s="188"/>
      <c r="I11" s="212">
        <f>Berechnungshilfe!I40</f>
        <v>0</v>
      </c>
      <c r="J11" s="187"/>
      <c r="K11" s="188"/>
      <c r="L11" s="212">
        <f>Berechnungshilfe!L40</f>
        <v>0</v>
      </c>
      <c r="M11" s="82"/>
      <c r="N11" s="80"/>
      <c r="O11" s="213">
        <f>Berechnungshilfe!O40</f>
        <v>0</v>
      </c>
      <c r="P11" s="29"/>
    </row>
    <row r="12" spans="1:16" ht="5.25" customHeight="1" x14ac:dyDescent="0.2">
      <c r="A12" s="231"/>
      <c r="B12" s="232"/>
      <c r="C12" s="232"/>
      <c r="D12" s="131"/>
      <c r="E12" s="226"/>
      <c r="F12" s="227"/>
      <c r="G12" s="91"/>
      <c r="H12" s="226"/>
      <c r="I12" s="227"/>
      <c r="J12" s="91"/>
      <c r="K12" s="226"/>
      <c r="L12" s="227"/>
      <c r="M12" s="91"/>
      <c r="N12" s="226"/>
      <c r="O12" s="227"/>
      <c r="P12" s="221"/>
    </row>
    <row r="13" spans="1:16" ht="6" customHeight="1" x14ac:dyDescent="0.2">
      <c r="A13" s="202"/>
      <c r="B13" s="65"/>
      <c r="C13" s="65"/>
      <c r="D13" s="203"/>
      <c r="E13" s="9"/>
      <c r="F13" s="9"/>
      <c r="G13" s="29"/>
      <c r="H13" s="189"/>
      <c r="I13" s="9"/>
      <c r="J13" s="29"/>
      <c r="K13" s="189"/>
      <c r="L13" s="9"/>
      <c r="M13" s="29"/>
      <c r="N13" s="189"/>
      <c r="O13" s="9"/>
      <c r="P13" s="29"/>
    </row>
    <row r="14" spans="1:16" s="25" customFormat="1" x14ac:dyDescent="0.2">
      <c r="A14" s="128" t="s">
        <v>37</v>
      </c>
      <c r="B14" s="102"/>
      <c r="C14" s="230"/>
      <c r="D14" s="130"/>
      <c r="E14" s="186"/>
      <c r="F14" s="34"/>
      <c r="G14" s="193"/>
      <c r="H14" s="192"/>
      <c r="I14" s="34"/>
      <c r="J14" s="193"/>
      <c r="K14" s="192"/>
      <c r="L14" s="34"/>
      <c r="M14" s="193"/>
      <c r="N14" s="192"/>
      <c r="O14" s="34"/>
      <c r="P14" s="193"/>
    </row>
    <row r="15" spans="1:16" s="25" customFormat="1" x14ac:dyDescent="0.2">
      <c r="A15" s="76"/>
      <c r="B15" s="102" t="s">
        <v>8</v>
      </c>
      <c r="C15" s="230"/>
      <c r="D15" s="130"/>
      <c r="E15" s="186"/>
      <c r="F15" s="212">
        <f>IF(F11=0,0,Berechnungshilfe!F51/F11)</f>
        <v>0</v>
      </c>
      <c r="G15" s="193"/>
      <c r="H15" s="192"/>
      <c r="I15" s="212">
        <f>IF(I11=0,0,Berechnungshilfe!I51/I11)</f>
        <v>0</v>
      </c>
      <c r="J15" s="193"/>
      <c r="K15" s="192"/>
      <c r="L15" s="212">
        <f>IF(L11=0,0,Berechnungshilfe!L51/L11)</f>
        <v>0</v>
      </c>
      <c r="M15" s="193"/>
      <c r="N15" s="192"/>
      <c r="O15" s="213" t="e">
        <f>Berechnungshilfe!O51/O11</f>
        <v>#N/A</v>
      </c>
      <c r="P15" s="193"/>
    </row>
    <row r="16" spans="1:16" s="25" customFormat="1" x14ac:dyDescent="0.2">
      <c r="A16" s="76"/>
      <c r="B16" s="102" t="s">
        <v>10</v>
      </c>
      <c r="C16" s="92"/>
      <c r="D16" s="93">
        <f>Berechnungshilfe!D54</f>
        <v>0.02</v>
      </c>
      <c r="E16" s="186"/>
      <c r="F16" s="212">
        <f>IF(F11=0,0,Berechnungshilfe!F54/F11)</f>
        <v>0</v>
      </c>
      <c r="G16" s="193"/>
      <c r="H16" s="192"/>
      <c r="I16" s="212">
        <f>IF(I11=0,0,Berechnungshilfe!I54/I11)</f>
        <v>0</v>
      </c>
      <c r="J16" s="193"/>
      <c r="K16" s="192"/>
      <c r="L16" s="212">
        <f>IF(L11=0,0,Berechnungshilfe!L54/L11)</f>
        <v>0</v>
      </c>
      <c r="M16" s="193"/>
      <c r="N16" s="192"/>
      <c r="O16" s="213" t="e">
        <f>Berechnungshilfe!O54/O11</f>
        <v>#N/A</v>
      </c>
      <c r="P16" s="193"/>
    </row>
    <row r="17" spans="1:19" s="25" customFormat="1" x14ac:dyDescent="0.2">
      <c r="A17" s="76"/>
      <c r="B17" s="102" t="s">
        <v>14</v>
      </c>
      <c r="C17" s="230"/>
      <c r="D17" s="130"/>
      <c r="E17" s="186"/>
      <c r="F17" s="212">
        <f>IF(F11=0,0,Berechnungshilfe!O57/$O$11)</f>
        <v>0</v>
      </c>
      <c r="G17" s="193"/>
      <c r="H17" s="192"/>
      <c r="I17" s="212">
        <f>IF(I11=0,0,Berechnungshilfe!O57/$O$11)</f>
        <v>0</v>
      </c>
      <c r="J17" s="193"/>
      <c r="K17" s="192"/>
      <c r="L17" s="212">
        <f>IF(L11=0,0,Berechnungshilfe!O57/$O$11)</f>
        <v>0</v>
      </c>
      <c r="M17" s="193"/>
      <c r="N17" s="192"/>
      <c r="O17" s="213" t="e">
        <f>Berechnungshilfe!O57/$O$11</f>
        <v>#N/A</v>
      </c>
      <c r="P17" s="193"/>
    </row>
    <row r="18" spans="1:19" s="25" customFormat="1" x14ac:dyDescent="0.2">
      <c r="A18" s="76"/>
      <c r="B18" s="102" t="s">
        <v>48</v>
      </c>
      <c r="C18" s="230"/>
      <c r="D18" s="279" t="e">
        <f>Berechnungshilfe!L60</f>
        <v>#N/A</v>
      </c>
      <c r="E18" s="186"/>
      <c r="F18" s="212">
        <f>IF(F11=0,0,(F15+F17)*Berechnungshilfe!$L$60)</f>
        <v>0</v>
      </c>
      <c r="G18" s="193"/>
      <c r="H18" s="192"/>
      <c r="I18" s="212">
        <f>IF(I11=0,0,(I15+I17)*Berechnungshilfe!$L$60)</f>
        <v>0</v>
      </c>
      <c r="J18" s="193"/>
      <c r="K18" s="192"/>
      <c r="L18" s="212">
        <f>IF(L11=0,0,(L15+L17)*Berechnungshilfe!$L$60)</f>
        <v>0</v>
      </c>
      <c r="M18" s="193"/>
      <c r="N18" s="192"/>
      <c r="O18" s="213" t="e">
        <f>Berechnungshilfe!O60/O11</f>
        <v>#N/A</v>
      </c>
      <c r="P18" s="193"/>
    </row>
    <row r="19" spans="1:19" s="25" customFormat="1" x14ac:dyDescent="0.2">
      <c r="A19" s="76"/>
      <c r="B19" s="102" t="s">
        <v>13</v>
      </c>
      <c r="C19" s="230"/>
      <c r="D19" s="279" t="e">
        <f>Berechnungshilfe!L69</f>
        <v>#N/A</v>
      </c>
      <c r="E19" s="186"/>
      <c r="F19" s="212">
        <f>IF(F11=0,0,(F15+F16+F17+F18)*Berechnungshilfe!$L$69)</f>
        <v>0</v>
      </c>
      <c r="G19" s="193"/>
      <c r="H19" s="192"/>
      <c r="I19" s="212">
        <f>IF(I11=0,0,(I15+I16+I17+I18)*Berechnungshilfe!$L$69)</f>
        <v>0</v>
      </c>
      <c r="J19" s="193"/>
      <c r="K19" s="192"/>
      <c r="L19" s="212">
        <f>IF(L11=0,0,(L15+L16+L17+L18)*Berechnungshilfe!$L$69)</f>
        <v>0</v>
      </c>
      <c r="M19" s="193"/>
      <c r="N19" s="192"/>
      <c r="O19" s="213" t="e">
        <f>Berechnungshilfe!O69/O11</f>
        <v>#N/A</v>
      </c>
      <c r="P19" s="193"/>
    </row>
    <row r="20" spans="1:19" s="25" customFormat="1" x14ac:dyDescent="0.2">
      <c r="A20" s="76"/>
      <c r="B20" s="78" t="s">
        <v>251</v>
      </c>
      <c r="C20" s="230"/>
      <c r="D20" s="130"/>
      <c r="E20" s="186"/>
      <c r="F20" s="34"/>
      <c r="G20" s="193"/>
      <c r="H20" s="192"/>
      <c r="I20" s="212">
        <f>IF(I11=0,0,Berechnungshilfe!I74/I11)</f>
        <v>0</v>
      </c>
      <c r="J20" s="193"/>
      <c r="K20" s="192"/>
      <c r="L20" s="34"/>
      <c r="M20" s="193"/>
      <c r="N20" s="192"/>
      <c r="O20" s="213">
        <f>IF(I20=0,0,Berechnungshilfe!I74/I11)</f>
        <v>0</v>
      </c>
      <c r="P20" s="193"/>
    </row>
    <row r="21" spans="1:19" s="25" customFormat="1" x14ac:dyDescent="0.2">
      <c r="A21" s="76"/>
      <c r="B21" s="102" t="s">
        <v>157</v>
      </c>
      <c r="C21" s="230"/>
      <c r="D21" s="130"/>
      <c r="E21" s="186"/>
      <c r="F21" s="212">
        <f>IF(F11=0,0,Berechnungshilfe!L77)</f>
        <v>0</v>
      </c>
      <c r="G21" s="193"/>
      <c r="H21" s="192"/>
      <c r="I21" s="212">
        <f>IF(I11=0,0,Berechnungshilfe!L77)</f>
        <v>0</v>
      </c>
      <c r="J21" s="193"/>
      <c r="K21" s="192"/>
      <c r="L21" s="212">
        <f>IF(L11=0,0,Berechnungshilfe!L77)</f>
        <v>0</v>
      </c>
      <c r="M21" s="193"/>
      <c r="N21" s="192"/>
      <c r="O21" s="213">
        <f>IF(O11=0,0,Berechnungshilfe!L77)</f>
        <v>0</v>
      </c>
      <c r="P21" s="193"/>
    </row>
    <row r="22" spans="1:19" s="25" customFormat="1" ht="6" customHeight="1" x14ac:dyDescent="0.2">
      <c r="A22" s="84"/>
      <c r="B22" s="102"/>
      <c r="C22" s="230"/>
      <c r="D22" s="130"/>
      <c r="E22" s="186"/>
      <c r="F22" s="34"/>
      <c r="G22" s="193"/>
      <c r="H22" s="192"/>
      <c r="I22" s="34"/>
      <c r="J22" s="193"/>
      <c r="K22" s="192"/>
      <c r="L22" s="34"/>
      <c r="M22" s="193"/>
      <c r="N22" s="192"/>
      <c r="O22" s="197"/>
      <c r="P22" s="193"/>
    </row>
    <row r="23" spans="1:19" s="25" customFormat="1" x14ac:dyDescent="0.2">
      <c r="A23" s="76"/>
      <c r="B23" s="77" t="s">
        <v>6</v>
      </c>
      <c r="C23" s="263"/>
      <c r="D23" s="264"/>
      <c r="E23" s="265"/>
      <c r="F23" s="213">
        <f>SUM(F15:F21)</f>
        <v>0</v>
      </c>
      <c r="G23" s="198"/>
      <c r="H23" s="196"/>
      <c r="I23" s="213">
        <f>SUM(I15:I21)</f>
        <v>0</v>
      </c>
      <c r="J23" s="198"/>
      <c r="K23" s="196"/>
      <c r="L23" s="213">
        <f>SUM(L15:L21)</f>
        <v>0</v>
      </c>
      <c r="M23" s="198"/>
      <c r="N23" s="196"/>
      <c r="O23" s="213" t="e">
        <f>SUM(O15:O21)</f>
        <v>#N/A</v>
      </c>
      <c r="P23" s="193"/>
    </row>
    <row r="24" spans="1:19" s="25" customFormat="1" ht="6" customHeight="1" x14ac:dyDescent="0.2">
      <c r="A24" s="231"/>
      <c r="B24" s="254"/>
      <c r="C24" s="232"/>
      <c r="D24" s="131"/>
      <c r="E24" s="249"/>
      <c r="F24" s="255"/>
      <c r="G24" s="256"/>
      <c r="H24" s="257"/>
      <c r="I24" s="255"/>
      <c r="J24" s="256"/>
      <c r="K24" s="257"/>
      <c r="L24" s="255"/>
      <c r="M24" s="256"/>
      <c r="N24" s="257"/>
      <c r="O24" s="266"/>
      <c r="P24" s="256"/>
    </row>
    <row r="25" spans="1:19" s="123" customFormat="1" ht="6" customHeight="1" x14ac:dyDescent="0.2">
      <c r="A25" s="278"/>
      <c r="B25" s="251"/>
      <c r="E25" s="276"/>
      <c r="F25" s="276"/>
      <c r="G25" s="276"/>
      <c r="H25" s="276"/>
      <c r="I25" s="276"/>
      <c r="J25" s="276"/>
      <c r="K25" s="276"/>
      <c r="L25" s="276"/>
      <c r="M25" s="276"/>
      <c r="N25" s="276"/>
      <c r="O25" s="277"/>
      <c r="P25" s="276"/>
    </row>
    <row r="26" spans="1:19" s="25" customFormat="1" ht="5.25" customHeight="1" x14ac:dyDescent="0.2">
      <c r="A26" s="111"/>
      <c r="B26" s="112"/>
      <c r="C26" s="112"/>
      <c r="D26" s="120"/>
      <c r="E26" s="113"/>
      <c r="F26" s="114"/>
      <c r="G26" s="115"/>
      <c r="H26" s="114"/>
      <c r="I26" s="114"/>
      <c r="J26" s="114"/>
      <c r="K26" s="113"/>
      <c r="L26" s="114"/>
      <c r="M26" s="115"/>
      <c r="N26" s="113"/>
      <c r="O26" s="114"/>
      <c r="P26" s="116"/>
    </row>
    <row r="27" spans="1:19" s="25" customFormat="1" x14ac:dyDescent="0.2">
      <c r="A27" s="128" t="s">
        <v>42</v>
      </c>
      <c r="B27" s="78"/>
      <c r="C27" s="78"/>
      <c r="D27" s="79"/>
      <c r="E27" s="80"/>
      <c r="F27" s="127"/>
      <c r="G27" s="82"/>
      <c r="H27" s="81"/>
      <c r="I27" s="127"/>
      <c r="J27" s="81"/>
      <c r="K27" s="80"/>
      <c r="L27" s="127"/>
      <c r="M27" s="82"/>
      <c r="N27" s="80"/>
      <c r="O27" s="81"/>
      <c r="P27" s="83"/>
    </row>
    <row r="28" spans="1:19" s="25" customFormat="1" x14ac:dyDescent="0.2">
      <c r="A28" s="98"/>
      <c r="B28" s="78" t="str">
        <f>Berechnungshilfe!D90</f>
        <v xml:space="preserve">Ø  /  / </v>
      </c>
      <c r="C28" s="78"/>
      <c r="D28" s="79"/>
      <c r="E28" s="80"/>
      <c r="F28" s="212">
        <f>Berechnungshilfe!F90</f>
        <v>0</v>
      </c>
      <c r="G28" s="187"/>
      <c r="H28" s="122"/>
      <c r="I28" s="212">
        <f>Berechnungshilfe!I90</f>
        <v>0</v>
      </c>
      <c r="J28" s="122"/>
      <c r="K28" s="188"/>
      <c r="L28" s="212">
        <f>Berechnungshilfe!L90</f>
        <v>0</v>
      </c>
      <c r="M28" s="82"/>
      <c r="N28" s="80"/>
      <c r="O28" s="213">
        <f>F28+I28+L28</f>
        <v>0</v>
      </c>
      <c r="P28" s="83"/>
      <c r="S28" s="110"/>
    </row>
    <row r="29" spans="1:19" ht="5.25" customHeight="1" x14ac:dyDescent="0.2">
      <c r="A29" s="217"/>
      <c r="B29" s="218"/>
      <c r="C29" s="218"/>
      <c r="D29" s="219"/>
      <c r="E29" s="220"/>
      <c r="F29" s="214"/>
      <c r="G29" s="221"/>
      <c r="H29" s="214"/>
      <c r="I29" s="214"/>
      <c r="J29" s="214"/>
      <c r="K29" s="220"/>
      <c r="L29" s="214"/>
      <c r="M29" s="221"/>
      <c r="N29" s="220"/>
      <c r="O29" s="214"/>
      <c r="P29" s="221"/>
      <c r="S29" s="161"/>
    </row>
    <row r="30" spans="1:19" s="25" customFormat="1" ht="6" customHeight="1" x14ac:dyDescent="0.2">
      <c r="A30" s="228"/>
      <c r="B30" s="259"/>
      <c r="C30" s="229"/>
      <c r="D30" s="126"/>
      <c r="E30" s="260"/>
      <c r="F30" s="270"/>
      <c r="G30" s="271"/>
      <c r="H30" s="272"/>
      <c r="I30" s="270"/>
      <c r="J30" s="271"/>
      <c r="K30" s="272"/>
      <c r="L30" s="270"/>
      <c r="M30" s="271"/>
      <c r="N30" s="272"/>
      <c r="O30" s="273"/>
      <c r="P30" s="271"/>
      <c r="S30" s="110"/>
    </row>
    <row r="31" spans="1:19" s="25" customFormat="1" x14ac:dyDescent="0.2">
      <c r="A31" s="128" t="s">
        <v>15</v>
      </c>
      <c r="B31" s="102"/>
      <c r="C31" s="230"/>
      <c r="D31" s="130"/>
      <c r="E31" s="186"/>
      <c r="F31" s="186"/>
      <c r="G31" s="247"/>
      <c r="H31" s="246"/>
      <c r="I31" s="186"/>
      <c r="J31" s="247"/>
      <c r="K31" s="246"/>
      <c r="L31" s="186"/>
      <c r="M31" s="247"/>
      <c r="N31" s="246"/>
      <c r="O31" s="265"/>
      <c r="P31" s="247"/>
      <c r="S31" s="110"/>
    </row>
    <row r="32" spans="1:19" s="25" customFormat="1" x14ac:dyDescent="0.2">
      <c r="A32" s="76"/>
      <c r="B32" s="252" t="s">
        <v>136</v>
      </c>
      <c r="C32" s="102"/>
      <c r="D32" s="130"/>
      <c r="E32" s="186"/>
      <c r="F32" s="212">
        <f>IF(F28=0,0,E71)</f>
        <v>0</v>
      </c>
      <c r="G32" s="247"/>
      <c r="H32" s="246"/>
      <c r="I32" s="212">
        <f>IF(I28=0,0,H71)</f>
        <v>0</v>
      </c>
      <c r="J32" s="247"/>
      <c r="K32" s="246"/>
      <c r="L32" s="212">
        <f>IF(L28=0,0,K71)</f>
        <v>0</v>
      </c>
      <c r="M32" s="247"/>
      <c r="N32" s="246"/>
      <c r="O32" s="213" t="e">
        <f>((F32*$F$28)+(I32*$I$28)+(L32*$L$28))/$O$28</f>
        <v>#DIV/0!</v>
      </c>
      <c r="P32" s="247"/>
      <c r="S32" s="110"/>
    </row>
    <row r="33" spans="1:19" s="25" customFormat="1" x14ac:dyDescent="0.2">
      <c r="A33" s="76"/>
      <c r="B33" s="252" t="s">
        <v>137</v>
      </c>
      <c r="C33" s="102"/>
      <c r="D33" s="130"/>
      <c r="E33" s="186"/>
      <c r="F33" s="212">
        <f>IF(F28=0,0,E72)</f>
        <v>0</v>
      </c>
      <c r="G33" s="247"/>
      <c r="H33" s="246"/>
      <c r="I33" s="212">
        <f>IF(I28=0,0,H72)</f>
        <v>0</v>
      </c>
      <c r="J33" s="247"/>
      <c r="K33" s="246"/>
      <c r="L33" s="212">
        <f>IF(L28=0,0,K72)</f>
        <v>0</v>
      </c>
      <c r="M33" s="247"/>
      <c r="N33" s="246"/>
      <c r="O33" s="213" t="e">
        <f>((F33*$F$28)+(I33*$I$28)+(L33*$L$28))/$O$28</f>
        <v>#DIV/0!</v>
      </c>
      <c r="P33" s="247"/>
      <c r="S33" s="110"/>
    </row>
    <row r="34" spans="1:19" s="25" customFormat="1" x14ac:dyDescent="0.2">
      <c r="A34" s="76"/>
      <c r="B34" s="252" t="s">
        <v>138</v>
      </c>
      <c r="C34" s="102"/>
      <c r="D34" s="130"/>
      <c r="E34" s="186"/>
      <c r="F34" s="212">
        <f>IF(F28=0,0,E73)</f>
        <v>0</v>
      </c>
      <c r="G34" s="247"/>
      <c r="H34" s="246"/>
      <c r="I34" s="212">
        <f>IF(I28=0,0,H73)</f>
        <v>0</v>
      </c>
      <c r="J34" s="247"/>
      <c r="K34" s="246"/>
      <c r="L34" s="212">
        <f>IF(L28=0,0,K73)</f>
        <v>0</v>
      </c>
      <c r="M34" s="247"/>
      <c r="N34" s="246"/>
      <c r="O34" s="213" t="e">
        <f>((F34*$F$28)+(I34*$I$28)+(L34*$L$28))/$O$28</f>
        <v>#DIV/0!</v>
      </c>
      <c r="P34" s="247"/>
      <c r="S34" s="110"/>
    </row>
    <row r="35" spans="1:19" s="25" customFormat="1" x14ac:dyDescent="0.2">
      <c r="A35" s="76"/>
      <c r="B35" s="252" t="s">
        <v>152</v>
      </c>
      <c r="C35" s="102"/>
      <c r="D35" s="130"/>
      <c r="E35" s="186"/>
      <c r="F35" s="212">
        <f>IF(F28=0,0,E74)</f>
        <v>0</v>
      </c>
      <c r="G35" s="247"/>
      <c r="H35" s="246"/>
      <c r="I35" s="212">
        <f>IF(I28=0,0,H74)</f>
        <v>0</v>
      </c>
      <c r="J35" s="247"/>
      <c r="K35" s="246"/>
      <c r="L35" s="212">
        <f>IF(L28=0,0,K74)</f>
        <v>0</v>
      </c>
      <c r="M35" s="247"/>
      <c r="N35" s="246"/>
      <c r="O35" s="213" t="e">
        <f>((F35*$F$28)+(I35*$I$28)+(L35*$L$28))/$O$28</f>
        <v>#DIV/0!</v>
      </c>
      <c r="P35" s="247"/>
      <c r="S35" s="110"/>
    </row>
    <row r="36" spans="1:19" s="25" customFormat="1" ht="6" customHeight="1" x14ac:dyDescent="0.2">
      <c r="A36" s="76"/>
      <c r="B36" s="252"/>
      <c r="C36" s="102"/>
      <c r="D36" s="130"/>
      <c r="E36" s="186"/>
      <c r="F36" s="186"/>
      <c r="G36" s="247"/>
      <c r="H36" s="246"/>
      <c r="I36" s="186"/>
      <c r="J36" s="247"/>
      <c r="K36" s="246"/>
      <c r="L36" s="186"/>
      <c r="M36" s="247"/>
      <c r="N36" s="246"/>
      <c r="O36" s="265"/>
      <c r="P36" s="247"/>
      <c r="S36" s="110"/>
    </row>
    <row r="37" spans="1:19" s="25" customFormat="1" x14ac:dyDescent="0.2">
      <c r="A37" s="76"/>
      <c r="B37" s="207" t="s">
        <v>6</v>
      </c>
      <c r="C37" s="77"/>
      <c r="D37" s="264"/>
      <c r="E37" s="265"/>
      <c r="F37" s="213">
        <f>SUM(F32:F35)</f>
        <v>0</v>
      </c>
      <c r="G37" s="198"/>
      <c r="H37" s="196"/>
      <c r="I37" s="213">
        <f>SUM(I32:I35)</f>
        <v>0</v>
      </c>
      <c r="J37" s="198"/>
      <c r="K37" s="196"/>
      <c r="L37" s="213">
        <f>SUM(L32:L35)</f>
        <v>0</v>
      </c>
      <c r="M37" s="268"/>
      <c r="N37" s="269"/>
      <c r="O37" s="213" t="e">
        <f>((F37*$F$28)+(I37*$I$28)+(L37*$L$28))/$O$28</f>
        <v>#DIV/0!</v>
      </c>
      <c r="P37" s="247"/>
      <c r="S37" s="110"/>
    </row>
    <row r="38" spans="1:19" s="25" customFormat="1" ht="6" customHeight="1" x14ac:dyDescent="0.2">
      <c r="A38" s="274"/>
      <c r="B38" s="254"/>
      <c r="C38" s="232"/>
      <c r="D38" s="131"/>
      <c r="E38" s="249"/>
      <c r="F38" s="249"/>
      <c r="G38" s="250"/>
      <c r="H38" s="248"/>
      <c r="I38" s="249"/>
      <c r="J38" s="250"/>
      <c r="K38" s="248"/>
      <c r="L38" s="249"/>
      <c r="M38" s="250"/>
      <c r="N38" s="248"/>
      <c r="O38" s="275"/>
      <c r="P38" s="250"/>
      <c r="S38" s="110"/>
    </row>
    <row r="39" spans="1:19" s="123" customFormat="1" ht="6" customHeight="1" x14ac:dyDescent="0.2">
      <c r="A39" s="278"/>
      <c r="B39" s="251"/>
      <c r="E39" s="276"/>
      <c r="F39" s="276"/>
      <c r="G39" s="276"/>
      <c r="H39" s="276"/>
      <c r="I39" s="276"/>
      <c r="J39" s="276"/>
      <c r="K39" s="276"/>
      <c r="L39" s="276"/>
      <c r="M39" s="276"/>
      <c r="N39" s="276"/>
      <c r="O39" s="277"/>
      <c r="P39" s="276"/>
    </row>
    <row r="40" spans="1:19" s="25" customFormat="1" ht="6" customHeight="1" x14ac:dyDescent="0.2">
      <c r="A40" s="258"/>
      <c r="B40" s="259"/>
      <c r="C40" s="229"/>
      <c r="D40" s="126"/>
      <c r="E40" s="260"/>
      <c r="F40" s="260"/>
      <c r="G40" s="261"/>
      <c r="H40" s="262"/>
      <c r="I40" s="260"/>
      <c r="J40" s="261"/>
      <c r="K40" s="262"/>
      <c r="L40" s="260"/>
      <c r="M40" s="261"/>
      <c r="N40" s="262"/>
      <c r="O40" s="267"/>
      <c r="P40" s="261"/>
      <c r="S40" s="110"/>
    </row>
    <row r="41" spans="1:19" s="25" customFormat="1" x14ac:dyDescent="0.2">
      <c r="A41" s="128" t="s">
        <v>160</v>
      </c>
      <c r="B41" s="253"/>
      <c r="C41" s="263"/>
      <c r="D41" s="264"/>
      <c r="E41" s="265"/>
      <c r="F41" s="213">
        <f>F23+F37</f>
        <v>0</v>
      </c>
      <c r="G41" s="198"/>
      <c r="H41" s="196"/>
      <c r="I41" s="213">
        <f>I23+I37</f>
        <v>0</v>
      </c>
      <c r="J41" s="198"/>
      <c r="K41" s="196"/>
      <c r="L41" s="213">
        <f>L23+L37</f>
        <v>0</v>
      </c>
      <c r="M41" s="268"/>
      <c r="N41" s="269"/>
      <c r="O41" s="213" t="e">
        <f>O37+O23</f>
        <v>#DIV/0!</v>
      </c>
      <c r="P41" s="247"/>
      <c r="S41" s="110"/>
    </row>
    <row r="42" spans="1:19" s="25" customFormat="1" ht="6" customHeight="1" x14ac:dyDescent="0.2">
      <c r="A42" s="231"/>
      <c r="B42" s="232"/>
      <c r="C42" s="232"/>
      <c r="D42" s="131"/>
      <c r="E42" s="249"/>
      <c r="F42" s="249"/>
      <c r="G42" s="250"/>
      <c r="H42" s="248"/>
      <c r="I42" s="249"/>
      <c r="J42" s="250"/>
      <c r="K42" s="248"/>
      <c r="L42" s="249"/>
      <c r="M42" s="250"/>
      <c r="N42" s="248"/>
      <c r="O42" s="249"/>
      <c r="P42" s="250"/>
      <c r="S42" s="110"/>
    </row>
    <row r="43" spans="1:19" s="25" customFormat="1" x14ac:dyDescent="0.2">
      <c r="A43" s="127"/>
      <c r="B43" s="127"/>
      <c r="C43" s="127"/>
      <c r="D43" s="127"/>
      <c r="E43" s="186"/>
      <c r="F43" s="186"/>
      <c r="G43" s="186"/>
      <c r="H43" s="186"/>
      <c r="I43" s="186"/>
      <c r="J43" s="186"/>
      <c r="K43" s="186"/>
      <c r="L43" s="186"/>
      <c r="M43" s="186"/>
      <c r="N43" s="186"/>
      <c r="O43" s="186"/>
      <c r="P43" s="186"/>
      <c r="S43" s="110"/>
    </row>
    <row r="44" spans="1:19" s="37" customFormat="1" ht="21.75" customHeight="1" x14ac:dyDescent="0.2">
      <c r="A44" s="424" t="s">
        <v>140</v>
      </c>
      <c r="B44" s="48"/>
      <c r="C44" s="49"/>
      <c r="D44" s="49"/>
      <c r="E44" s="49"/>
      <c r="F44" s="49"/>
      <c r="G44" s="49"/>
      <c r="H44" s="49"/>
      <c r="I44" s="49"/>
      <c r="J44" s="49"/>
      <c r="K44" s="49"/>
      <c r="L44" s="49"/>
      <c r="M44" s="49"/>
      <c r="N44" s="49"/>
      <c r="O44" s="49"/>
      <c r="P44" s="49"/>
      <c r="S44" s="245"/>
    </row>
    <row r="45" spans="1:19" s="25" customFormat="1" ht="5.25" customHeight="1" x14ac:dyDescent="0.2">
      <c r="A45" s="127"/>
      <c r="B45" s="127"/>
      <c r="C45" s="127"/>
      <c r="D45" s="127"/>
      <c r="E45" s="186"/>
      <c r="F45" s="186"/>
      <c r="G45" s="186"/>
      <c r="H45" s="186"/>
      <c r="I45" s="186"/>
      <c r="J45" s="186"/>
      <c r="K45" s="186"/>
      <c r="L45" s="186"/>
      <c r="M45" s="186"/>
      <c r="N45" s="186"/>
      <c r="O45" s="186"/>
      <c r="P45" s="186"/>
      <c r="S45" s="110"/>
    </row>
    <row r="46" spans="1:19" s="25" customFormat="1" ht="21.75" customHeight="1" x14ac:dyDescent="0.2">
      <c r="A46" s="57"/>
      <c r="B46" s="58"/>
      <c r="C46" s="58"/>
      <c r="D46" s="58"/>
      <c r="E46" s="581" t="s">
        <v>3</v>
      </c>
      <c r="F46" s="582"/>
      <c r="G46" s="583"/>
      <c r="H46" s="581" t="s">
        <v>4</v>
      </c>
      <c r="I46" s="582"/>
      <c r="J46" s="583"/>
      <c r="K46" s="581" t="s">
        <v>5</v>
      </c>
      <c r="L46" s="582"/>
      <c r="M46" s="583"/>
      <c r="N46" s="581" t="s">
        <v>6</v>
      </c>
      <c r="O46" s="582"/>
      <c r="P46" s="583"/>
      <c r="S46" s="110"/>
    </row>
    <row r="47" spans="1:19" s="25" customFormat="1" ht="6" customHeight="1" x14ac:dyDescent="0.2">
      <c r="A47" s="127"/>
      <c r="B47" s="127"/>
      <c r="C47" s="127"/>
      <c r="D47" s="127"/>
      <c r="E47" s="186"/>
      <c r="F47" s="186"/>
      <c r="G47" s="186"/>
      <c r="H47" s="186"/>
      <c r="I47" s="186"/>
      <c r="J47" s="186"/>
      <c r="K47" s="186"/>
      <c r="L47" s="186"/>
      <c r="M47" s="186"/>
      <c r="N47" s="186"/>
      <c r="O47" s="186"/>
      <c r="P47" s="186"/>
      <c r="S47" s="110"/>
    </row>
    <row r="48" spans="1:19" ht="5.25" customHeight="1" x14ac:dyDescent="0.2">
      <c r="A48" s="228"/>
      <c r="B48" s="229"/>
      <c r="C48" s="229"/>
      <c r="D48" s="229"/>
      <c r="E48" s="222"/>
      <c r="F48" s="223"/>
      <c r="G48" s="116"/>
      <c r="H48" s="222"/>
      <c r="I48" s="223"/>
      <c r="J48" s="116"/>
      <c r="K48" s="222"/>
      <c r="L48" s="223"/>
      <c r="M48" s="116"/>
      <c r="N48" s="222"/>
      <c r="O48" s="223"/>
      <c r="P48" s="224"/>
      <c r="S48" s="161"/>
    </row>
    <row r="49" spans="1:19" x14ac:dyDescent="0.2">
      <c r="A49" s="128" t="s">
        <v>42</v>
      </c>
      <c r="B49" s="78"/>
      <c r="C49" s="78"/>
      <c r="D49" s="78"/>
      <c r="E49" s="80"/>
      <c r="F49" s="127"/>
      <c r="G49" s="82"/>
      <c r="H49" s="80"/>
      <c r="I49" s="127"/>
      <c r="J49" s="82"/>
      <c r="K49" s="80"/>
      <c r="L49" s="127"/>
      <c r="M49" s="82"/>
      <c r="N49" s="80"/>
      <c r="O49" s="81"/>
      <c r="P49" s="29"/>
      <c r="S49" s="161"/>
    </row>
    <row r="50" spans="1:19" x14ac:dyDescent="0.2">
      <c r="A50" s="98"/>
      <c r="B50" s="78" t="str">
        <f>Berechnungshilfe!D40</f>
        <v>Ø bitte wählen</v>
      </c>
      <c r="C50" s="78"/>
      <c r="D50" s="78"/>
      <c r="E50" s="80"/>
      <c r="F50" s="100">
        <f>Berechnungshilfe!F40</f>
        <v>0</v>
      </c>
      <c r="G50" s="187"/>
      <c r="H50" s="188"/>
      <c r="I50" s="100">
        <f>Berechnungshilfe!I40</f>
        <v>0</v>
      </c>
      <c r="J50" s="187"/>
      <c r="K50" s="188"/>
      <c r="L50" s="100">
        <f>Berechnungshilfe!L40</f>
        <v>0</v>
      </c>
      <c r="M50" s="82"/>
      <c r="N50" s="80"/>
      <c r="O50" s="100">
        <f>F50+I50+L50</f>
        <v>0</v>
      </c>
      <c r="P50" s="29"/>
      <c r="S50" s="161"/>
    </row>
    <row r="51" spans="1:19" ht="5.25" customHeight="1" x14ac:dyDescent="0.2">
      <c r="A51" s="231"/>
      <c r="B51" s="232"/>
      <c r="C51" s="232"/>
      <c r="D51" s="131"/>
      <c r="E51" s="226"/>
      <c r="F51" s="227"/>
      <c r="G51" s="91"/>
      <c r="H51" s="226"/>
      <c r="I51" s="227"/>
      <c r="J51" s="91"/>
      <c r="K51" s="226"/>
      <c r="L51" s="227"/>
      <c r="M51" s="91"/>
      <c r="N51" s="226"/>
      <c r="O51" s="227"/>
      <c r="P51" s="221"/>
      <c r="S51" s="161"/>
    </row>
    <row r="52" spans="1:19" ht="5.25" customHeight="1" x14ac:dyDescent="0.2">
      <c r="A52" s="76"/>
      <c r="B52" s="230"/>
      <c r="C52" s="230"/>
      <c r="D52" s="130"/>
      <c r="E52" s="127"/>
      <c r="F52" s="127"/>
      <c r="G52" s="127"/>
      <c r="H52" s="127"/>
      <c r="I52" s="127"/>
      <c r="J52" s="127"/>
      <c r="K52" s="127"/>
      <c r="L52" s="127"/>
      <c r="M52" s="127"/>
      <c r="N52" s="127"/>
      <c r="O52" s="127"/>
      <c r="P52" s="29"/>
      <c r="S52" s="161"/>
    </row>
    <row r="53" spans="1:19" x14ac:dyDescent="0.2">
      <c r="A53" s="128" t="s">
        <v>149</v>
      </c>
      <c r="B53" s="230"/>
      <c r="C53" s="230"/>
      <c r="D53" s="130"/>
      <c r="F53" s="88">
        <v>90</v>
      </c>
      <c r="G53" s="215" t="s">
        <v>43</v>
      </c>
      <c r="H53" s="88" t="s">
        <v>188</v>
      </c>
      <c r="I53" s="88"/>
      <c r="J53" s="593" t="s">
        <v>196</v>
      </c>
      <c r="K53" s="593"/>
      <c r="L53" s="593"/>
      <c r="M53" s="594" t="s">
        <v>141</v>
      </c>
      <c r="N53" s="596" t="s">
        <v>142</v>
      </c>
      <c r="O53" s="596"/>
      <c r="P53" s="597"/>
    </row>
    <row r="54" spans="1:19" x14ac:dyDescent="0.2">
      <c r="A54" s="76"/>
      <c r="B54" s="230"/>
      <c r="C54" s="230"/>
      <c r="D54" s="130"/>
      <c r="F54" s="592">
        <v>380</v>
      </c>
      <c r="G54" s="592"/>
      <c r="H54" s="592"/>
      <c r="I54" s="592"/>
      <c r="J54" s="593"/>
      <c r="K54" s="593"/>
      <c r="L54" s="593"/>
      <c r="M54" s="595"/>
      <c r="N54" s="596"/>
      <c r="O54" s="596"/>
      <c r="P54" s="597"/>
    </row>
    <row r="55" spans="1:19" x14ac:dyDescent="0.2">
      <c r="A55" s="76"/>
      <c r="B55" s="230"/>
      <c r="C55" s="230"/>
      <c r="D55" s="130"/>
      <c r="F55" s="225"/>
      <c r="G55" s="225"/>
      <c r="H55" s="225"/>
      <c r="I55" s="225"/>
      <c r="J55" s="225"/>
      <c r="K55" s="81"/>
      <c r="L55" s="81"/>
      <c r="M55" s="81"/>
      <c r="N55" s="81"/>
      <c r="O55" s="81"/>
      <c r="P55" s="29"/>
    </row>
    <row r="56" spans="1:19" x14ac:dyDescent="0.2">
      <c r="A56" s="76"/>
      <c r="B56" s="230"/>
      <c r="C56" s="230"/>
      <c r="D56" s="130"/>
      <c r="F56" s="88">
        <v>90</v>
      </c>
      <c r="G56" s="215" t="s">
        <v>43</v>
      </c>
      <c r="H56" s="339">
        <f>O50</f>
        <v>0</v>
      </c>
      <c r="I56" s="88"/>
      <c r="J56" s="598">
        <v>10</v>
      </c>
      <c r="K56" s="598"/>
      <c r="L56" s="599">
        <f>ROUNDUP(H56/F57,0)</f>
        <v>0</v>
      </c>
      <c r="M56" s="594" t="s">
        <v>141</v>
      </c>
      <c r="N56" s="600">
        <f>((H56*F56/F57)+(J56*L56))/100</f>
        <v>0</v>
      </c>
      <c r="O56" s="340"/>
      <c r="P56" s="341"/>
    </row>
    <row r="57" spans="1:19" x14ac:dyDescent="0.2">
      <c r="A57" s="76"/>
      <c r="B57" s="230"/>
      <c r="C57" s="230"/>
      <c r="D57" s="130"/>
      <c r="F57" s="592">
        <v>380</v>
      </c>
      <c r="G57" s="592"/>
      <c r="H57" s="592"/>
      <c r="I57" s="592"/>
      <c r="J57" s="598"/>
      <c r="K57" s="598"/>
      <c r="L57" s="599"/>
      <c r="M57" s="595"/>
      <c r="N57" s="600"/>
      <c r="O57" s="340"/>
      <c r="P57" s="341"/>
    </row>
    <row r="58" spans="1:19" x14ac:dyDescent="0.2">
      <c r="A58" s="231"/>
      <c r="B58" s="232"/>
      <c r="C58" s="232"/>
      <c r="D58" s="131"/>
      <c r="E58" s="215"/>
      <c r="F58" s="215"/>
      <c r="G58" s="215"/>
      <c r="H58" s="215"/>
      <c r="I58" s="215"/>
      <c r="J58" s="215"/>
      <c r="K58" s="88"/>
      <c r="L58" s="88"/>
      <c r="M58" s="88"/>
      <c r="N58" s="88"/>
      <c r="O58" s="88"/>
      <c r="P58" s="221"/>
    </row>
    <row r="59" spans="1:19" x14ac:dyDescent="0.2">
      <c r="A59" s="25"/>
      <c r="B59" s="25"/>
      <c r="C59" s="25"/>
      <c r="D59" s="25"/>
      <c r="E59" s="24"/>
      <c r="F59" s="24"/>
      <c r="G59" s="24"/>
      <c r="H59" s="24"/>
      <c r="I59" s="24"/>
      <c r="J59" s="24"/>
      <c r="K59" s="24"/>
      <c r="L59" s="24"/>
      <c r="M59" s="24"/>
      <c r="N59" s="24"/>
      <c r="O59" s="24"/>
    </row>
    <row r="60" spans="1:19" s="37" customFormat="1" ht="21.75" customHeight="1" x14ac:dyDescent="0.2">
      <c r="A60" s="424" t="s">
        <v>139</v>
      </c>
      <c r="B60" s="48"/>
      <c r="C60" s="49"/>
      <c r="D60" s="49"/>
      <c r="E60" s="49"/>
      <c r="F60" s="49"/>
      <c r="G60" s="49"/>
      <c r="H60" s="49"/>
      <c r="I60" s="49"/>
      <c r="J60" s="49"/>
      <c r="K60" s="49"/>
      <c r="L60" s="49"/>
      <c r="M60" s="49"/>
      <c r="N60" s="49"/>
      <c r="O60" s="49"/>
      <c r="P60" s="49"/>
    </row>
    <row r="61" spans="1:19" s="25" customFormat="1" ht="5.25" customHeight="1" x14ac:dyDescent="0.2">
      <c r="A61" s="127"/>
      <c r="B61" s="127"/>
      <c r="C61" s="127"/>
      <c r="D61" s="127"/>
      <c r="E61" s="186"/>
      <c r="F61" s="186"/>
      <c r="G61" s="186"/>
      <c r="H61" s="186"/>
      <c r="I61" s="186"/>
      <c r="J61" s="186"/>
      <c r="K61" s="186"/>
      <c r="L61" s="186"/>
      <c r="M61" s="186"/>
      <c r="N61" s="186"/>
      <c r="O61" s="186"/>
      <c r="P61" s="186"/>
    </row>
    <row r="62" spans="1:19" s="25" customFormat="1" ht="21.75" customHeight="1" x14ac:dyDescent="0.2">
      <c r="A62" s="57"/>
      <c r="B62" s="58"/>
      <c r="C62" s="58"/>
      <c r="D62" s="58"/>
      <c r="E62" s="581" t="s">
        <v>3</v>
      </c>
      <c r="F62" s="582"/>
      <c r="G62" s="583"/>
      <c r="H62" s="581" t="s">
        <v>4</v>
      </c>
      <c r="I62" s="582"/>
      <c r="J62" s="583"/>
      <c r="K62" s="581" t="s">
        <v>5</v>
      </c>
      <c r="L62" s="582"/>
      <c r="M62" s="583"/>
      <c r="N62" s="581" t="s">
        <v>6</v>
      </c>
      <c r="O62" s="582"/>
      <c r="P62" s="583"/>
    </row>
    <row r="63" spans="1:19" s="25" customFormat="1" ht="6" customHeight="1" x14ac:dyDescent="0.2">
      <c r="A63" s="127"/>
      <c r="B63" s="127"/>
      <c r="C63" s="127"/>
      <c r="D63" s="127"/>
      <c r="E63" s="186"/>
      <c r="F63" s="186"/>
      <c r="G63" s="186"/>
      <c r="H63" s="186"/>
      <c r="I63" s="186"/>
      <c r="J63" s="186"/>
      <c r="K63" s="186"/>
      <c r="L63" s="186"/>
      <c r="M63" s="186"/>
      <c r="N63" s="186"/>
      <c r="O63" s="186"/>
      <c r="P63" s="186"/>
    </row>
    <row r="64" spans="1:19" s="25" customFormat="1" ht="5.25" customHeight="1" x14ac:dyDescent="0.2">
      <c r="A64" s="111"/>
      <c r="B64" s="112"/>
      <c r="C64" s="112"/>
      <c r="D64" s="120"/>
      <c r="E64" s="113"/>
      <c r="F64" s="114"/>
      <c r="G64" s="115"/>
      <c r="H64" s="114"/>
      <c r="I64" s="114"/>
      <c r="J64" s="114"/>
      <c r="K64" s="113"/>
      <c r="L64" s="114"/>
      <c r="M64" s="115"/>
      <c r="N64" s="113"/>
      <c r="O64" s="114"/>
      <c r="P64" s="116"/>
    </row>
    <row r="65" spans="1:16" s="25" customFormat="1" x14ac:dyDescent="0.2">
      <c r="A65" s="128" t="s">
        <v>42</v>
      </c>
      <c r="B65" s="78"/>
      <c r="C65" s="78"/>
      <c r="D65" s="79"/>
      <c r="E65" s="80"/>
      <c r="F65" s="127"/>
      <c r="G65" s="82"/>
      <c r="H65" s="81"/>
      <c r="I65" s="127"/>
      <c r="J65" s="81"/>
      <c r="K65" s="80"/>
      <c r="L65" s="127"/>
      <c r="M65" s="82"/>
      <c r="N65" s="80"/>
      <c r="O65" s="81"/>
      <c r="P65" s="83"/>
    </row>
    <row r="66" spans="1:16" s="25" customFormat="1" x14ac:dyDescent="0.2">
      <c r="A66" s="98"/>
      <c r="B66" s="78" t="str">
        <f>Berechnungshilfe!D90</f>
        <v xml:space="preserve">Ø  /  / </v>
      </c>
      <c r="C66" s="78"/>
      <c r="D66" s="79"/>
      <c r="E66" s="80"/>
      <c r="F66" s="100">
        <f>Berechnungshilfe!F90</f>
        <v>0</v>
      </c>
      <c r="G66" s="187"/>
      <c r="H66" s="122"/>
      <c r="I66" s="100">
        <f>Berechnungshilfe!I90</f>
        <v>0</v>
      </c>
      <c r="J66" s="122"/>
      <c r="K66" s="188"/>
      <c r="L66" s="100">
        <f>Berechnungshilfe!L90</f>
        <v>0</v>
      </c>
      <c r="M66" s="82"/>
      <c r="N66" s="80"/>
      <c r="O66" s="100">
        <f>F66+I66+L66</f>
        <v>0</v>
      </c>
      <c r="P66" s="83"/>
    </row>
    <row r="67" spans="1:16" ht="5.25" customHeight="1" x14ac:dyDescent="0.2">
      <c r="A67" s="217"/>
      <c r="B67" s="218"/>
      <c r="C67" s="218"/>
      <c r="D67" s="219"/>
      <c r="E67" s="220"/>
      <c r="F67" s="214"/>
      <c r="G67" s="221"/>
      <c r="H67" s="214"/>
      <c r="I67" s="214"/>
      <c r="J67" s="214"/>
      <c r="K67" s="220"/>
      <c r="L67" s="214"/>
      <c r="M67" s="221"/>
      <c r="N67" s="220"/>
      <c r="O67" s="214"/>
      <c r="P67" s="221"/>
    </row>
    <row r="68" spans="1:16" ht="5.25" customHeight="1" x14ac:dyDescent="0.2">
      <c r="A68" s="202"/>
      <c r="B68" s="65"/>
      <c r="C68" s="65"/>
      <c r="D68" s="203"/>
      <c r="E68" s="189"/>
      <c r="F68" s="9"/>
      <c r="G68" s="29"/>
      <c r="H68" s="9"/>
      <c r="I68" s="9"/>
      <c r="J68" s="9"/>
      <c r="K68" s="189"/>
      <c r="L68" s="9"/>
      <c r="M68" s="29"/>
      <c r="N68" s="241"/>
      <c r="O68" s="239"/>
      <c r="P68" s="224"/>
    </row>
    <row r="69" spans="1:16" ht="12.75" customHeight="1" x14ac:dyDescent="0.2">
      <c r="A69" s="204"/>
      <c r="B69" s="205"/>
      <c r="C69" s="205"/>
      <c r="D69" s="35"/>
      <c r="E69" s="602" t="s">
        <v>144</v>
      </c>
      <c r="F69" s="601" t="s">
        <v>6</v>
      </c>
      <c r="G69" s="233"/>
      <c r="H69" s="602" t="s">
        <v>144</v>
      </c>
      <c r="I69" s="601" t="s">
        <v>6</v>
      </c>
      <c r="J69" s="234"/>
      <c r="K69" s="602" t="s">
        <v>144</v>
      </c>
      <c r="L69" s="601" t="s">
        <v>6</v>
      </c>
      <c r="M69" s="233"/>
      <c r="N69" s="602" t="s">
        <v>144</v>
      </c>
      <c r="O69" s="601" t="s">
        <v>6</v>
      </c>
      <c r="P69" s="191"/>
    </row>
    <row r="70" spans="1:16" x14ac:dyDescent="0.2">
      <c r="A70" s="128" t="s">
        <v>16</v>
      </c>
      <c r="B70" s="205"/>
      <c r="C70" s="205"/>
      <c r="D70" s="35"/>
      <c r="E70" s="602"/>
      <c r="F70" s="601"/>
      <c r="G70" s="233"/>
      <c r="H70" s="602"/>
      <c r="I70" s="601"/>
      <c r="J70" s="234"/>
      <c r="K70" s="602"/>
      <c r="L70" s="601"/>
      <c r="M70" s="233"/>
      <c r="N70" s="602"/>
      <c r="O70" s="601"/>
      <c r="P70" s="191"/>
    </row>
    <row r="71" spans="1:16" x14ac:dyDescent="0.2">
      <c r="A71" s="202"/>
      <c r="B71" s="205" t="s">
        <v>136</v>
      </c>
      <c r="C71" s="205"/>
      <c r="D71" s="35"/>
      <c r="E71" s="192" t="e">
        <f>VLOOKUP(Berechnungshilfe!O7,Hilfetabelle!A58:D69,2,FALSE)</f>
        <v>#N/A</v>
      </c>
      <c r="F71" s="212" t="e">
        <f>$F$66*E71</f>
        <v>#N/A</v>
      </c>
      <c r="G71" s="193"/>
      <c r="H71" s="34" t="e">
        <f>VLOOKUP(Berechnungshilfe!O7,Hilfetabelle!A58:D69,3,FALSE)</f>
        <v>#N/A</v>
      </c>
      <c r="I71" s="212" t="e">
        <f>$I$66*H71</f>
        <v>#N/A</v>
      </c>
      <c r="J71" s="34"/>
      <c r="K71" s="192" t="e">
        <f>VLOOKUP(Berechnungshilfe!O7,Hilfetabelle!A58:D69,4,FALSE)</f>
        <v>#N/A</v>
      </c>
      <c r="L71" s="212" t="e">
        <f>$L$66*K71</f>
        <v>#N/A</v>
      </c>
      <c r="M71" s="191"/>
      <c r="N71" s="190"/>
      <c r="O71" s="212" t="e">
        <f>F71+I71+L71</f>
        <v>#N/A</v>
      </c>
      <c r="P71" s="191"/>
    </row>
    <row r="72" spans="1:16" x14ac:dyDescent="0.2">
      <c r="A72" s="202"/>
      <c r="B72" s="205" t="s">
        <v>137</v>
      </c>
      <c r="C72" s="205"/>
      <c r="D72" s="35"/>
      <c r="E72" s="192" t="e">
        <f>VLOOKUP(Berechnungshilfe!O7,Hilfetabelle!F58:I69,2,FALSE)</f>
        <v>#N/A</v>
      </c>
      <c r="F72" s="212" t="e">
        <f>$F$66*E72</f>
        <v>#N/A</v>
      </c>
      <c r="G72" s="193"/>
      <c r="H72" s="34" t="e">
        <f>VLOOKUP(Berechnungshilfe!O7,Hilfetabelle!F58:I69,3,FALSE)</f>
        <v>#N/A</v>
      </c>
      <c r="I72" s="212" t="e">
        <f>$I$66*H72</f>
        <v>#N/A</v>
      </c>
      <c r="J72" s="34"/>
      <c r="K72" s="192" t="e">
        <f>VLOOKUP(Berechnungshilfe!O7,Hilfetabelle!F58:I69,4,FALSE)</f>
        <v>#N/A</v>
      </c>
      <c r="L72" s="212" t="e">
        <f>$L$66*K72</f>
        <v>#N/A</v>
      </c>
      <c r="M72" s="191"/>
      <c r="N72" s="190"/>
      <c r="O72" s="212" t="e">
        <f>F72+I72+L72</f>
        <v>#N/A</v>
      </c>
      <c r="P72" s="191"/>
    </row>
    <row r="73" spans="1:16" x14ac:dyDescent="0.2">
      <c r="A73" s="202"/>
      <c r="B73" s="205" t="s">
        <v>138</v>
      </c>
      <c r="C73" s="205"/>
      <c r="D73" s="35"/>
      <c r="E73" s="192" t="e">
        <f>VLOOKUP(Berechnungshilfe!O7,Hilfetabelle!K58:N69,2,FALSE)</f>
        <v>#N/A</v>
      </c>
      <c r="F73" s="212" t="e">
        <f>$F$66*E73</f>
        <v>#N/A</v>
      </c>
      <c r="G73" s="193"/>
      <c r="H73" s="34" t="e">
        <f>VLOOKUP(Berechnungshilfe!O7,Hilfetabelle!K58:N69,3,FALSE)</f>
        <v>#N/A</v>
      </c>
      <c r="I73" s="212" t="e">
        <f>$I$66*H73</f>
        <v>#N/A</v>
      </c>
      <c r="J73" s="34"/>
      <c r="K73" s="192" t="e">
        <f>VLOOKUP(Berechnungshilfe!O7,Hilfetabelle!K58:N69,4,FALSE)</f>
        <v>#N/A</v>
      </c>
      <c r="L73" s="212" t="e">
        <f>$L$66*K73</f>
        <v>#N/A</v>
      </c>
      <c r="M73" s="191"/>
      <c r="N73" s="190"/>
      <c r="O73" s="212" t="e">
        <f>F73+I73+L73</f>
        <v>#N/A</v>
      </c>
      <c r="P73" s="191"/>
    </row>
    <row r="74" spans="1:16" x14ac:dyDescent="0.2">
      <c r="A74" s="202"/>
      <c r="B74" s="205" t="s">
        <v>152</v>
      </c>
      <c r="C74" s="205"/>
      <c r="D74" s="35"/>
      <c r="E74" s="192" t="e">
        <f>VLOOKUP(Berechnungshilfe!O7,Hilfetabelle!P58:S69,2,FALSE)</f>
        <v>#N/A</v>
      </c>
      <c r="F74" s="212" t="e">
        <f>$F$66*E74</f>
        <v>#N/A</v>
      </c>
      <c r="G74" s="193"/>
      <c r="H74" s="34" t="e">
        <f>VLOOKUP(Berechnungshilfe!O7,Hilfetabelle!P58:S69,3,FALSE)</f>
        <v>#N/A</v>
      </c>
      <c r="I74" s="212" t="e">
        <f>$I$66*H74</f>
        <v>#N/A</v>
      </c>
      <c r="J74" s="34"/>
      <c r="K74" s="192" t="e">
        <f>VLOOKUP(Berechnungshilfe!O7,Hilfetabelle!P58:S69,4,FALSE)</f>
        <v>#N/A</v>
      </c>
      <c r="L74" s="212" t="e">
        <f>$L$66*K74</f>
        <v>#N/A</v>
      </c>
      <c r="M74" s="191"/>
      <c r="N74" s="190"/>
      <c r="O74" s="212" t="e">
        <f>F74+I74+L74</f>
        <v>#N/A</v>
      </c>
      <c r="P74" s="191"/>
    </row>
    <row r="75" spans="1:16" ht="5.25" customHeight="1" x14ac:dyDescent="0.2">
      <c r="A75" s="202"/>
      <c r="B75" s="205"/>
      <c r="C75" s="205"/>
      <c r="D75" s="35"/>
      <c r="E75" s="194"/>
      <c r="F75" s="9"/>
      <c r="G75" s="195"/>
      <c r="H75" s="216"/>
      <c r="I75" s="9"/>
      <c r="J75" s="216"/>
      <c r="K75" s="194"/>
      <c r="L75" s="9"/>
      <c r="M75" s="191"/>
      <c r="N75" s="190"/>
      <c r="O75" s="9"/>
      <c r="P75" s="191"/>
    </row>
    <row r="76" spans="1:16" s="183" customFormat="1" x14ac:dyDescent="0.2">
      <c r="A76" s="206"/>
      <c r="B76" s="207" t="s">
        <v>6</v>
      </c>
      <c r="C76" s="207"/>
      <c r="D76" s="208"/>
      <c r="E76" s="196" t="e">
        <f>SUM(E71:E74)</f>
        <v>#N/A</v>
      </c>
      <c r="F76" s="213" t="e">
        <f>$F$66*E76</f>
        <v>#N/A</v>
      </c>
      <c r="G76" s="198"/>
      <c r="H76" s="196" t="e">
        <f>SUM(H71:H74)</f>
        <v>#N/A</v>
      </c>
      <c r="I76" s="213" t="e">
        <f>$I$66*H76</f>
        <v>#N/A</v>
      </c>
      <c r="J76" s="197"/>
      <c r="K76" s="196" t="e">
        <f>SUM(K71:K74)</f>
        <v>#N/A</v>
      </c>
      <c r="L76" s="213" t="e">
        <f>$L$66*K76</f>
        <v>#N/A</v>
      </c>
      <c r="M76" s="199"/>
      <c r="N76" s="200"/>
      <c r="O76" s="213" t="e">
        <f>F76+I76+L76</f>
        <v>#N/A</v>
      </c>
      <c r="P76" s="199"/>
    </row>
    <row r="77" spans="1:16" x14ac:dyDescent="0.2">
      <c r="A77" s="204"/>
      <c r="B77" s="205"/>
      <c r="C77" s="205"/>
      <c r="D77" s="35"/>
      <c r="E77" s="190"/>
      <c r="F77" s="26"/>
      <c r="G77" s="191"/>
      <c r="H77" s="26"/>
      <c r="I77" s="26"/>
      <c r="J77" s="26"/>
      <c r="K77" s="190"/>
      <c r="L77" s="26"/>
      <c r="M77" s="191"/>
      <c r="N77" s="190"/>
      <c r="O77" s="26"/>
      <c r="P77" s="191"/>
    </row>
    <row r="78" spans="1:16" x14ac:dyDescent="0.2">
      <c r="A78" s="204"/>
      <c r="B78" s="205"/>
      <c r="C78" s="205"/>
      <c r="D78" s="35"/>
      <c r="E78" s="190"/>
      <c r="F78" s="26"/>
      <c r="G78" s="191"/>
      <c r="H78" s="26"/>
      <c r="I78" s="26"/>
      <c r="J78" s="26"/>
      <c r="K78" s="190"/>
      <c r="L78" s="26"/>
      <c r="M78" s="191"/>
      <c r="N78" s="190"/>
      <c r="O78" s="26"/>
      <c r="P78" s="191"/>
    </row>
    <row r="79" spans="1:16" x14ac:dyDescent="0.2">
      <c r="A79" s="128" t="s">
        <v>137</v>
      </c>
      <c r="B79" s="205"/>
      <c r="C79" s="205"/>
      <c r="D79" s="35"/>
      <c r="E79" s="190"/>
      <c r="F79" s="26"/>
      <c r="G79" s="191"/>
      <c r="H79" s="26"/>
      <c r="I79" s="26"/>
      <c r="J79" s="26"/>
      <c r="K79" s="190"/>
      <c r="L79" s="26"/>
      <c r="M79" s="191"/>
      <c r="N79" s="190"/>
      <c r="O79" s="26"/>
      <c r="P79" s="29"/>
    </row>
    <row r="80" spans="1:16" x14ac:dyDescent="0.2">
      <c r="A80" s="202"/>
      <c r="B80" s="205" t="s">
        <v>131</v>
      </c>
      <c r="C80" s="205"/>
      <c r="D80" s="35"/>
      <c r="E80" s="192" t="e">
        <f>VLOOKUP(Berechnungshilfe!O7,Hilfetabelle!A73:D84,2,FALSE)</f>
        <v>#N/A</v>
      </c>
      <c r="F80" s="212" t="e">
        <f>E80*$F$66</f>
        <v>#N/A</v>
      </c>
      <c r="G80" s="193"/>
      <c r="H80" s="34" t="e">
        <f>VLOOKUP(Berechnungshilfe!O7,Hilfetabelle!A73:D84,3,FALSE)</f>
        <v>#N/A</v>
      </c>
      <c r="I80" s="212" t="e">
        <f>H80*$I$66</f>
        <v>#N/A</v>
      </c>
      <c r="J80" s="34"/>
      <c r="K80" s="192" t="e">
        <f>VLOOKUP(Berechnungshilfe!O7,Hilfetabelle!A73:D84,4,FALSE)</f>
        <v>#N/A</v>
      </c>
      <c r="L80" s="212" t="e">
        <f>K80*$L$66</f>
        <v>#N/A</v>
      </c>
      <c r="M80" s="193"/>
      <c r="N80" s="192"/>
      <c r="O80" s="212" t="e">
        <f>F80+I80+L80</f>
        <v>#N/A</v>
      </c>
      <c r="P80" s="29"/>
    </row>
    <row r="81" spans="1:16" ht="5.25" customHeight="1" x14ac:dyDescent="0.2">
      <c r="A81" s="204"/>
      <c r="B81" s="205"/>
      <c r="C81" s="205"/>
      <c r="D81" s="35"/>
      <c r="E81" s="192"/>
      <c r="F81" s="34"/>
      <c r="G81" s="193"/>
      <c r="H81" s="34"/>
      <c r="I81" s="34"/>
      <c r="J81" s="34"/>
      <c r="K81" s="192"/>
      <c r="L81" s="34"/>
      <c r="M81" s="193"/>
      <c r="N81" s="192"/>
      <c r="O81" s="34"/>
      <c r="P81" s="29"/>
    </row>
    <row r="82" spans="1:16" x14ac:dyDescent="0.2">
      <c r="A82" s="204"/>
      <c r="B82" s="205" t="s">
        <v>132</v>
      </c>
      <c r="C82" s="209" t="e">
        <f>VLOOKUP(Berechnungshilfe!O7,Hilfetabelle!H34:N46,5,FALSE)</f>
        <v>#N/A</v>
      </c>
      <c r="D82" s="35"/>
      <c r="E82" s="192" t="e">
        <f>VLOOKUP(Berechnungshilfe!O7,Hilfetabelle!F73:I84,2,FALSE)</f>
        <v>#N/A</v>
      </c>
      <c r="F82" s="212" t="e">
        <f>E82*$F$66</f>
        <v>#N/A</v>
      </c>
      <c r="G82" s="193"/>
      <c r="H82" s="34" t="e">
        <f>VLOOKUP(Berechnungshilfe!O7,Hilfetabelle!F73:I84,3,FALSE)</f>
        <v>#N/A</v>
      </c>
      <c r="I82" s="212" t="e">
        <f>H82*$I$66</f>
        <v>#N/A</v>
      </c>
      <c r="J82" s="34"/>
      <c r="K82" s="192" t="e">
        <f>VLOOKUP(Berechnungshilfe!O7,Hilfetabelle!F73:I84,4,FALSE)</f>
        <v>#N/A</v>
      </c>
      <c r="L82" s="212" t="e">
        <f>K82*$L$66</f>
        <v>#N/A</v>
      </c>
      <c r="M82" s="193"/>
      <c r="N82" s="192"/>
      <c r="O82" s="212" t="e">
        <f>F82+I82+L82</f>
        <v>#N/A</v>
      </c>
      <c r="P82" s="29"/>
    </row>
    <row r="83" spans="1:16" x14ac:dyDescent="0.2">
      <c r="A83" s="204"/>
      <c r="B83" s="205" t="s">
        <v>179</v>
      </c>
      <c r="C83" s="373" t="e">
        <f>VLOOKUP(Berechnungshilfe!O7,Hilfetabelle!H34:N46,6,FALSE)</f>
        <v>#N/A</v>
      </c>
      <c r="D83" s="35"/>
      <c r="E83" s="192" t="e">
        <f>VLOOKUP(Berechnungshilfe!O7,Hilfetabelle!K73:N84,2,FALSE)</f>
        <v>#N/A</v>
      </c>
      <c r="F83" s="212" t="e">
        <f>E83*$F$66</f>
        <v>#N/A</v>
      </c>
      <c r="G83" s="193"/>
      <c r="H83" s="34" t="e">
        <f>VLOOKUP(Berechnungshilfe!O7,Hilfetabelle!K73:N84,3,FALSE)</f>
        <v>#N/A</v>
      </c>
      <c r="I83" s="212" t="e">
        <f>H83*$I$66</f>
        <v>#N/A</v>
      </c>
      <c r="J83" s="34"/>
      <c r="K83" s="192" t="e">
        <f>VLOOKUP(Berechnungshilfe!O7,Hilfetabelle!K73:N84,4,FALSE)</f>
        <v>#N/A</v>
      </c>
      <c r="L83" s="212" t="e">
        <f>K83*$L$66</f>
        <v>#N/A</v>
      </c>
      <c r="M83" s="193"/>
      <c r="N83" s="192"/>
      <c r="O83" s="212" t="e">
        <f>F83+I83+L83</f>
        <v>#N/A</v>
      </c>
      <c r="P83" s="29"/>
    </row>
    <row r="84" spans="1:16" x14ac:dyDescent="0.2">
      <c r="A84" s="204"/>
      <c r="B84" s="205" t="s">
        <v>134</v>
      </c>
      <c r="C84" s="373" t="e">
        <f>VLOOKUP(Berechnungshilfe!O7,Hilfetabelle!H34:N46,7,FALSE)</f>
        <v>#N/A</v>
      </c>
      <c r="D84" s="35"/>
      <c r="E84" s="192" t="e">
        <f>VLOOKUP(Berechnungshilfe!O7,Hilfetabelle!P73:S84,2,FALSE)</f>
        <v>#N/A</v>
      </c>
      <c r="F84" s="212" t="e">
        <f>E84*$F$66</f>
        <v>#N/A</v>
      </c>
      <c r="G84" s="193"/>
      <c r="H84" s="34" t="e">
        <f>VLOOKUP(Berechnungshilfe!O7,Hilfetabelle!P73:S84,3,FALSE)</f>
        <v>#N/A</v>
      </c>
      <c r="I84" s="212" t="e">
        <f>H84*$I$66</f>
        <v>#N/A</v>
      </c>
      <c r="J84" s="34"/>
      <c r="K84" s="192" t="e">
        <f>VLOOKUP(Berechnungshilfe!O7,Hilfetabelle!P73:S84,4,FALSE)</f>
        <v>#N/A</v>
      </c>
      <c r="L84" s="212" t="e">
        <f>K84*$L$66</f>
        <v>#N/A</v>
      </c>
      <c r="M84" s="193"/>
      <c r="N84" s="192"/>
      <c r="O84" s="212" t="e">
        <f>F84+I84+L84</f>
        <v>#N/A</v>
      </c>
      <c r="P84" s="29"/>
    </row>
    <row r="85" spans="1:16" ht="5.25" customHeight="1" x14ac:dyDescent="0.2">
      <c r="A85" s="204"/>
      <c r="B85" s="205"/>
      <c r="C85" s="210"/>
      <c r="D85" s="35"/>
      <c r="E85" s="192"/>
      <c r="F85" s="34"/>
      <c r="G85" s="193"/>
      <c r="H85" s="34"/>
      <c r="I85" s="34"/>
      <c r="J85" s="34"/>
      <c r="K85" s="192"/>
      <c r="L85" s="34"/>
      <c r="M85" s="193"/>
      <c r="N85" s="192"/>
      <c r="O85" s="34"/>
      <c r="P85" s="29"/>
    </row>
    <row r="86" spans="1:16" s="183" customFormat="1" x14ac:dyDescent="0.2">
      <c r="A86" s="211"/>
      <c r="B86" s="207" t="s">
        <v>6</v>
      </c>
      <c r="C86" s="207"/>
      <c r="D86" s="208"/>
      <c r="E86" s="196" t="e">
        <f>SUM(E82:E84)</f>
        <v>#N/A</v>
      </c>
      <c r="F86" s="213" t="e">
        <f>E86*$F$66</f>
        <v>#N/A</v>
      </c>
      <c r="G86" s="198"/>
      <c r="H86" s="197" t="e">
        <f>SUM(H82:H84)</f>
        <v>#N/A</v>
      </c>
      <c r="I86" s="213" t="e">
        <f>H86*$I$66</f>
        <v>#N/A</v>
      </c>
      <c r="J86" s="197"/>
      <c r="K86" s="196" t="e">
        <f>SUM(K82:K84)</f>
        <v>#N/A</v>
      </c>
      <c r="L86" s="213" t="e">
        <f>K86*$L$66</f>
        <v>#N/A</v>
      </c>
      <c r="M86" s="198"/>
      <c r="N86" s="196"/>
      <c r="O86" s="213" t="e">
        <f>F86+I86+L86</f>
        <v>#N/A</v>
      </c>
      <c r="P86" s="201"/>
    </row>
    <row r="87" spans="1:16" x14ac:dyDescent="0.2">
      <c r="A87" s="204"/>
      <c r="B87" s="205"/>
      <c r="C87" s="205"/>
      <c r="D87" s="35"/>
      <c r="E87" s="190"/>
      <c r="F87" s="26"/>
      <c r="G87" s="191"/>
      <c r="H87" s="26"/>
      <c r="I87" s="26"/>
      <c r="J87" s="26"/>
      <c r="K87" s="190"/>
      <c r="L87" s="26"/>
      <c r="M87" s="191"/>
      <c r="N87" s="190"/>
      <c r="O87" s="26"/>
      <c r="P87" s="29"/>
    </row>
    <row r="88" spans="1:16" x14ac:dyDescent="0.2">
      <c r="A88" s="217"/>
      <c r="B88" s="218"/>
      <c r="C88" s="218"/>
      <c r="D88" s="219"/>
      <c r="E88" s="220"/>
      <c r="F88" s="214"/>
      <c r="G88" s="221"/>
      <c r="H88" s="214"/>
      <c r="I88" s="214"/>
      <c r="J88" s="214"/>
      <c r="K88" s="220"/>
      <c r="L88" s="214"/>
      <c r="M88" s="221"/>
      <c r="N88" s="220"/>
      <c r="O88" s="214"/>
      <c r="P88" s="221"/>
    </row>
    <row r="89" spans="1:16" ht="6" customHeight="1" x14ac:dyDescent="0.2"/>
    <row r="90" spans="1:16" s="323" customFormat="1" ht="12.75" customHeight="1" x14ac:dyDescent="0.15">
      <c r="A90" s="322">
        <v>1</v>
      </c>
      <c r="B90" s="323" t="s">
        <v>180</v>
      </c>
    </row>
    <row r="91" spans="1:16" s="323" customFormat="1" ht="12.75" customHeight="1" x14ac:dyDescent="0.15">
      <c r="B91" s="603" t="s">
        <v>181</v>
      </c>
      <c r="C91" s="604" t="s">
        <v>183</v>
      </c>
      <c r="D91" s="604"/>
      <c r="E91" s="606" t="s">
        <v>182</v>
      </c>
      <c r="F91" s="607"/>
    </row>
    <row r="92" spans="1:16" x14ac:dyDescent="0.2">
      <c r="B92" s="603"/>
      <c r="C92" s="605" t="s">
        <v>184</v>
      </c>
      <c r="D92" s="605"/>
      <c r="E92" s="608"/>
      <c r="F92" s="607"/>
    </row>
    <row r="104" spans="1:15" x14ac:dyDescent="0.2">
      <c r="A104" s="25"/>
      <c r="B104" s="25"/>
      <c r="C104" s="25"/>
      <c r="D104" s="25"/>
      <c r="E104" s="24"/>
      <c r="F104" s="24"/>
      <c r="G104" s="24"/>
      <c r="H104" s="24"/>
      <c r="I104" s="24"/>
      <c r="J104" s="24"/>
      <c r="K104" s="24"/>
      <c r="L104" s="24"/>
      <c r="M104" s="24"/>
      <c r="N104" s="24"/>
      <c r="O104" s="24"/>
    </row>
    <row r="105" spans="1:15" x14ac:dyDescent="0.2">
      <c r="A105" s="25"/>
      <c r="B105" s="25"/>
      <c r="C105" s="25"/>
      <c r="D105" s="25"/>
      <c r="E105" s="24"/>
      <c r="F105" s="24"/>
      <c r="G105" s="24"/>
      <c r="H105" s="24"/>
      <c r="I105" s="24"/>
      <c r="J105" s="24"/>
      <c r="K105" s="24"/>
      <c r="L105" s="24"/>
      <c r="M105" s="24"/>
      <c r="N105" s="24"/>
      <c r="O105" s="24"/>
    </row>
    <row r="106" spans="1:15" x14ac:dyDescent="0.2">
      <c r="A106" s="25"/>
      <c r="B106" s="25"/>
      <c r="C106" s="25"/>
      <c r="D106" s="25"/>
      <c r="E106" s="24"/>
      <c r="F106" s="24"/>
      <c r="G106" s="24"/>
      <c r="H106" s="24"/>
      <c r="I106" s="24"/>
      <c r="J106" s="24"/>
      <c r="K106" s="24"/>
      <c r="L106" s="24"/>
      <c r="M106" s="24"/>
      <c r="N106" s="24"/>
      <c r="O106" s="24"/>
    </row>
    <row r="107" spans="1:15" x14ac:dyDescent="0.2">
      <c r="A107" s="25"/>
      <c r="B107" s="25"/>
      <c r="C107" s="25"/>
      <c r="D107" s="25"/>
      <c r="E107" s="25"/>
      <c r="F107" s="25"/>
      <c r="G107" s="25"/>
      <c r="H107" s="25"/>
      <c r="I107" s="25"/>
      <c r="J107" s="25"/>
      <c r="K107" s="25"/>
      <c r="L107" s="25"/>
      <c r="M107" s="25"/>
      <c r="N107" s="25"/>
      <c r="O107" s="25"/>
    </row>
    <row r="108" spans="1:15" x14ac:dyDescent="0.2">
      <c r="A108" s="25"/>
      <c r="B108" s="25"/>
      <c r="C108" s="25"/>
      <c r="D108" s="25"/>
      <c r="E108" s="25"/>
      <c r="F108" s="25"/>
      <c r="G108" s="25"/>
      <c r="H108" s="25"/>
      <c r="I108" s="25"/>
      <c r="J108" s="25"/>
      <c r="K108" s="25"/>
      <c r="L108" s="25"/>
      <c r="M108" s="25"/>
      <c r="N108" s="25"/>
      <c r="O108" s="25"/>
    </row>
  </sheetData>
  <sheetProtection algorithmName="SHA-512" hashValue="CeXNP2PdgvXaDygW11RL8m6BGAFefEtQeAikF6BwMzWyYy40djsj5lcB1h3cmVULC2W4gC1iJeOcFBqk5WOJqw==" saltValue="lqsOjs4aWheJtKRrmQs9Yw==" spinCount="100000" sheet="1" objects="1" scenarios="1"/>
  <mergeCells count="34">
    <mergeCell ref="B91:B92"/>
    <mergeCell ref="C91:D91"/>
    <mergeCell ref="C92:D92"/>
    <mergeCell ref="E91:F92"/>
    <mergeCell ref="N69:N70"/>
    <mergeCell ref="O69:O70"/>
    <mergeCell ref="E69:E70"/>
    <mergeCell ref="F69:F70"/>
    <mergeCell ref="I69:I70"/>
    <mergeCell ref="L69:L70"/>
    <mergeCell ref="K69:K70"/>
    <mergeCell ref="H69:H70"/>
    <mergeCell ref="N62:P62"/>
    <mergeCell ref="F57:I57"/>
    <mergeCell ref="J56:K57"/>
    <mergeCell ref="L56:L57"/>
    <mergeCell ref="N56:N57"/>
    <mergeCell ref="E62:G62"/>
    <mergeCell ref="H62:J62"/>
    <mergeCell ref="K62:M62"/>
    <mergeCell ref="F54:I54"/>
    <mergeCell ref="J53:L54"/>
    <mergeCell ref="M56:M57"/>
    <mergeCell ref="L3:P3"/>
    <mergeCell ref="M53:M54"/>
    <mergeCell ref="N53:P54"/>
    <mergeCell ref="N7:P7"/>
    <mergeCell ref="N46:P46"/>
    <mergeCell ref="E7:G7"/>
    <mergeCell ref="H7:J7"/>
    <mergeCell ref="K7:M7"/>
    <mergeCell ref="E46:G46"/>
    <mergeCell ref="H46:J46"/>
    <mergeCell ref="K46:M46"/>
  </mergeCells>
  <phoneticPr fontId="10" type="noConversion"/>
  <printOptions horizontalCentered="1"/>
  <pageMargins left="0.19685039370078741" right="0.19685039370078741" top="0.98425196850393704" bottom="0.39370078740157483" header="0.19685039370078741" footer="0.19685039370078741"/>
  <pageSetup paperSize="9" scale="95" fitToHeight="0" orientation="portrait" r:id="rId1"/>
  <headerFooter scaleWithDoc="0">
    <oddHeader>&amp;L&amp;"Arial,Fett"Amt für Volksschule&amp;"Arial,Standard"
Finanzen&amp;R
&amp;G</oddHeader>
    <oddFooter>&amp;L&amp;8&amp;F/AVKFIN
Druck: &amp;D/&amp;T&amp;R&amp;8&amp;A
&amp;P/&amp;N</oddFooter>
  </headerFooter>
  <rowBreaks count="1" manualBreakCount="1">
    <brk id="59" max="16383" man="1"/>
  </rowBreaks>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101"/>
  <sheetViews>
    <sheetView showGridLines="0" zoomScaleNormal="100" workbookViewId="0">
      <selection activeCell="AT71" sqref="AT71"/>
    </sheetView>
  </sheetViews>
  <sheetFormatPr baseColWidth="10" defaultColWidth="3.42578125" defaultRowHeight="12.75" x14ac:dyDescent="0.2"/>
  <cols>
    <col min="1" max="1" width="2.28515625" customWidth="1"/>
    <col min="2" max="2" width="18.85546875" customWidth="1"/>
    <col min="3" max="3" width="4.5703125" customWidth="1"/>
    <col min="4" max="4" width="1.7109375" customWidth="1"/>
    <col min="5" max="5" width="3.42578125" customWidth="1"/>
    <col min="6" max="6" width="8.85546875" customWidth="1"/>
    <col min="7" max="7" width="1.7109375" customWidth="1"/>
    <col min="8" max="8" width="3.42578125" customWidth="1"/>
    <col min="9" max="9" width="8.85546875" customWidth="1"/>
    <col min="10" max="10" width="1.7109375" customWidth="1"/>
    <col min="11" max="11" width="3.42578125" customWidth="1"/>
    <col min="12" max="12" width="8.85546875" customWidth="1"/>
    <col min="13" max="13" width="1.7109375" customWidth="1"/>
    <col min="14" max="14" width="3.42578125" customWidth="1"/>
    <col min="15" max="15" width="8.85546875" customWidth="1"/>
    <col min="16" max="17" width="1.7109375" customWidth="1"/>
    <col min="18" max="18" width="3.42578125" customWidth="1"/>
    <col min="19" max="19" width="8.85546875" customWidth="1"/>
    <col min="20" max="20" width="1.7109375" customWidth="1"/>
    <col min="21" max="21" width="3.42578125" customWidth="1"/>
    <col min="22" max="22" width="8.85546875" customWidth="1"/>
    <col min="23" max="23" width="1.7109375" customWidth="1"/>
    <col min="24" max="24" width="3.42578125" customWidth="1"/>
    <col min="25" max="25" width="8.85546875" customWidth="1"/>
    <col min="26" max="26" width="1.7109375" customWidth="1"/>
    <col min="27" max="27" width="3.42578125" customWidth="1"/>
    <col min="28" max="28" width="8.85546875" customWidth="1"/>
    <col min="29" max="30" width="1.7109375" customWidth="1"/>
    <col min="31" max="31" width="3.42578125" customWidth="1"/>
    <col min="32" max="32" width="8.85546875" customWidth="1"/>
    <col min="33" max="33" width="1.7109375" customWidth="1"/>
    <col min="34" max="34" width="8.85546875" style="18" customWidth="1"/>
    <col min="35" max="35" width="3.42578125" customWidth="1"/>
    <col min="36" max="36" width="6.5703125" customWidth="1"/>
    <col min="37" max="37" width="8.85546875" customWidth="1"/>
    <col min="38" max="38" width="3.42578125" customWidth="1"/>
    <col min="39" max="39" width="6.5703125" customWidth="1"/>
    <col min="40" max="40" width="8.85546875" customWidth="1"/>
    <col min="41" max="41" width="3.42578125" customWidth="1"/>
    <col min="42" max="42" width="6.5703125" customWidth="1"/>
    <col min="43" max="43" width="8.85546875" customWidth="1"/>
    <col min="44" max="44" width="3.42578125" customWidth="1"/>
    <col min="45" max="45" width="2.28515625" customWidth="1"/>
    <col min="46" max="46" width="12.28515625" customWidth="1"/>
    <col min="47" max="47" width="8.85546875" customWidth="1"/>
    <col min="48" max="48" width="3.42578125" customWidth="1"/>
    <col min="49" max="49" width="6.5703125" customWidth="1"/>
    <col min="50" max="50" width="8.85546875" customWidth="1"/>
    <col min="51" max="51" width="3.42578125" customWidth="1"/>
    <col min="52" max="52" width="6.5703125" customWidth="1"/>
    <col min="53" max="53" width="8.85546875" customWidth="1"/>
    <col min="54" max="54" width="3.42578125" customWidth="1"/>
    <col min="55" max="55" width="6.5703125" customWidth="1"/>
    <col min="56" max="56" width="8.85546875" customWidth="1"/>
    <col min="57" max="57" width="3.42578125" customWidth="1"/>
    <col min="58" max="58" width="6.5703125" customWidth="1"/>
    <col min="59" max="59" width="8.85546875" customWidth="1"/>
    <col min="60" max="60" width="3.42578125" customWidth="1"/>
    <col min="61" max="61" width="2.28515625" customWidth="1"/>
    <col min="62" max="62" width="12.28515625" customWidth="1"/>
    <col min="63" max="63" width="8.85546875" customWidth="1"/>
    <col min="64" max="64" width="3.42578125" customWidth="1"/>
    <col min="65" max="65" width="6.5703125" customWidth="1"/>
    <col min="66" max="66" width="8.85546875" customWidth="1"/>
    <col min="67" max="67" width="3.42578125" customWidth="1"/>
    <col min="68" max="68" width="6.5703125" customWidth="1"/>
    <col min="69" max="69" width="8.85546875" customWidth="1"/>
    <col min="70" max="70" width="3.42578125" customWidth="1"/>
    <col min="71" max="71" width="6.5703125" customWidth="1"/>
    <col min="72" max="72" width="8.85546875" customWidth="1"/>
    <col min="73" max="73" width="3.42578125" customWidth="1"/>
    <col min="74" max="74" width="6.5703125" customWidth="1"/>
    <col min="75" max="75" width="8.85546875" customWidth="1"/>
    <col min="76" max="76" width="3.42578125" customWidth="1"/>
    <col min="77" max="77" width="2.28515625" customWidth="1"/>
    <col min="78" max="78" width="12.28515625" customWidth="1"/>
    <col min="79" max="79" width="8.85546875" customWidth="1"/>
    <col min="80" max="80" width="3.42578125" customWidth="1"/>
    <col min="81" max="81" width="6.5703125" customWidth="1"/>
    <col min="82" max="82" width="8.85546875" customWidth="1"/>
    <col min="83" max="83" width="3.42578125" customWidth="1"/>
    <col min="84" max="84" width="6.5703125" customWidth="1"/>
    <col min="85" max="85" width="8.85546875" customWidth="1"/>
    <col min="86" max="86" width="3.42578125" customWidth="1"/>
    <col min="87" max="87" width="6.5703125" customWidth="1"/>
    <col min="88" max="88" width="8.85546875" customWidth="1"/>
    <col min="89" max="89" width="3.42578125" customWidth="1"/>
    <col min="90" max="90" width="6.5703125" customWidth="1"/>
    <col min="91" max="91" width="8.85546875" customWidth="1"/>
    <col min="92" max="92" width="3.42578125" customWidth="1"/>
    <col min="93" max="93" width="2.28515625" customWidth="1"/>
    <col min="94" max="94" width="12.28515625" customWidth="1"/>
    <col min="95" max="95" width="8.85546875" customWidth="1"/>
    <col min="96" max="96" width="3.42578125" customWidth="1"/>
    <col min="97" max="97" width="6.5703125" customWidth="1"/>
    <col min="98" max="98" width="8.85546875" customWidth="1"/>
    <col min="99" max="99" width="3.42578125" customWidth="1"/>
    <col min="100" max="100" width="6.5703125" customWidth="1"/>
    <col min="101" max="101" width="8.85546875" customWidth="1"/>
    <col min="102" max="102" width="3.42578125" customWidth="1"/>
    <col min="103" max="103" width="6.5703125" customWidth="1"/>
    <col min="104" max="104" width="8.85546875" customWidth="1"/>
    <col min="105" max="105" width="3.42578125" customWidth="1"/>
    <col min="106" max="106" width="6.5703125" customWidth="1"/>
    <col min="107" max="107" width="8.85546875" customWidth="1"/>
    <col min="108" max="108" width="3.42578125" customWidth="1"/>
    <col min="109" max="109" width="2.28515625" customWidth="1"/>
    <col min="110" max="110" width="12.28515625" customWidth="1"/>
    <col min="111" max="111" width="8.85546875" customWidth="1"/>
    <col min="112" max="112" width="3.42578125" customWidth="1"/>
    <col min="113" max="113" width="6.5703125" customWidth="1"/>
    <col min="114" max="114" width="8.85546875" customWidth="1"/>
    <col min="115" max="115" width="3.42578125" customWidth="1"/>
    <col min="116" max="116" width="6.5703125" customWidth="1"/>
    <col min="117" max="117" width="8.85546875" customWidth="1"/>
    <col min="118" max="118" width="3.42578125" customWidth="1"/>
    <col min="119" max="119" width="6.5703125" customWidth="1"/>
    <col min="120" max="120" width="8.85546875" customWidth="1"/>
    <col min="121" max="121" width="3.42578125" customWidth="1"/>
    <col min="122" max="122" width="6.5703125" customWidth="1"/>
    <col min="123" max="123" width="8.85546875" customWidth="1"/>
    <col min="124" max="124" width="3.42578125" customWidth="1"/>
    <col min="125" max="125" width="2.28515625" customWidth="1"/>
    <col min="126" max="126" width="12.28515625" customWidth="1"/>
    <col min="127" max="127" width="8.85546875" customWidth="1"/>
    <col min="128" max="128" width="3.42578125" customWidth="1"/>
    <col min="129" max="129" width="6.5703125" customWidth="1"/>
    <col min="130" max="130" width="8.85546875" customWidth="1"/>
    <col min="131" max="131" width="3.42578125" customWidth="1"/>
    <col min="132" max="132" width="6.5703125" customWidth="1"/>
    <col min="133" max="133" width="8.85546875" customWidth="1"/>
    <col min="134" max="134" width="3.42578125" customWidth="1"/>
    <col min="135" max="135" width="6.5703125" customWidth="1"/>
    <col min="136" max="136" width="8.85546875" customWidth="1"/>
    <col min="137" max="137" width="3.42578125" customWidth="1"/>
    <col min="138" max="138" width="6.5703125" customWidth="1"/>
    <col min="139" max="139" width="8.85546875" customWidth="1"/>
    <col min="140" max="140" width="3.42578125" customWidth="1"/>
    <col min="141" max="141" width="2.28515625" customWidth="1"/>
    <col min="142" max="142" width="12.28515625" customWidth="1"/>
    <col min="143" max="143" width="8.85546875" customWidth="1"/>
    <col min="144" max="144" width="3.42578125" customWidth="1"/>
    <col min="145" max="145" width="6.5703125" customWidth="1"/>
    <col min="146" max="146" width="8.85546875" customWidth="1"/>
    <col min="147" max="147" width="3.42578125" customWidth="1"/>
    <col min="148" max="148" width="6.5703125" customWidth="1"/>
    <col min="149" max="149" width="8.85546875" customWidth="1"/>
    <col min="150" max="150" width="3.42578125" customWidth="1"/>
    <col min="151" max="151" width="6.5703125" customWidth="1"/>
    <col min="152" max="152" width="8.85546875" customWidth="1"/>
    <col min="153" max="153" width="3.42578125" customWidth="1"/>
    <col min="154" max="154" width="6.5703125" customWidth="1"/>
    <col min="155" max="155" width="8.85546875" customWidth="1"/>
    <col min="156" max="156" width="3.42578125" customWidth="1"/>
    <col min="157" max="157" width="2.28515625" customWidth="1"/>
    <col min="158" max="158" width="12.28515625" customWidth="1"/>
    <col min="159" max="159" width="8.85546875" customWidth="1"/>
    <col min="160" max="160" width="3.42578125" customWidth="1"/>
    <col min="161" max="161" width="6.5703125" customWidth="1"/>
    <col min="162" max="162" width="8.85546875" customWidth="1"/>
    <col min="163" max="163" width="3.42578125" customWidth="1"/>
    <col min="164" max="164" width="6.5703125" customWidth="1"/>
    <col min="165" max="165" width="8.85546875" customWidth="1"/>
    <col min="166" max="166" width="3.42578125" customWidth="1"/>
    <col min="167" max="167" width="6.5703125" customWidth="1"/>
    <col min="168" max="168" width="8.85546875" customWidth="1"/>
    <col min="169" max="169" width="3.42578125" customWidth="1"/>
    <col min="170" max="170" width="6.5703125" customWidth="1"/>
    <col min="171" max="171" width="8.85546875" customWidth="1"/>
    <col min="172" max="172" width="3.42578125" customWidth="1"/>
    <col min="173" max="173" width="2.28515625" customWidth="1"/>
    <col min="174" max="174" width="12.28515625" customWidth="1"/>
    <col min="175" max="175" width="8.85546875" customWidth="1"/>
    <col min="176" max="176" width="3.42578125" customWidth="1"/>
    <col min="177" max="177" width="6.5703125" customWidth="1"/>
    <col min="178" max="178" width="8.85546875" customWidth="1"/>
    <col min="179" max="179" width="3.42578125" customWidth="1"/>
    <col min="180" max="180" width="6.5703125" customWidth="1"/>
    <col min="181" max="181" width="8.85546875" customWidth="1"/>
    <col min="182" max="182" width="3.42578125" customWidth="1"/>
    <col min="183" max="183" width="6.5703125" customWidth="1"/>
    <col min="184" max="184" width="8.85546875" customWidth="1"/>
    <col min="185" max="185" width="3.42578125" customWidth="1"/>
    <col min="186" max="186" width="6.5703125" customWidth="1"/>
    <col min="187" max="187" width="8.85546875" customWidth="1"/>
    <col min="188" max="188" width="3.42578125" customWidth="1"/>
    <col min="189" max="189" width="2.28515625" customWidth="1"/>
    <col min="190" max="190" width="12.28515625" customWidth="1"/>
    <col min="191" max="191" width="8.85546875" customWidth="1"/>
    <col min="192" max="192" width="3.42578125" customWidth="1"/>
    <col min="193" max="193" width="6.5703125" customWidth="1"/>
    <col min="194" max="194" width="8.85546875" customWidth="1"/>
    <col min="195" max="195" width="3.42578125" customWidth="1"/>
    <col min="196" max="196" width="6.5703125" customWidth="1"/>
    <col min="197" max="197" width="8.85546875" customWidth="1"/>
    <col min="198" max="198" width="3.42578125" customWidth="1"/>
    <col min="199" max="199" width="6.5703125" customWidth="1"/>
    <col min="200" max="200" width="8.85546875" customWidth="1"/>
    <col min="201" max="201" width="3.42578125" customWidth="1"/>
    <col min="202" max="202" width="6.5703125" customWidth="1"/>
    <col min="203" max="203" width="8.85546875" customWidth="1"/>
    <col min="204" max="204" width="3.42578125" customWidth="1"/>
    <col min="205" max="205" width="2.28515625" customWidth="1"/>
    <col min="206" max="206" width="12.28515625" customWidth="1"/>
    <col min="207" max="207" width="8.85546875" customWidth="1"/>
    <col min="208" max="208" width="3.42578125" customWidth="1"/>
    <col min="209" max="209" width="6.5703125" customWidth="1"/>
    <col min="210" max="210" width="8.85546875" customWidth="1"/>
    <col min="211" max="211" width="3.42578125" customWidth="1"/>
    <col min="212" max="212" width="6.5703125" customWidth="1"/>
    <col min="213" max="213" width="8.85546875" customWidth="1"/>
    <col min="214" max="214" width="3.42578125" customWidth="1"/>
    <col min="215" max="215" width="6.5703125" customWidth="1"/>
    <col min="216" max="216" width="8.85546875" customWidth="1"/>
    <col min="217" max="217" width="3.42578125" customWidth="1"/>
    <col min="218" max="218" width="6.5703125" customWidth="1"/>
    <col min="219" max="219" width="8.85546875" customWidth="1"/>
    <col min="220" max="220" width="3.42578125" customWidth="1"/>
    <col min="221" max="221" width="2.28515625" customWidth="1"/>
    <col min="222" max="222" width="12.28515625" customWidth="1"/>
    <col min="223" max="223" width="8.85546875" customWidth="1"/>
    <col min="224" max="224" width="3.42578125" customWidth="1"/>
    <col min="225" max="225" width="6.5703125" customWidth="1"/>
    <col min="226" max="226" width="8.85546875" customWidth="1"/>
    <col min="227" max="227" width="3.42578125" customWidth="1"/>
    <col min="228" max="228" width="6.5703125" customWidth="1"/>
    <col min="229" max="229" width="8.85546875" customWidth="1"/>
    <col min="230" max="230" width="3.42578125" customWidth="1"/>
    <col min="231" max="231" width="6.5703125" customWidth="1"/>
    <col min="232" max="232" width="8.85546875" customWidth="1"/>
    <col min="233" max="233" width="3.42578125" customWidth="1"/>
    <col min="234" max="234" width="6.5703125" customWidth="1"/>
    <col min="235" max="235" width="8.85546875" customWidth="1"/>
    <col min="236" max="236" width="3.42578125" customWidth="1"/>
    <col min="237" max="237" width="2.28515625" customWidth="1"/>
    <col min="238" max="238" width="12.28515625" customWidth="1"/>
    <col min="239" max="239" width="8.85546875" customWidth="1"/>
    <col min="240" max="240" width="3.42578125" customWidth="1"/>
    <col min="241" max="241" width="6.5703125" customWidth="1"/>
    <col min="242" max="242" width="8.85546875" customWidth="1"/>
    <col min="243" max="243" width="3.42578125" customWidth="1"/>
    <col min="244" max="244" width="6.5703125" customWidth="1"/>
    <col min="245" max="245" width="8.85546875" customWidth="1"/>
    <col min="246" max="246" width="3.42578125" customWidth="1"/>
    <col min="247" max="247" width="6.5703125" customWidth="1"/>
    <col min="248" max="248" width="8.85546875" customWidth="1"/>
    <col min="249" max="249" width="3.42578125" customWidth="1"/>
    <col min="250" max="250" width="6.5703125" customWidth="1"/>
    <col min="251" max="251" width="8.85546875" customWidth="1"/>
  </cols>
  <sheetData>
    <row r="1" spans="1:34" x14ac:dyDescent="0.2">
      <c r="A1" s="4" t="s">
        <v>28</v>
      </c>
      <c r="B1" s="21"/>
      <c r="C1" s="21"/>
      <c r="D1" s="21"/>
      <c r="E1" s="21"/>
      <c r="F1" s="21"/>
      <c r="G1" s="21"/>
      <c r="H1" s="21"/>
      <c r="I1" s="21"/>
      <c r="J1" s="21"/>
      <c r="K1" s="21"/>
      <c r="L1" s="21"/>
      <c r="M1" s="21"/>
      <c r="N1" s="21"/>
    </row>
    <row r="2" spans="1:34" x14ac:dyDescent="0.2">
      <c r="A2" s="21" t="s">
        <v>29</v>
      </c>
      <c r="B2" s="21"/>
      <c r="C2" s="21"/>
      <c r="D2" s="21"/>
      <c r="E2" s="21"/>
      <c r="F2" s="21"/>
      <c r="G2" s="21"/>
      <c r="H2" s="21"/>
      <c r="I2" s="21"/>
      <c r="J2" s="21"/>
      <c r="K2" s="21"/>
      <c r="L2" s="21"/>
      <c r="M2" s="21"/>
      <c r="N2" s="21"/>
    </row>
    <row r="3" spans="1:34" x14ac:dyDescent="0.2">
      <c r="A3" s="21"/>
      <c r="B3" s="21"/>
      <c r="C3" s="21"/>
      <c r="D3" s="21"/>
      <c r="E3" s="21"/>
      <c r="F3" s="21"/>
      <c r="G3" s="21"/>
      <c r="H3" s="21"/>
      <c r="I3" s="21"/>
      <c r="J3" s="21"/>
      <c r="K3" s="21"/>
      <c r="L3" s="21"/>
      <c r="M3" s="21"/>
      <c r="N3" s="21"/>
    </row>
    <row r="4" spans="1:34" x14ac:dyDescent="0.2">
      <c r="A4" s="21"/>
      <c r="B4" s="21"/>
      <c r="C4" s="21"/>
      <c r="D4" s="21"/>
      <c r="E4" s="21"/>
      <c r="F4" s="21"/>
      <c r="G4" s="21"/>
      <c r="H4" s="21"/>
      <c r="I4" s="21"/>
      <c r="J4" s="21"/>
      <c r="K4" s="21"/>
      <c r="L4" s="21"/>
      <c r="M4" s="21"/>
      <c r="N4" s="21"/>
    </row>
    <row r="5" spans="1:34" x14ac:dyDescent="0.2">
      <c r="A5" s="21"/>
      <c r="B5" s="21"/>
      <c r="C5" s="21"/>
      <c r="D5" s="21"/>
      <c r="E5" s="21"/>
      <c r="F5" s="21"/>
      <c r="G5" s="21"/>
      <c r="H5" s="21"/>
      <c r="I5" s="21"/>
      <c r="J5" s="21"/>
      <c r="K5" s="21"/>
      <c r="L5" s="21"/>
      <c r="M5" s="21"/>
      <c r="N5" s="21"/>
    </row>
    <row r="6" spans="1:34" ht="19.5" x14ac:dyDescent="0.3">
      <c r="A6" s="1" t="s">
        <v>167</v>
      </c>
      <c r="B6" s="1"/>
      <c r="C6" s="1"/>
      <c r="D6" s="1"/>
      <c r="E6" s="1"/>
      <c r="F6" s="2"/>
      <c r="G6" s="2"/>
      <c r="H6" s="3"/>
      <c r="I6" s="3"/>
      <c r="J6" s="3"/>
      <c r="K6" s="3"/>
      <c r="L6" s="2"/>
      <c r="M6" s="2"/>
      <c r="N6" s="2"/>
      <c r="P6" s="181"/>
    </row>
    <row r="8" spans="1:34" s="52" customFormat="1" x14ac:dyDescent="0.2">
      <c r="A8" s="53" t="str">
        <f>Berechnungshilfe!A3</f>
        <v/>
      </c>
      <c r="B8" s="56"/>
      <c r="C8" s="53"/>
      <c r="D8" s="53"/>
      <c r="E8" s="53"/>
      <c r="F8" s="54"/>
      <c r="G8" s="54"/>
      <c r="H8" s="55"/>
      <c r="I8" s="55"/>
      <c r="J8" s="55"/>
      <c r="K8" s="55"/>
      <c r="L8" s="54"/>
      <c r="M8" s="56"/>
      <c r="N8" s="56"/>
      <c r="O8" s="56"/>
      <c r="P8" s="56"/>
      <c r="Q8" s="56"/>
      <c r="R8" s="56"/>
      <c r="S8" s="56"/>
      <c r="T8" s="56"/>
      <c r="U8" s="56"/>
      <c r="V8" s="56"/>
      <c r="W8" s="56"/>
      <c r="X8" s="56"/>
      <c r="Y8" s="56"/>
      <c r="Z8" s="56"/>
      <c r="AA8" s="56"/>
      <c r="AB8" s="56"/>
      <c r="AC8" s="56"/>
      <c r="AD8" s="56"/>
      <c r="AE8" s="308"/>
      <c r="AF8" s="308"/>
      <c r="AG8" s="309" t="str">
        <f>Berechnungshilfe!L3</f>
        <v/>
      </c>
      <c r="AH8" s="18"/>
    </row>
    <row r="9" spans="1:34" ht="13.5" thickBot="1" x14ac:dyDescent="0.25"/>
    <row r="10" spans="1:34" s="25" customFormat="1" ht="16.5" thickBot="1" x14ac:dyDescent="0.25">
      <c r="A10" s="123"/>
      <c r="B10" s="282"/>
      <c r="C10" s="282"/>
      <c r="D10" s="283"/>
      <c r="E10" s="103" t="s">
        <v>162</v>
      </c>
      <c r="F10" s="105"/>
      <c r="G10" s="105"/>
      <c r="H10" s="105"/>
      <c r="I10" s="105"/>
      <c r="J10" s="105"/>
      <c r="K10" s="105"/>
      <c r="L10" s="105"/>
      <c r="M10" s="105"/>
      <c r="N10" s="105"/>
      <c r="O10" s="105"/>
      <c r="P10" s="106"/>
      <c r="R10" s="103" t="s">
        <v>163</v>
      </c>
      <c r="S10" s="105"/>
      <c r="T10" s="105"/>
      <c r="U10" s="105"/>
      <c r="V10" s="105"/>
      <c r="W10" s="105"/>
      <c r="X10" s="105"/>
      <c r="Y10" s="105"/>
      <c r="Z10" s="105"/>
      <c r="AA10" s="105"/>
      <c r="AB10" s="105"/>
      <c r="AC10" s="106"/>
      <c r="AE10" s="619" t="s">
        <v>151</v>
      </c>
      <c r="AF10" s="620"/>
      <c r="AG10" s="621"/>
      <c r="AH10" s="24"/>
    </row>
    <row r="11" spans="1:34" s="25" customFormat="1" x14ac:dyDescent="0.2">
      <c r="AH11" s="24"/>
    </row>
    <row r="12" spans="1:34" s="25" customFormat="1" ht="21.75" customHeight="1" x14ac:dyDescent="0.2">
      <c r="A12" s="57"/>
      <c r="B12" s="58"/>
      <c r="C12" s="58"/>
      <c r="D12" s="58"/>
      <c r="E12" s="581" t="s">
        <v>3</v>
      </c>
      <c r="F12" s="582"/>
      <c r="G12" s="583"/>
      <c r="H12" s="581" t="s">
        <v>4</v>
      </c>
      <c r="I12" s="582"/>
      <c r="J12" s="583"/>
      <c r="K12" s="581" t="s">
        <v>5</v>
      </c>
      <c r="L12" s="582"/>
      <c r="M12" s="583"/>
      <c r="N12" s="581" t="s">
        <v>6</v>
      </c>
      <c r="O12" s="582"/>
      <c r="P12" s="583"/>
      <c r="R12" s="581" t="s">
        <v>3</v>
      </c>
      <c r="S12" s="582"/>
      <c r="T12" s="583"/>
      <c r="U12" s="581" t="s">
        <v>4</v>
      </c>
      <c r="V12" s="582"/>
      <c r="W12" s="583"/>
      <c r="X12" s="581" t="s">
        <v>5</v>
      </c>
      <c r="Y12" s="582"/>
      <c r="Z12" s="583"/>
      <c r="AA12" s="581" t="s">
        <v>6</v>
      </c>
      <c r="AB12" s="582"/>
      <c r="AC12" s="583"/>
      <c r="AE12" s="581" t="s">
        <v>6</v>
      </c>
      <c r="AF12" s="582"/>
      <c r="AG12" s="583"/>
      <c r="AH12" s="24"/>
    </row>
    <row r="14" spans="1:34" s="37" customFormat="1" ht="21.75" customHeight="1" x14ac:dyDescent="0.2">
      <c r="A14" s="47" t="s">
        <v>37</v>
      </c>
      <c r="B14" s="48"/>
      <c r="C14" s="49"/>
      <c r="D14" s="49"/>
      <c r="E14" s="49"/>
      <c r="F14" s="49"/>
      <c r="G14" s="49"/>
      <c r="H14" s="49"/>
      <c r="I14" s="49"/>
      <c r="J14" s="49"/>
      <c r="K14" s="49"/>
      <c r="L14" s="49"/>
      <c r="M14" s="49"/>
      <c r="N14" s="49"/>
      <c r="O14" s="49"/>
      <c r="P14" s="50"/>
      <c r="R14" s="284"/>
      <c r="S14" s="49"/>
      <c r="T14" s="49"/>
      <c r="U14" s="49"/>
      <c r="V14" s="49"/>
      <c r="W14" s="49"/>
      <c r="X14" s="49"/>
      <c r="Y14" s="49"/>
      <c r="Z14" s="49"/>
      <c r="AA14" s="49"/>
      <c r="AB14" s="49"/>
      <c r="AC14" s="50"/>
      <c r="AE14" s="284"/>
      <c r="AF14" s="49"/>
      <c r="AG14" s="50"/>
      <c r="AH14" s="306"/>
    </row>
    <row r="15" spans="1:34" ht="6" customHeight="1" x14ac:dyDescent="0.2"/>
    <row r="16" spans="1:34" s="25" customFormat="1" ht="21.75" customHeight="1" x14ac:dyDescent="0.2">
      <c r="A16" s="57"/>
      <c r="B16" s="58"/>
      <c r="C16" s="58"/>
      <c r="D16" s="58"/>
      <c r="E16" s="581" t="s">
        <v>3</v>
      </c>
      <c r="F16" s="582"/>
      <c r="G16" s="583"/>
      <c r="H16" s="581" t="s">
        <v>4</v>
      </c>
      <c r="I16" s="582"/>
      <c r="J16" s="583"/>
      <c r="K16" s="581" t="s">
        <v>5</v>
      </c>
      <c r="L16" s="582"/>
      <c r="M16" s="583"/>
      <c r="N16" s="581" t="s">
        <v>6</v>
      </c>
      <c r="O16" s="582"/>
      <c r="P16" s="583"/>
      <c r="R16" s="581" t="s">
        <v>3</v>
      </c>
      <c r="S16" s="582"/>
      <c r="T16" s="583"/>
      <c r="U16" s="581" t="s">
        <v>4</v>
      </c>
      <c r="V16" s="582"/>
      <c r="W16" s="583"/>
      <c r="X16" s="581" t="s">
        <v>5</v>
      </c>
      <c r="Y16" s="582"/>
      <c r="Z16" s="583"/>
      <c r="AA16" s="581" t="s">
        <v>6</v>
      </c>
      <c r="AB16" s="582"/>
      <c r="AC16" s="583"/>
      <c r="AE16" s="581" t="s">
        <v>6</v>
      </c>
      <c r="AF16" s="582"/>
      <c r="AG16" s="583"/>
      <c r="AH16" s="24"/>
    </row>
    <row r="17" spans="1:34" ht="6" customHeight="1" x14ac:dyDescent="0.2"/>
    <row r="18" spans="1:34" s="9" customFormat="1" ht="6" customHeight="1" x14ac:dyDescent="0.2">
      <c r="A18" s="285"/>
      <c r="B18" s="286"/>
      <c r="C18" s="286"/>
      <c r="D18" s="286"/>
      <c r="E18" s="241"/>
      <c r="F18" s="297"/>
      <c r="G18" s="304"/>
      <c r="H18" s="303"/>
      <c r="I18" s="297"/>
      <c r="J18" s="304"/>
      <c r="K18" s="303"/>
      <c r="L18" s="297"/>
      <c r="M18" s="304"/>
      <c r="N18" s="297"/>
      <c r="O18" s="297"/>
      <c r="P18" s="224"/>
      <c r="AH18" s="26"/>
    </row>
    <row r="19" spans="1:34" s="9" customFormat="1" x14ac:dyDescent="0.2">
      <c r="A19" s="299" t="s">
        <v>42</v>
      </c>
      <c r="B19" s="65"/>
      <c r="C19" s="205"/>
      <c r="D19" s="205"/>
      <c r="E19" s="190"/>
      <c r="F19" s="300">
        <f>Berechnungshilfe!F40</f>
        <v>0</v>
      </c>
      <c r="G19" s="310"/>
      <c r="H19" s="311"/>
      <c r="I19" s="300">
        <f>Berechnungshilfe!I40</f>
        <v>0</v>
      </c>
      <c r="J19" s="310"/>
      <c r="K19" s="311"/>
      <c r="L19" s="300">
        <f>Berechnungshilfe!L40</f>
        <v>0</v>
      </c>
      <c r="M19" s="310"/>
      <c r="N19" s="300"/>
      <c r="O19" s="300">
        <f>Berechnungshilfe!O40</f>
        <v>0</v>
      </c>
      <c r="P19" s="191"/>
      <c r="AH19" s="26"/>
    </row>
    <row r="20" spans="1:34" s="9" customFormat="1" ht="6" customHeight="1" x14ac:dyDescent="0.2">
      <c r="A20" s="202"/>
      <c r="B20" s="205"/>
      <c r="C20" s="205"/>
      <c r="D20" s="205"/>
      <c r="E20" s="190"/>
      <c r="F20" s="26"/>
      <c r="G20" s="191"/>
      <c r="H20" s="190"/>
      <c r="I20" s="26"/>
      <c r="J20" s="191"/>
      <c r="K20" s="190"/>
      <c r="L20" s="26"/>
      <c r="M20" s="191"/>
      <c r="N20" s="26"/>
      <c r="O20" s="26"/>
      <c r="P20" s="191"/>
      <c r="AH20" s="26"/>
    </row>
    <row r="21" spans="1:34" s="9" customFormat="1" x14ac:dyDescent="0.2">
      <c r="A21" s="202"/>
      <c r="B21" s="205" t="s">
        <v>161</v>
      </c>
      <c r="C21" s="205"/>
      <c r="D21" s="205"/>
      <c r="E21" s="190"/>
      <c r="F21" s="34" t="e">
        <f>Berechnungshilfe!F46</f>
        <v>#N/A</v>
      </c>
      <c r="G21" s="191"/>
      <c r="H21" s="190"/>
      <c r="I21" s="34" t="e">
        <f>Berechnungshilfe!I46</f>
        <v>#N/A</v>
      </c>
      <c r="J21" s="191"/>
      <c r="K21" s="190"/>
      <c r="L21" s="34" t="e">
        <f>Berechnungshilfe!L46</f>
        <v>#N/A</v>
      </c>
      <c r="M21" s="191"/>
      <c r="N21" s="26"/>
      <c r="O21" s="34" t="e">
        <f>Berechnungshilfe!O46</f>
        <v>#N/A</v>
      </c>
      <c r="P21" s="191"/>
      <c r="AH21" s="26"/>
    </row>
    <row r="22" spans="1:34" s="9" customFormat="1" x14ac:dyDescent="0.2">
      <c r="A22" s="202"/>
      <c r="B22" s="294" t="s">
        <v>166</v>
      </c>
      <c r="C22" s="205"/>
      <c r="D22" s="205"/>
      <c r="E22" s="190"/>
      <c r="F22" s="34"/>
      <c r="G22" s="191"/>
      <c r="H22" s="190"/>
      <c r="I22" s="34" t="e">
        <f>Berechnungshilfe!H74</f>
        <v>#N/A</v>
      </c>
      <c r="J22" s="191"/>
      <c r="K22" s="190"/>
      <c r="L22" s="34"/>
      <c r="M22" s="191"/>
      <c r="N22" s="26"/>
      <c r="O22" s="34"/>
      <c r="P22" s="191"/>
      <c r="AH22" s="26"/>
    </row>
    <row r="23" spans="1:34" s="9" customFormat="1" ht="6" customHeight="1" x14ac:dyDescent="0.2">
      <c r="A23" s="202"/>
      <c r="B23" s="205"/>
      <c r="C23" s="205"/>
      <c r="D23" s="205"/>
      <c r="E23" s="190"/>
      <c r="F23" s="34"/>
      <c r="G23" s="191"/>
      <c r="H23" s="190"/>
      <c r="I23" s="34"/>
      <c r="J23" s="191"/>
      <c r="K23" s="190"/>
      <c r="L23" s="34"/>
      <c r="M23" s="191"/>
      <c r="N23" s="26"/>
      <c r="O23" s="34"/>
      <c r="P23" s="191"/>
      <c r="R23" s="241"/>
      <c r="S23" s="239"/>
      <c r="T23" s="224"/>
      <c r="U23" s="241"/>
      <c r="V23" s="239"/>
      <c r="W23" s="224"/>
      <c r="X23" s="241"/>
      <c r="Y23" s="239"/>
      <c r="Z23" s="224"/>
      <c r="AA23" s="241"/>
      <c r="AB23" s="239"/>
      <c r="AC23" s="224"/>
      <c r="AE23" s="241"/>
      <c r="AF23" s="239"/>
      <c r="AG23" s="224"/>
      <c r="AH23" s="26"/>
    </row>
    <row r="24" spans="1:34" s="9" customFormat="1" x14ac:dyDescent="0.2">
      <c r="A24" s="202"/>
      <c r="B24" s="207" t="s">
        <v>6</v>
      </c>
      <c r="C24" s="205"/>
      <c r="D24" s="205"/>
      <c r="E24" s="190"/>
      <c r="F24" s="197" t="e">
        <f>SUM(F21:F22)</f>
        <v>#N/A</v>
      </c>
      <c r="G24" s="199"/>
      <c r="H24" s="200"/>
      <c r="I24" s="197" t="e">
        <f>SUM(I21:I22)</f>
        <v>#N/A</v>
      </c>
      <c r="J24" s="199"/>
      <c r="K24" s="200"/>
      <c r="L24" s="197" t="e">
        <f>SUM(L21:L22)</f>
        <v>#N/A</v>
      </c>
      <c r="M24" s="199"/>
      <c r="N24" s="295"/>
      <c r="O24" s="197" t="e">
        <f>SUM(F24:L24)</f>
        <v>#N/A</v>
      </c>
      <c r="P24" s="191"/>
      <c r="R24" s="189"/>
      <c r="S24" s="315"/>
      <c r="T24" s="29"/>
      <c r="U24" s="189"/>
      <c r="V24" s="315"/>
      <c r="W24" s="29"/>
      <c r="X24" s="189"/>
      <c r="Y24" s="315"/>
      <c r="Z24" s="29"/>
      <c r="AA24" s="189"/>
      <c r="AB24" s="314"/>
      <c r="AC24" s="29"/>
      <c r="AE24" s="189"/>
      <c r="AF24" s="213" t="e">
        <f>O24-AB24</f>
        <v>#N/A</v>
      </c>
      <c r="AG24" s="29"/>
      <c r="AH24" s="26"/>
    </row>
    <row r="25" spans="1:34" s="9" customFormat="1" ht="6" customHeight="1" x14ac:dyDescent="0.2">
      <c r="A25" s="217"/>
      <c r="B25" s="32"/>
      <c r="C25" s="32"/>
      <c r="D25" s="32"/>
      <c r="E25" s="301"/>
      <c r="F25" s="298"/>
      <c r="G25" s="302"/>
      <c r="H25" s="301"/>
      <c r="I25" s="298"/>
      <c r="J25" s="302"/>
      <c r="K25" s="301"/>
      <c r="L25" s="298"/>
      <c r="M25" s="302"/>
      <c r="N25" s="298"/>
      <c r="O25" s="298"/>
      <c r="P25" s="302"/>
      <c r="R25" s="220"/>
      <c r="S25" s="214"/>
      <c r="T25" s="221"/>
      <c r="U25" s="220"/>
      <c r="V25" s="214"/>
      <c r="W25" s="221"/>
      <c r="X25" s="220"/>
      <c r="Y25" s="214"/>
      <c r="Z25" s="221"/>
      <c r="AA25" s="220"/>
      <c r="AB25" s="214"/>
      <c r="AC25" s="221"/>
      <c r="AE25" s="220"/>
      <c r="AF25" s="214"/>
      <c r="AG25" s="221"/>
      <c r="AH25" s="26"/>
    </row>
    <row r="26" spans="1:34" s="9" customFormat="1" ht="6" customHeight="1" x14ac:dyDescent="0.2">
      <c r="A26" s="46"/>
      <c r="B26" s="291"/>
      <c r="C26" s="291"/>
      <c r="D26" s="291"/>
      <c r="E26" s="291"/>
      <c r="F26" s="291"/>
      <c r="G26" s="291"/>
      <c r="H26" s="291"/>
      <c r="I26" s="291"/>
      <c r="J26" s="291"/>
      <c r="K26" s="291"/>
      <c r="L26" s="291"/>
      <c r="M26" s="291"/>
      <c r="N26" s="291"/>
      <c r="O26" s="291"/>
      <c r="P26" s="291"/>
      <c r="Q26" s="46"/>
      <c r="R26" s="46"/>
      <c r="S26" s="46"/>
      <c r="T26" s="46"/>
      <c r="U26" s="46"/>
      <c r="V26" s="46"/>
      <c r="W26" s="46"/>
      <c r="X26" s="46"/>
      <c r="Y26" s="46"/>
      <c r="Z26" s="46"/>
      <c r="AA26" s="46"/>
      <c r="AB26" s="46"/>
      <c r="AC26" s="46"/>
      <c r="AD26" s="46"/>
      <c r="AE26" s="46"/>
      <c r="AF26" s="46"/>
      <c r="AG26" s="46"/>
      <c r="AH26" s="26"/>
    </row>
    <row r="27" spans="1:34" s="9" customFormat="1" ht="6" customHeight="1" x14ac:dyDescent="0.2">
      <c r="A27" s="285"/>
      <c r="B27" s="288"/>
      <c r="C27" s="288"/>
      <c r="D27" s="288"/>
      <c r="E27" s="303"/>
      <c r="F27" s="297"/>
      <c r="G27" s="304"/>
      <c r="H27" s="303"/>
      <c r="I27" s="297"/>
      <c r="J27" s="304"/>
      <c r="K27" s="303"/>
      <c r="L27" s="297"/>
      <c r="M27" s="304"/>
      <c r="N27" s="303"/>
      <c r="O27" s="297"/>
      <c r="P27" s="304"/>
      <c r="R27" s="241"/>
      <c r="S27" s="239"/>
      <c r="T27" s="224"/>
      <c r="U27" s="241"/>
      <c r="V27" s="239"/>
      <c r="W27" s="224"/>
      <c r="X27" s="241"/>
      <c r="Y27" s="239"/>
      <c r="Z27" s="224"/>
      <c r="AA27" s="241"/>
      <c r="AB27" s="239"/>
      <c r="AC27" s="224"/>
      <c r="AE27" s="241"/>
      <c r="AF27" s="239"/>
      <c r="AG27" s="224"/>
      <c r="AH27" s="26"/>
    </row>
    <row r="28" spans="1:34" s="9" customFormat="1" x14ac:dyDescent="0.2">
      <c r="A28" s="117" t="s">
        <v>38</v>
      </c>
      <c r="B28" s="78"/>
      <c r="C28" s="78"/>
      <c r="D28" s="78"/>
      <c r="E28" s="190"/>
      <c r="F28" s="26"/>
      <c r="G28" s="191"/>
      <c r="H28" s="190"/>
      <c r="I28" s="26"/>
      <c r="J28" s="191"/>
      <c r="K28" s="190"/>
      <c r="L28" s="26"/>
      <c r="M28" s="191"/>
      <c r="N28" s="190"/>
      <c r="O28" s="26"/>
      <c r="P28" s="191"/>
      <c r="R28" s="189"/>
      <c r="T28" s="29"/>
      <c r="U28" s="189"/>
      <c r="W28" s="29"/>
      <c r="X28" s="189"/>
      <c r="Z28" s="29"/>
      <c r="AA28" s="189"/>
      <c r="AC28" s="29"/>
      <c r="AE28" s="189"/>
      <c r="AG28" s="29"/>
      <c r="AH28" s="26"/>
    </row>
    <row r="29" spans="1:34" s="9" customFormat="1" ht="6" customHeight="1" x14ac:dyDescent="0.2">
      <c r="A29" s="98"/>
      <c r="B29" s="78"/>
      <c r="C29" s="78"/>
      <c r="D29" s="78"/>
      <c r="E29" s="190"/>
      <c r="F29" s="26"/>
      <c r="G29" s="191"/>
      <c r="H29" s="190"/>
      <c r="I29" s="26"/>
      <c r="J29" s="191"/>
      <c r="K29" s="190"/>
      <c r="L29" s="26"/>
      <c r="M29" s="191"/>
      <c r="N29" s="190"/>
      <c r="O29" s="26"/>
      <c r="P29" s="191"/>
      <c r="R29" s="189"/>
      <c r="T29" s="29"/>
      <c r="U29" s="189"/>
      <c r="W29" s="29"/>
      <c r="X29" s="189"/>
      <c r="Z29" s="29"/>
      <c r="AA29" s="189"/>
      <c r="AC29" s="29"/>
      <c r="AE29" s="189"/>
      <c r="AG29" s="29"/>
      <c r="AH29" s="26"/>
    </row>
    <row r="30" spans="1:34" s="9" customFormat="1" x14ac:dyDescent="0.2">
      <c r="A30" s="76"/>
      <c r="B30" s="152" t="s">
        <v>8</v>
      </c>
      <c r="C30" s="78"/>
      <c r="D30" s="78"/>
      <c r="E30" s="190"/>
      <c r="F30" s="26"/>
      <c r="G30" s="191"/>
      <c r="H30" s="190"/>
      <c r="I30" s="26"/>
      <c r="J30" s="191"/>
      <c r="K30" s="190"/>
      <c r="L30" s="26"/>
      <c r="M30" s="191"/>
      <c r="N30" s="190"/>
      <c r="O30" s="26"/>
      <c r="P30" s="191"/>
      <c r="R30" s="189"/>
      <c r="T30" s="29"/>
      <c r="U30" s="189"/>
      <c r="W30" s="29"/>
      <c r="X30" s="189"/>
      <c r="Z30" s="29"/>
      <c r="AA30" s="189"/>
      <c r="AC30" s="29"/>
      <c r="AE30" s="189"/>
      <c r="AG30" s="29"/>
      <c r="AH30" s="26"/>
    </row>
    <row r="31" spans="1:34" s="9" customFormat="1" x14ac:dyDescent="0.2">
      <c r="A31" s="84"/>
      <c r="B31" s="145" t="s">
        <v>8</v>
      </c>
      <c r="C31" s="78"/>
      <c r="D31" s="78"/>
      <c r="E31" s="190"/>
      <c r="F31" s="34" t="e">
        <f>Berechnungshilfe!F51</f>
        <v>#N/A</v>
      </c>
      <c r="G31" s="191"/>
      <c r="H31" s="190"/>
      <c r="I31" s="34" t="e">
        <f>Berechnungshilfe!I51</f>
        <v>#N/A</v>
      </c>
      <c r="J31" s="191"/>
      <c r="K31" s="190"/>
      <c r="L31" s="34" t="e">
        <f>Berechnungshilfe!L51</f>
        <v>#N/A</v>
      </c>
      <c r="M31" s="191"/>
      <c r="N31" s="190"/>
      <c r="O31" s="34" t="e">
        <f>Berechnungshilfe!O51</f>
        <v>#N/A</v>
      </c>
      <c r="P31" s="191"/>
      <c r="R31" s="189"/>
      <c r="T31" s="29"/>
      <c r="U31" s="189"/>
      <c r="W31" s="29"/>
      <c r="X31" s="189"/>
      <c r="Z31" s="29"/>
      <c r="AA31" s="189"/>
      <c r="AC31" s="29"/>
      <c r="AE31" s="189"/>
      <c r="AG31" s="29"/>
      <c r="AH31" s="26"/>
    </row>
    <row r="32" spans="1:34" s="9" customFormat="1" x14ac:dyDescent="0.2">
      <c r="A32" s="84"/>
      <c r="B32" s="296" t="s">
        <v>166</v>
      </c>
      <c r="C32" s="78"/>
      <c r="D32" s="78"/>
      <c r="E32" s="190"/>
      <c r="F32" s="34"/>
      <c r="G32" s="191"/>
      <c r="H32" s="190"/>
      <c r="I32" s="34" t="e">
        <f>Berechnungshilfe!I74</f>
        <v>#N/A</v>
      </c>
      <c r="J32" s="191"/>
      <c r="K32" s="190"/>
      <c r="L32" s="26"/>
      <c r="M32" s="191"/>
      <c r="N32" s="190"/>
      <c r="O32" s="26"/>
      <c r="P32" s="191"/>
      <c r="R32" s="189"/>
      <c r="T32" s="29"/>
      <c r="U32" s="189"/>
      <c r="W32" s="29"/>
      <c r="X32" s="189"/>
      <c r="Z32" s="29"/>
      <c r="AA32" s="189"/>
      <c r="AC32" s="29"/>
      <c r="AE32" s="189"/>
      <c r="AG32" s="29"/>
      <c r="AH32" s="26"/>
    </row>
    <row r="33" spans="1:34" s="9" customFormat="1" x14ac:dyDescent="0.2">
      <c r="A33" s="84"/>
      <c r="B33" s="145" t="s">
        <v>6</v>
      </c>
      <c r="C33" s="78"/>
      <c r="D33" s="78"/>
      <c r="E33" s="190"/>
      <c r="F33" s="34" t="e">
        <f>SUM(F31:F32)</f>
        <v>#N/A</v>
      </c>
      <c r="G33" s="191"/>
      <c r="H33" s="190"/>
      <c r="I33" s="34" t="e">
        <f>SUM(I31:I32)</f>
        <v>#N/A</v>
      </c>
      <c r="J33" s="191"/>
      <c r="K33" s="190"/>
      <c r="L33" s="34" t="e">
        <f>SUM(L31:L32)</f>
        <v>#N/A</v>
      </c>
      <c r="M33" s="191"/>
      <c r="N33" s="190"/>
      <c r="O33" s="197" t="e">
        <f>SUM(F33:L33)</f>
        <v>#N/A</v>
      </c>
      <c r="P33" s="191"/>
      <c r="R33" s="189"/>
      <c r="S33" s="315"/>
      <c r="T33" s="29"/>
      <c r="U33" s="189"/>
      <c r="V33" s="315"/>
      <c r="W33" s="29"/>
      <c r="X33" s="189"/>
      <c r="Y33" s="315"/>
      <c r="Z33" s="29"/>
      <c r="AA33" s="189"/>
      <c r="AB33" s="314"/>
      <c r="AC33" s="29"/>
      <c r="AE33" s="189"/>
      <c r="AF33" s="213" t="e">
        <f>O33-AB33</f>
        <v>#N/A</v>
      </c>
      <c r="AG33" s="29"/>
      <c r="AH33" s="26"/>
    </row>
    <row r="34" spans="1:34" s="9" customFormat="1" ht="6" customHeight="1" x14ac:dyDescent="0.2">
      <c r="A34" s="202"/>
      <c r="B34" s="205"/>
      <c r="C34" s="205"/>
      <c r="D34" s="205"/>
      <c r="E34" s="301"/>
      <c r="F34" s="298"/>
      <c r="G34" s="302"/>
      <c r="H34" s="301"/>
      <c r="I34" s="298"/>
      <c r="J34" s="302"/>
      <c r="K34" s="301"/>
      <c r="L34" s="298"/>
      <c r="M34" s="302"/>
      <c r="N34" s="301"/>
      <c r="O34" s="298"/>
      <c r="P34" s="302"/>
      <c r="R34" s="220"/>
      <c r="S34" s="214"/>
      <c r="T34" s="221"/>
      <c r="U34" s="220"/>
      <c r="V34" s="214"/>
      <c r="W34" s="221"/>
      <c r="X34" s="220"/>
      <c r="Y34" s="214"/>
      <c r="Z34" s="221"/>
      <c r="AA34" s="189"/>
      <c r="AC34" s="29"/>
      <c r="AE34" s="189"/>
      <c r="AG34" s="29"/>
      <c r="AH34" s="26"/>
    </row>
    <row r="35" spans="1:34" s="9" customFormat="1" x14ac:dyDescent="0.2">
      <c r="A35" s="76"/>
      <c r="B35" s="152" t="s">
        <v>10</v>
      </c>
      <c r="C35" s="78"/>
      <c r="D35" s="78"/>
      <c r="E35" s="190"/>
      <c r="F35" s="26"/>
      <c r="G35" s="191"/>
      <c r="H35" s="190"/>
      <c r="I35" s="26"/>
      <c r="J35" s="191"/>
      <c r="K35" s="190"/>
      <c r="L35" s="26"/>
      <c r="M35" s="191"/>
      <c r="N35" s="190"/>
      <c r="O35" s="26"/>
      <c r="P35" s="191"/>
      <c r="R35" s="241"/>
      <c r="S35" s="239"/>
      <c r="T35" s="224"/>
      <c r="U35" s="241"/>
      <c r="V35" s="239"/>
      <c r="W35" s="224"/>
      <c r="X35" s="241"/>
      <c r="Y35" s="239"/>
      <c r="Z35" s="224"/>
      <c r="AA35" s="189"/>
      <c r="AC35" s="29"/>
      <c r="AE35" s="189"/>
      <c r="AG35" s="29"/>
      <c r="AH35" s="26"/>
    </row>
    <row r="36" spans="1:34" s="9" customFormat="1" x14ac:dyDescent="0.2">
      <c r="A36" s="84"/>
      <c r="B36" s="145" t="s">
        <v>11</v>
      </c>
      <c r="C36" s="92">
        <v>0.02</v>
      </c>
      <c r="D36" s="92"/>
      <c r="E36" s="190"/>
      <c r="F36" s="34" t="e">
        <f>Berechnungshilfe!F54</f>
        <v>#N/A</v>
      </c>
      <c r="G36" s="191"/>
      <c r="H36" s="190"/>
      <c r="I36" s="34" t="e">
        <f>Berechnungshilfe!I54</f>
        <v>#N/A</v>
      </c>
      <c r="J36" s="191"/>
      <c r="K36" s="190"/>
      <c r="L36" s="34" t="e">
        <f>Berechnungshilfe!L54</f>
        <v>#N/A</v>
      </c>
      <c r="M36" s="191"/>
      <c r="N36" s="190"/>
      <c r="O36" s="197" t="e">
        <f>Berechnungshilfe!O54</f>
        <v>#N/A</v>
      </c>
      <c r="P36" s="191"/>
      <c r="R36" s="189"/>
      <c r="S36" s="315"/>
      <c r="T36" s="29"/>
      <c r="U36" s="189"/>
      <c r="V36" s="315"/>
      <c r="W36" s="29"/>
      <c r="X36" s="189"/>
      <c r="Y36" s="315"/>
      <c r="Z36" s="29"/>
      <c r="AA36" s="189"/>
      <c r="AB36" s="314"/>
      <c r="AC36" s="29"/>
      <c r="AE36" s="189"/>
      <c r="AF36" s="213" t="e">
        <f>O36-AB36</f>
        <v>#N/A</v>
      </c>
      <c r="AG36" s="29"/>
      <c r="AH36" s="26"/>
    </row>
    <row r="37" spans="1:34" s="9" customFormat="1" ht="6" customHeight="1" x14ac:dyDescent="0.2">
      <c r="A37" s="202"/>
      <c r="B37" s="205"/>
      <c r="C37" s="205"/>
      <c r="D37" s="205"/>
      <c r="E37" s="301"/>
      <c r="F37" s="298"/>
      <c r="G37" s="302"/>
      <c r="H37" s="301"/>
      <c r="I37" s="298"/>
      <c r="J37" s="302"/>
      <c r="K37" s="301"/>
      <c r="L37" s="298"/>
      <c r="M37" s="302"/>
      <c r="N37" s="301"/>
      <c r="O37" s="298"/>
      <c r="P37" s="302"/>
      <c r="R37" s="189"/>
      <c r="T37" s="29"/>
      <c r="U37" s="189"/>
      <c r="W37" s="29"/>
      <c r="X37" s="189"/>
      <c r="Z37" s="29"/>
      <c r="AA37" s="189"/>
      <c r="AC37" s="29"/>
      <c r="AE37" s="189"/>
      <c r="AG37" s="29"/>
      <c r="AH37" s="26"/>
    </row>
    <row r="38" spans="1:34" s="9" customFormat="1" x14ac:dyDescent="0.2">
      <c r="A38" s="76"/>
      <c r="B38" s="152" t="s">
        <v>170</v>
      </c>
      <c r="C38" s="78"/>
      <c r="D38" s="79"/>
      <c r="E38" s="26"/>
      <c r="F38" s="26"/>
      <c r="G38" s="26"/>
      <c r="H38" s="26"/>
      <c r="I38" s="26"/>
      <c r="J38" s="26"/>
      <c r="K38" s="26"/>
      <c r="L38" s="26"/>
      <c r="M38" s="26"/>
      <c r="N38" s="26"/>
      <c r="O38" s="26"/>
      <c r="P38" s="191"/>
      <c r="R38" s="241"/>
      <c r="S38" s="239"/>
      <c r="T38" s="239"/>
      <c r="U38" s="239"/>
      <c r="V38" s="239"/>
      <c r="W38" s="239"/>
      <c r="X38" s="239"/>
      <c r="Y38" s="239"/>
      <c r="Z38" s="239"/>
      <c r="AA38" s="239"/>
      <c r="AB38" s="239"/>
      <c r="AC38" s="224"/>
      <c r="AE38" s="189"/>
      <c r="AG38" s="29"/>
      <c r="AH38" s="26"/>
    </row>
    <row r="39" spans="1:34" s="9" customFormat="1" ht="12.75" customHeight="1" x14ac:dyDescent="0.2">
      <c r="A39" s="98"/>
      <c r="B39" s="78" t="s">
        <v>12</v>
      </c>
      <c r="C39" s="78"/>
      <c r="D39" s="79"/>
      <c r="E39" s="26"/>
      <c r="F39" s="26"/>
      <c r="G39" s="26"/>
      <c r="H39" s="26"/>
      <c r="I39" s="26"/>
      <c r="J39" s="26"/>
      <c r="K39" s="26"/>
      <c r="L39" s="26"/>
      <c r="M39" s="618" t="e">
        <f>Berechnungshilfe!L69</f>
        <v>#N/A</v>
      </c>
      <c r="N39" s="618"/>
      <c r="O39" s="197" t="e">
        <f>Berechnungshilfe!O69</f>
        <v>#N/A</v>
      </c>
      <c r="P39" s="191"/>
      <c r="R39" s="189"/>
      <c r="AB39" s="314"/>
      <c r="AC39" s="29"/>
      <c r="AE39" s="189"/>
      <c r="AF39" s="213" t="e">
        <f>O39-AB39</f>
        <v>#N/A</v>
      </c>
      <c r="AG39" s="29"/>
      <c r="AH39" s="26"/>
    </row>
    <row r="40" spans="1:34" s="9" customFormat="1" ht="6" customHeight="1" x14ac:dyDescent="0.2">
      <c r="A40" s="202"/>
      <c r="B40" s="205"/>
      <c r="C40" s="205"/>
      <c r="D40" s="35"/>
      <c r="E40" s="301"/>
      <c r="F40" s="298"/>
      <c r="G40" s="298"/>
      <c r="H40" s="298"/>
      <c r="I40" s="298"/>
      <c r="J40" s="298"/>
      <c r="K40" s="298"/>
      <c r="L40" s="298"/>
      <c r="M40" s="298"/>
      <c r="N40" s="298"/>
      <c r="O40" s="298"/>
      <c r="P40" s="302"/>
      <c r="R40" s="220"/>
      <c r="S40" s="214"/>
      <c r="T40" s="214"/>
      <c r="U40" s="214"/>
      <c r="V40" s="214"/>
      <c r="W40" s="214"/>
      <c r="X40" s="214"/>
      <c r="Y40" s="214"/>
      <c r="Z40" s="214"/>
      <c r="AA40" s="214"/>
      <c r="AB40" s="214"/>
      <c r="AC40" s="221"/>
      <c r="AE40" s="189"/>
      <c r="AG40" s="29"/>
      <c r="AH40" s="26"/>
    </row>
    <row r="41" spans="1:34" s="9" customFormat="1" x14ac:dyDescent="0.2">
      <c r="A41" s="76"/>
      <c r="B41" s="152" t="s">
        <v>14</v>
      </c>
      <c r="C41" s="78"/>
      <c r="D41" s="79"/>
      <c r="E41" s="26"/>
      <c r="F41" s="26"/>
      <c r="G41" s="26"/>
      <c r="H41" s="26"/>
      <c r="I41" s="26"/>
      <c r="J41" s="26"/>
      <c r="K41" s="26"/>
      <c r="L41" s="26"/>
      <c r="M41" s="26"/>
      <c r="N41" s="26"/>
      <c r="O41" s="26"/>
      <c r="P41" s="191"/>
      <c r="R41" s="241"/>
      <c r="S41" s="239"/>
      <c r="T41" s="239"/>
      <c r="U41" s="239"/>
      <c r="V41" s="239"/>
      <c r="W41" s="239"/>
      <c r="X41" s="239"/>
      <c r="Y41" s="239"/>
      <c r="Z41" s="239"/>
      <c r="AA41" s="239"/>
      <c r="AB41" s="239"/>
      <c r="AC41" s="224"/>
      <c r="AE41" s="189"/>
      <c r="AG41" s="29"/>
      <c r="AH41" s="26"/>
    </row>
    <row r="42" spans="1:34" s="9" customFormat="1" x14ac:dyDescent="0.2">
      <c r="A42" s="84"/>
      <c r="B42" s="145" t="s">
        <v>39</v>
      </c>
      <c r="C42" s="92"/>
      <c r="D42" s="93"/>
      <c r="E42" s="26"/>
      <c r="F42" s="26"/>
      <c r="G42" s="26"/>
      <c r="H42" s="26"/>
      <c r="I42" s="26"/>
      <c r="J42" s="26"/>
      <c r="K42" s="26"/>
      <c r="L42" s="26"/>
      <c r="M42" s="26"/>
      <c r="N42" s="26"/>
      <c r="O42" s="33">
        <f>Berechnungshilfe!I57</f>
        <v>0</v>
      </c>
      <c r="P42" s="191"/>
      <c r="R42" s="189"/>
      <c r="AC42" s="29"/>
      <c r="AE42" s="189"/>
      <c r="AG42" s="29"/>
      <c r="AH42" s="26"/>
    </row>
    <row r="43" spans="1:34" s="9" customFormat="1" x14ac:dyDescent="0.2">
      <c r="A43" s="84"/>
      <c r="B43" s="145" t="s">
        <v>11</v>
      </c>
      <c r="C43" s="78"/>
      <c r="D43" s="79"/>
      <c r="E43" s="26"/>
      <c r="F43" s="26"/>
      <c r="G43" s="26"/>
      <c r="H43" s="26"/>
      <c r="I43" s="34"/>
      <c r="J43" s="26"/>
      <c r="K43" s="26"/>
      <c r="L43" s="34"/>
      <c r="M43" s="26"/>
      <c r="N43" s="26"/>
      <c r="O43" s="197" t="e">
        <f>Berechnungshilfe!O57</f>
        <v>#N/A</v>
      </c>
      <c r="P43" s="191"/>
      <c r="R43" s="189"/>
      <c r="AB43" s="314"/>
      <c r="AC43" s="29"/>
      <c r="AE43" s="189"/>
      <c r="AF43" s="213" t="e">
        <f>O43-AB43</f>
        <v>#N/A</v>
      </c>
      <c r="AG43" s="29"/>
      <c r="AH43" s="26"/>
    </row>
    <row r="44" spans="1:34" s="9" customFormat="1" ht="5.25" customHeight="1" x14ac:dyDescent="0.2">
      <c r="A44" s="98"/>
      <c r="B44" s="78"/>
      <c r="C44" s="78"/>
      <c r="D44" s="79"/>
      <c r="E44" s="301"/>
      <c r="F44" s="298"/>
      <c r="G44" s="298"/>
      <c r="H44" s="298"/>
      <c r="I44" s="298"/>
      <c r="J44" s="298"/>
      <c r="K44" s="298"/>
      <c r="L44" s="298"/>
      <c r="M44" s="298"/>
      <c r="N44" s="312"/>
      <c r="O44" s="313"/>
      <c r="P44" s="302"/>
      <c r="R44" s="220"/>
      <c r="S44" s="214"/>
      <c r="T44" s="214"/>
      <c r="U44" s="214"/>
      <c r="V44" s="214"/>
      <c r="W44" s="214"/>
      <c r="X44" s="214"/>
      <c r="Y44" s="214"/>
      <c r="Z44" s="214"/>
      <c r="AA44" s="214"/>
      <c r="AB44" s="240"/>
      <c r="AC44" s="221"/>
      <c r="AE44" s="189"/>
      <c r="AF44" s="213"/>
      <c r="AG44" s="29"/>
      <c r="AH44" s="26"/>
    </row>
    <row r="45" spans="1:34" s="9" customFormat="1" x14ac:dyDescent="0.2">
      <c r="A45" s="84"/>
      <c r="B45" s="77" t="s">
        <v>48</v>
      </c>
      <c r="C45" s="78"/>
      <c r="D45" s="79"/>
      <c r="E45" s="26"/>
      <c r="F45" s="26"/>
      <c r="G45" s="26"/>
      <c r="H45" s="26"/>
      <c r="I45" s="26"/>
      <c r="J45" s="26"/>
      <c r="K45" s="26"/>
      <c r="L45" s="26"/>
      <c r="M45" s="26"/>
      <c r="N45" s="26"/>
      <c r="O45" s="34"/>
      <c r="P45" s="191"/>
      <c r="R45" s="189"/>
      <c r="AB45" s="46"/>
      <c r="AC45" s="307"/>
      <c r="AD45" s="46"/>
      <c r="AE45" s="290"/>
      <c r="AF45" s="238"/>
      <c r="AG45" s="29"/>
      <c r="AH45" s="26"/>
    </row>
    <row r="46" spans="1:34" s="9" customFormat="1" x14ac:dyDescent="0.2">
      <c r="A46" s="84"/>
      <c r="B46" s="145" t="s">
        <v>6</v>
      </c>
      <c r="C46" s="293" t="e">
        <f>Berechnungshilfe!L60</f>
        <v>#N/A</v>
      </c>
      <c r="D46" s="79"/>
      <c r="E46" s="26"/>
      <c r="F46" s="26"/>
      <c r="G46" s="26"/>
      <c r="H46" s="26"/>
      <c r="I46" s="26"/>
      <c r="J46" s="26"/>
      <c r="K46" s="26"/>
      <c r="L46" s="26"/>
      <c r="M46" s="26"/>
      <c r="N46" s="26"/>
      <c r="O46" s="197" t="e">
        <f>Berechnungshilfe!O60+(Berechnungshilfe!O69-'Ableich Beitragsystem-Effektiv'!O39)</f>
        <v>#N/A</v>
      </c>
      <c r="P46" s="191"/>
      <c r="R46" s="189"/>
      <c r="AB46" s="314"/>
      <c r="AC46" s="29"/>
      <c r="AE46" s="189"/>
      <c r="AF46" s="213" t="e">
        <f>O46-AB46</f>
        <v>#N/A</v>
      </c>
      <c r="AG46" s="29"/>
      <c r="AH46" s="26"/>
    </row>
    <row r="47" spans="1:34" s="9" customFormat="1" ht="6" customHeight="1" x14ac:dyDescent="0.2">
      <c r="A47" s="217"/>
      <c r="B47" s="32"/>
      <c r="C47" s="32"/>
      <c r="D47" s="36"/>
      <c r="E47" s="298"/>
      <c r="F47" s="298"/>
      <c r="G47" s="298"/>
      <c r="H47" s="298"/>
      <c r="I47" s="298"/>
      <c r="J47" s="298"/>
      <c r="K47" s="298"/>
      <c r="L47" s="298"/>
      <c r="M47" s="298"/>
      <c r="N47" s="298"/>
      <c r="O47" s="298"/>
      <c r="P47" s="302"/>
      <c r="R47" s="220"/>
      <c r="S47" s="214"/>
      <c r="T47" s="214"/>
      <c r="U47" s="214"/>
      <c r="V47" s="214"/>
      <c r="W47" s="214"/>
      <c r="X47" s="214"/>
      <c r="Y47" s="214"/>
      <c r="Z47" s="214"/>
      <c r="AA47" s="214"/>
      <c r="AB47" s="214"/>
      <c r="AC47" s="221"/>
      <c r="AE47" s="220"/>
      <c r="AF47" s="214"/>
      <c r="AG47" s="221"/>
      <c r="AH47" s="26"/>
    </row>
    <row r="48" spans="1:34" s="46" customFormat="1" ht="6" customHeight="1" x14ac:dyDescent="0.2">
      <c r="B48" s="291"/>
      <c r="C48" s="291"/>
      <c r="D48" s="291"/>
      <c r="E48" s="291"/>
      <c r="F48" s="291"/>
      <c r="G48" s="291"/>
      <c r="H48" s="291"/>
      <c r="I48" s="291"/>
      <c r="J48" s="291"/>
      <c r="K48" s="291"/>
      <c r="L48" s="291"/>
      <c r="M48" s="291"/>
      <c r="N48" s="291"/>
      <c r="O48" s="291"/>
      <c r="P48" s="291"/>
      <c r="AH48" s="291"/>
    </row>
    <row r="49" spans="1:34" s="9" customFormat="1" ht="6" customHeight="1" x14ac:dyDescent="0.2">
      <c r="A49" s="285"/>
      <c r="B49" s="288"/>
      <c r="C49" s="288"/>
      <c r="D49" s="288"/>
      <c r="E49" s="288"/>
      <c r="F49" s="288"/>
      <c r="G49" s="288"/>
      <c r="H49" s="288"/>
      <c r="I49" s="288"/>
      <c r="J49" s="288"/>
      <c r="K49" s="288"/>
      <c r="L49" s="288"/>
      <c r="M49" s="288"/>
      <c r="N49" s="288"/>
      <c r="O49" s="288"/>
      <c r="P49" s="289"/>
      <c r="R49" s="285"/>
      <c r="S49" s="286"/>
      <c r="T49" s="286"/>
      <c r="U49" s="286"/>
      <c r="V49" s="286"/>
      <c r="W49" s="286"/>
      <c r="X49" s="286"/>
      <c r="Y49" s="286"/>
      <c r="Z49" s="286"/>
      <c r="AA49" s="286"/>
      <c r="AB49" s="286"/>
      <c r="AC49" s="287"/>
      <c r="AD49" s="18"/>
      <c r="AE49" s="285"/>
      <c r="AF49" s="286"/>
      <c r="AG49" s="287"/>
      <c r="AH49" s="26"/>
    </row>
    <row r="50" spans="1:34" s="9" customFormat="1" x14ac:dyDescent="0.2">
      <c r="A50" s="128" t="s">
        <v>164</v>
      </c>
      <c r="B50" s="205"/>
      <c r="C50" s="205"/>
      <c r="D50" s="205"/>
      <c r="E50" s="205"/>
      <c r="F50" s="205"/>
      <c r="G50" s="205"/>
      <c r="H50" s="205"/>
      <c r="I50" s="205"/>
      <c r="J50" s="205"/>
      <c r="K50" s="205"/>
      <c r="L50" s="205"/>
      <c r="M50" s="205"/>
      <c r="N50" s="205"/>
      <c r="O50" s="292" t="e">
        <f>O33+O36+O39+O43+O46</f>
        <v>#N/A</v>
      </c>
      <c r="P50" s="35"/>
      <c r="R50" s="202"/>
      <c r="S50" s="65"/>
      <c r="T50" s="65"/>
      <c r="U50" s="65"/>
      <c r="V50" s="65"/>
      <c r="W50" s="65"/>
      <c r="X50" s="65"/>
      <c r="Y50" s="65"/>
      <c r="Z50" s="65"/>
      <c r="AA50" s="65"/>
      <c r="AB50" s="213">
        <f>AB33+AB36+AB39+AB43+AB46</f>
        <v>0</v>
      </c>
      <c r="AC50" s="203"/>
      <c r="AD50" s="18"/>
      <c r="AE50" s="202"/>
      <c r="AF50" s="213" t="e">
        <f>O50-AB50</f>
        <v>#N/A</v>
      </c>
      <c r="AG50" s="203"/>
      <c r="AH50" s="26"/>
    </row>
    <row r="51" spans="1:34" s="9" customFormat="1" ht="6" customHeight="1" x14ac:dyDescent="0.2">
      <c r="A51" s="217"/>
      <c r="B51" s="32"/>
      <c r="C51" s="32"/>
      <c r="D51" s="32"/>
      <c r="E51" s="32"/>
      <c r="F51" s="32"/>
      <c r="G51" s="32"/>
      <c r="H51" s="32"/>
      <c r="I51" s="32"/>
      <c r="J51" s="32"/>
      <c r="K51" s="32"/>
      <c r="L51" s="32"/>
      <c r="M51" s="32"/>
      <c r="N51" s="32"/>
      <c r="O51" s="32"/>
      <c r="P51" s="36"/>
      <c r="R51" s="217"/>
      <c r="S51" s="218"/>
      <c r="T51" s="218"/>
      <c r="U51" s="218"/>
      <c r="V51" s="218"/>
      <c r="W51" s="218"/>
      <c r="X51" s="218"/>
      <c r="Y51" s="218"/>
      <c r="Z51" s="218"/>
      <c r="AA51" s="218"/>
      <c r="AB51" s="218"/>
      <c r="AC51" s="219"/>
      <c r="AD51" s="18"/>
      <c r="AE51" s="217"/>
      <c r="AF51" s="218"/>
      <c r="AG51" s="219"/>
      <c r="AH51" s="26"/>
    </row>
    <row r="53" spans="1:34" s="37" customFormat="1" ht="21.75" customHeight="1" x14ac:dyDescent="0.2">
      <c r="A53" s="47" t="s">
        <v>15</v>
      </c>
      <c r="B53" s="48"/>
      <c r="C53" s="49"/>
      <c r="D53" s="49"/>
      <c r="E53" s="49"/>
      <c r="F53" s="49"/>
      <c r="G53" s="49"/>
      <c r="H53" s="49"/>
      <c r="I53" s="49"/>
      <c r="J53" s="49"/>
      <c r="K53" s="49"/>
      <c r="L53" s="49"/>
      <c r="M53" s="49"/>
      <c r="N53" s="49"/>
      <c r="O53" s="49"/>
      <c r="P53" s="50"/>
      <c r="R53" s="284"/>
      <c r="S53" s="49"/>
      <c r="T53" s="49"/>
      <c r="U53" s="49"/>
      <c r="V53" s="49"/>
      <c r="W53" s="49"/>
      <c r="X53" s="49"/>
      <c r="Y53" s="49"/>
      <c r="Z53" s="49"/>
      <c r="AA53" s="49"/>
      <c r="AB53" s="49"/>
      <c r="AC53" s="50"/>
      <c r="AE53" s="284"/>
      <c r="AF53" s="49"/>
      <c r="AG53" s="50"/>
      <c r="AH53" s="306"/>
    </row>
    <row r="54" spans="1:34" ht="5.25" customHeight="1" x14ac:dyDescent="0.2"/>
    <row r="55" spans="1:34" s="25" customFormat="1" ht="21.75" customHeight="1" x14ac:dyDescent="0.2">
      <c r="A55" s="57"/>
      <c r="B55" s="58"/>
      <c r="C55" s="58"/>
      <c r="D55" s="58"/>
      <c r="E55" s="581" t="s">
        <v>3</v>
      </c>
      <c r="F55" s="582"/>
      <c r="G55" s="583"/>
      <c r="H55" s="581" t="s">
        <v>4</v>
      </c>
      <c r="I55" s="582"/>
      <c r="J55" s="583"/>
      <c r="K55" s="581" t="s">
        <v>5</v>
      </c>
      <c r="L55" s="582"/>
      <c r="M55" s="583"/>
      <c r="N55" s="581" t="s">
        <v>6</v>
      </c>
      <c r="O55" s="582"/>
      <c r="P55" s="583"/>
      <c r="R55" s="581"/>
      <c r="S55" s="582"/>
      <c r="T55" s="582"/>
      <c r="U55" s="582"/>
      <c r="V55" s="582"/>
      <c r="W55" s="582"/>
      <c r="X55" s="582"/>
      <c r="Y55" s="582"/>
      <c r="Z55" s="583"/>
      <c r="AA55" s="581" t="s">
        <v>6</v>
      </c>
      <c r="AB55" s="582"/>
      <c r="AC55" s="583"/>
      <c r="AE55" s="581" t="s">
        <v>6</v>
      </c>
      <c r="AF55" s="582"/>
      <c r="AG55" s="583"/>
      <c r="AH55" s="24"/>
    </row>
    <row r="56" spans="1:34" ht="5.25" customHeight="1" x14ac:dyDescent="0.2"/>
    <row r="57" spans="1:34" ht="5.25" customHeight="1" x14ac:dyDescent="0.2">
      <c r="A57" s="285"/>
      <c r="B57" s="286"/>
      <c r="C57" s="286"/>
      <c r="D57" s="286"/>
      <c r="E57" s="241"/>
      <c r="F57" s="239"/>
      <c r="G57" s="239"/>
      <c r="H57" s="241"/>
      <c r="I57" s="239"/>
      <c r="J57" s="224"/>
      <c r="K57" s="241"/>
      <c r="L57" s="239"/>
      <c r="M57" s="224"/>
      <c r="N57" s="239"/>
      <c r="O57" s="239"/>
      <c r="P57" s="224"/>
    </row>
    <row r="58" spans="1:34" x14ac:dyDescent="0.2">
      <c r="A58" s="204"/>
      <c r="B58" s="207" t="s">
        <v>42</v>
      </c>
      <c r="C58" s="205"/>
      <c r="D58" s="65"/>
      <c r="E58" s="189"/>
      <c r="F58" s="300">
        <f>Berechnungshilfe!F90</f>
        <v>0</v>
      </c>
      <c r="G58" s="300"/>
      <c r="H58" s="311"/>
      <c r="I58" s="300">
        <f>Berechnungshilfe!I90</f>
        <v>0</v>
      </c>
      <c r="J58" s="310"/>
      <c r="K58" s="311"/>
      <c r="L58" s="300">
        <f>Berechnungshilfe!L90</f>
        <v>0</v>
      </c>
      <c r="M58" s="310"/>
      <c r="N58" s="300"/>
      <c r="O58" s="300">
        <f>Berechnungshilfe!O90</f>
        <v>0</v>
      </c>
      <c r="P58" s="29"/>
    </row>
    <row r="59" spans="1:34" ht="5.25" customHeight="1" x14ac:dyDescent="0.2">
      <c r="A59" s="217"/>
      <c r="B59" s="218"/>
      <c r="C59" s="218"/>
      <c r="D59" s="218"/>
      <c r="E59" s="220"/>
      <c r="F59" s="214"/>
      <c r="G59" s="214"/>
      <c r="H59" s="220"/>
      <c r="I59" s="214"/>
      <c r="J59" s="221"/>
      <c r="K59" s="220"/>
      <c r="L59" s="214"/>
      <c r="M59" s="221"/>
      <c r="N59" s="214"/>
      <c r="O59" s="214"/>
      <c r="P59" s="221"/>
    </row>
    <row r="60" spans="1:34" s="161" customFormat="1" ht="5.25" customHeight="1" x14ac:dyDescent="0.2">
      <c r="AH60" s="165"/>
    </row>
    <row r="61" spans="1:34" ht="5.25" customHeight="1" x14ac:dyDescent="0.2">
      <c r="A61" s="285"/>
      <c r="B61" s="286"/>
      <c r="C61" s="286"/>
      <c r="D61" s="286"/>
      <c r="E61" s="241"/>
      <c r="F61" s="239"/>
      <c r="G61" s="224"/>
      <c r="H61" s="241"/>
      <c r="I61" s="239"/>
      <c r="J61" s="239"/>
      <c r="K61" s="241"/>
      <c r="L61" s="239"/>
      <c r="M61" s="224"/>
      <c r="N61" s="239"/>
      <c r="O61" s="239"/>
      <c r="P61" s="224"/>
      <c r="R61" s="241"/>
      <c r="S61" s="239"/>
      <c r="T61" s="239"/>
      <c r="U61" s="239"/>
      <c r="V61" s="239"/>
      <c r="W61" s="239"/>
      <c r="X61" s="239"/>
      <c r="Y61" s="239"/>
      <c r="Z61" s="239"/>
      <c r="AA61" s="241"/>
      <c r="AB61" s="239"/>
      <c r="AC61" s="224"/>
      <c r="AE61" s="241"/>
      <c r="AF61" s="239"/>
      <c r="AG61" s="224"/>
    </row>
    <row r="62" spans="1:34" x14ac:dyDescent="0.2">
      <c r="A62" s="117" t="s">
        <v>16</v>
      </c>
      <c r="B62" s="205"/>
      <c r="C62" s="205"/>
      <c r="D62" s="65"/>
      <c r="E62" s="190"/>
      <c r="F62" s="26"/>
      <c r="G62" s="191"/>
      <c r="H62" s="190"/>
      <c r="I62" s="26"/>
      <c r="J62" s="26"/>
      <c r="K62" s="190"/>
      <c r="L62" s="26"/>
      <c r="M62" s="191"/>
      <c r="N62" s="26"/>
      <c r="O62" s="26"/>
      <c r="P62" s="191"/>
      <c r="Q62" s="18"/>
      <c r="R62" s="189"/>
      <c r="S62" s="9"/>
      <c r="T62" s="9"/>
      <c r="U62" s="9"/>
      <c r="V62" s="9"/>
      <c r="W62" s="9"/>
      <c r="X62" s="9"/>
      <c r="Y62" s="9"/>
      <c r="Z62" s="9"/>
      <c r="AA62" s="189"/>
      <c r="AB62" s="9"/>
      <c r="AC62" s="29"/>
      <c r="AD62" s="18"/>
      <c r="AE62" s="189"/>
      <c r="AF62" s="9"/>
      <c r="AG62" s="29"/>
    </row>
    <row r="63" spans="1:34" x14ac:dyDescent="0.2">
      <c r="A63" s="202"/>
      <c r="B63" s="205" t="s">
        <v>136</v>
      </c>
      <c r="C63" s="205"/>
      <c r="D63" s="65"/>
      <c r="E63" s="190"/>
      <c r="F63" s="34" t="e">
        <f>'zusätzliche Angaben'!F71</f>
        <v>#N/A</v>
      </c>
      <c r="G63" s="191"/>
      <c r="H63" s="190"/>
      <c r="I63" s="34" t="e">
        <f>'zusätzliche Angaben'!I71</f>
        <v>#N/A</v>
      </c>
      <c r="J63" s="26"/>
      <c r="K63" s="190"/>
      <c r="L63" s="34" t="e">
        <f>'zusätzliche Angaben'!L71</f>
        <v>#N/A</v>
      </c>
      <c r="M63" s="191"/>
      <c r="N63" s="26"/>
      <c r="O63" s="34" t="e">
        <f>'zusätzliche Angaben'!O71</f>
        <v>#N/A</v>
      </c>
      <c r="P63" s="191"/>
      <c r="Q63" s="18"/>
      <c r="R63" s="189"/>
      <c r="S63" s="9"/>
      <c r="T63" s="9"/>
      <c r="U63" s="9"/>
      <c r="V63" s="9"/>
      <c r="W63" s="9"/>
      <c r="X63" s="9"/>
      <c r="Y63" s="9"/>
      <c r="Z63" s="9"/>
      <c r="AA63" s="189"/>
      <c r="AB63" s="315"/>
      <c r="AC63" s="29"/>
      <c r="AD63" s="18"/>
      <c r="AE63" s="189"/>
      <c r="AF63" s="305" t="e">
        <f>O63-AB63</f>
        <v>#N/A</v>
      </c>
      <c r="AG63" s="29"/>
    </row>
    <row r="64" spans="1:34" x14ac:dyDescent="0.2">
      <c r="A64" s="202"/>
      <c r="B64" s="205" t="s">
        <v>137</v>
      </c>
      <c r="C64" s="205"/>
      <c r="D64" s="65"/>
      <c r="E64" s="190"/>
      <c r="F64" s="34" t="e">
        <f>'zusätzliche Angaben'!F72</f>
        <v>#N/A</v>
      </c>
      <c r="G64" s="191"/>
      <c r="H64" s="190"/>
      <c r="I64" s="34" t="e">
        <f>'zusätzliche Angaben'!I72</f>
        <v>#N/A</v>
      </c>
      <c r="J64" s="26"/>
      <c r="K64" s="190"/>
      <c r="L64" s="34" t="e">
        <f>'zusätzliche Angaben'!L72</f>
        <v>#N/A</v>
      </c>
      <c r="M64" s="191"/>
      <c r="N64" s="26"/>
      <c r="O64" s="34" t="e">
        <f>'zusätzliche Angaben'!O72</f>
        <v>#N/A</v>
      </c>
      <c r="P64" s="191"/>
      <c r="Q64" s="18"/>
      <c r="R64" s="189"/>
      <c r="S64" s="9"/>
      <c r="T64" s="9"/>
      <c r="U64" s="9"/>
      <c r="V64" s="9"/>
      <c r="W64" s="9"/>
      <c r="X64" s="9"/>
      <c r="Y64" s="9"/>
      <c r="Z64" s="9"/>
      <c r="AA64" s="189"/>
      <c r="AB64" s="315"/>
      <c r="AC64" s="29"/>
      <c r="AD64" s="18"/>
      <c r="AE64" s="189"/>
      <c r="AF64" s="305" t="e">
        <f>O64-AB64</f>
        <v>#N/A</v>
      </c>
      <c r="AG64" s="29"/>
    </row>
    <row r="65" spans="1:33" x14ac:dyDescent="0.2">
      <c r="A65" s="202"/>
      <c r="B65" s="205" t="s">
        <v>138</v>
      </c>
      <c r="C65" s="205"/>
      <c r="D65" s="65"/>
      <c r="E65" s="190"/>
      <c r="F65" s="34" t="e">
        <f>'zusätzliche Angaben'!F73</f>
        <v>#N/A</v>
      </c>
      <c r="G65" s="191"/>
      <c r="H65" s="190"/>
      <c r="I65" s="34" t="e">
        <f>'zusätzliche Angaben'!I73</f>
        <v>#N/A</v>
      </c>
      <c r="J65" s="26"/>
      <c r="K65" s="190"/>
      <c r="L65" s="34" t="e">
        <f>'zusätzliche Angaben'!L73</f>
        <v>#N/A</v>
      </c>
      <c r="M65" s="191"/>
      <c r="N65" s="26"/>
      <c r="O65" s="34" t="e">
        <f>'zusätzliche Angaben'!O73</f>
        <v>#N/A</v>
      </c>
      <c r="P65" s="191"/>
      <c r="Q65" s="18"/>
      <c r="R65" s="189"/>
      <c r="S65" s="9"/>
      <c r="T65" s="9"/>
      <c r="U65" s="9"/>
      <c r="V65" s="9"/>
      <c r="W65" s="9"/>
      <c r="X65" s="9"/>
      <c r="Y65" s="9"/>
      <c r="Z65" s="9"/>
      <c r="AA65" s="189"/>
      <c r="AB65" s="315"/>
      <c r="AC65" s="29"/>
      <c r="AD65" s="18"/>
      <c r="AE65" s="189"/>
      <c r="AF65" s="305" t="e">
        <f>O65-AB65</f>
        <v>#N/A</v>
      </c>
      <c r="AG65" s="29"/>
    </row>
    <row r="66" spans="1:33" x14ac:dyDescent="0.2">
      <c r="A66" s="202"/>
      <c r="B66" s="205" t="s">
        <v>152</v>
      </c>
      <c r="C66" s="205"/>
      <c r="D66" s="65"/>
      <c r="E66" s="190"/>
      <c r="F66" s="34" t="e">
        <f>'zusätzliche Angaben'!F74</f>
        <v>#N/A</v>
      </c>
      <c r="G66" s="191"/>
      <c r="H66" s="190"/>
      <c r="I66" s="34" t="e">
        <f>'zusätzliche Angaben'!I74</f>
        <v>#N/A</v>
      </c>
      <c r="J66" s="26"/>
      <c r="K66" s="190"/>
      <c r="L66" s="34" t="e">
        <f>'zusätzliche Angaben'!L74</f>
        <v>#N/A</v>
      </c>
      <c r="M66" s="191"/>
      <c r="N66" s="26"/>
      <c r="O66" s="34" t="e">
        <f>'zusätzliche Angaben'!O74</f>
        <v>#N/A</v>
      </c>
      <c r="P66" s="191"/>
      <c r="Q66" s="18"/>
      <c r="R66" s="189"/>
      <c r="S66" s="9"/>
      <c r="T66" s="9"/>
      <c r="U66" s="9"/>
      <c r="V66" s="9"/>
      <c r="W66" s="9"/>
      <c r="X66" s="9"/>
      <c r="Y66" s="9"/>
      <c r="Z66" s="9"/>
      <c r="AA66" s="189"/>
      <c r="AB66" s="315"/>
      <c r="AC66" s="29"/>
      <c r="AD66" s="18"/>
      <c r="AE66" s="189"/>
      <c r="AF66" s="305" t="e">
        <f>O66-AB66</f>
        <v>#N/A</v>
      </c>
      <c r="AG66" s="29"/>
    </row>
    <row r="67" spans="1:33" ht="5.25" customHeight="1" x14ac:dyDescent="0.2">
      <c r="A67" s="202"/>
      <c r="B67" s="205"/>
      <c r="C67" s="205"/>
      <c r="D67" s="65"/>
      <c r="E67" s="190"/>
      <c r="F67" s="26"/>
      <c r="G67" s="191"/>
      <c r="H67" s="190"/>
      <c r="I67" s="26"/>
      <c r="J67" s="26"/>
      <c r="K67" s="190"/>
      <c r="L67" s="26"/>
      <c r="M67" s="191"/>
      <c r="N67" s="26"/>
      <c r="O67" s="26"/>
      <c r="P67" s="191"/>
      <c r="Q67" s="18"/>
      <c r="R67" s="189"/>
      <c r="S67" s="9"/>
      <c r="T67" s="9"/>
      <c r="U67" s="9"/>
      <c r="V67" s="9"/>
      <c r="W67" s="9"/>
      <c r="X67" s="9"/>
      <c r="Y67" s="9"/>
      <c r="Z67" s="9"/>
      <c r="AA67" s="189"/>
      <c r="AB67" s="9"/>
      <c r="AC67" s="29"/>
      <c r="AD67" s="18"/>
      <c r="AE67" s="189"/>
      <c r="AF67" s="9"/>
      <c r="AG67" s="29"/>
    </row>
    <row r="68" spans="1:33" x14ac:dyDescent="0.2">
      <c r="A68" s="206"/>
      <c r="B68" s="207" t="s">
        <v>6</v>
      </c>
      <c r="C68" s="207"/>
      <c r="D68" s="65"/>
      <c r="E68" s="190"/>
      <c r="F68" s="34" t="e">
        <f>SUM(F63:F66)</f>
        <v>#N/A</v>
      </c>
      <c r="G68" s="191"/>
      <c r="H68" s="190"/>
      <c r="I68" s="34" t="e">
        <f>SUM(I63:I66)</f>
        <v>#N/A</v>
      </c>
      <c r="J68" s="26"/>
      <c r="K68" s="190"/>
      <c r="L68" s="34" t="e">
        <f>SUM(L63:L66)</f>
        <v>#N/A</v>
      </c>
      <c r="M68" s="191"/>
      <c r="N68" s="26"/>
      <c r="O68" s="197" t="e">
        <f>SUM(O63:O66)</f>
        <v>#N/A</v>
      </c>
      <c r="P68" s="191"/>
      <c r="Q68" s="18"/>
      <c r="R68" s="189"/>
      <c r="S68" s="9"/>
      <c r="T68" s="9"/>
      <c r="U68" s="9"/>
      <c r="V68" s="9"/>
      <c r="W68" s="9"/>
      <c r="X68" s="9"/>
      <c r="Y68" s="9"/>
      <c r="Z68" s="9"/>
      <c r="AA68" s="189"/>
      <c r="AB68" s="213">
        <f>AB63+AB64+AB65+AB66</f>
        <v>0</v>
      </c>
      <c r="AC68" s="29"/>
      <c r="AD68" s="18"/>
      <c r="AE68" s="189"/>
      <c r="AF68" s="213" t="e">
        <f>O68-AB68</f>
        <v>#N/A</v>
      </c>
      <c r="AG68" s="29"/>
    </row>
    <row r="69" spans="1:33" ht="5.25" customHeight="1" x14ac:dyDescent="0.2">
      <c r="A69" s="204"/>
      <c r="B69" s="205"/>
      <c r="C69" s="205"/>
      <c r="D69" s="65"/>
      <c r="E69" s="190"/>
      <c r="F69" s="26"/>
      <c r="G69" s="191"/>
      <c r="H69" s="190"/>
      <c r="I69" s="26"/>
      <c r="J69" s="26"/>
      <c r="K69" s="190"/>
      <c r="L69" s="26"/>
      <c r="M69" s="191"/>
      <c r="N69" s="26"/>
      <c r="O69" s="26"/>
      <c r="P69" s="191"/>
      <c r="Q69" s="18"/>
      <c r="R69" s="189"/>
      <c r="S69" s="9"/>
      <c r="T69" s="9"/>
      <c r="U69" s="9"/>
      <c r="V69" s="9"/>
      <c r="W69" s="9"/>
      <c r="X69" s="9"/>
      <c r="Y69" s="9"/>
      <c r="Z69" s="9"/>
      <c r="AA69" s="189"/>
      <c r="AB69" s="9"/>
      <c r="AC69" s="29"/>
      <c r="AD69" s="18"/>
      <c r="AE69" s="189"/>
      <c r="AF69" s="9"/>
      <c r="AG69" s="29"/>
    </row>
    <row r="70" spans="1:33" ht="5.25" customHeight="1" x14ac:dyDescent="0.2">
      <c r="A70" s="204"/>
      <c r="B70" s="205"/>
      <c r="C70" s="205"/>
      <c r="D70" s="65"/>
      <c r="E70" s="301"/>
      <c r="F70" s="298"/>
      <c r="G70" s="302"/>
      <c r="H70" s="301"/>
      <c r="I70" s="298"/>
      <c r="J70" s="298"/>
      <c r="K70" s="301"/>
      <c r="L70" s="298"/>
      <c r="M70" s="302"/>
      <c r="N70" s="301"/>
      <c r="O70" s="298"/>
      <c r="P70" s="302"/>
      <c r="Q70" s="18"/>
      <c r="R70" s="189"/>
      <c r="S70" s="9"/>
      <c r="T70" s="9"/>
      <c r="U70" s="9"/>
      <c r="V70" s="9"/>
      <c r="W70" s="9"/>
      <c r="X70" s="9"/>
      <c r="Y70" s="9"/>
      <c r="Z70" s="9"/>
      <c r="AA70" s="220"/>
      <c r="AB70" s="214"/>
      <c r="AC70" s="221"/>
      <c r="AD70" s="18"/>
      <c r="AE70" s="189"/>
      <c r="AF70" s="9"/>
      <c r="AG70" s="29"/>
    </row>
    <row r="71" spans="1:33" x14ac:dyDescent="0.2">
      <c r="A71" s="117" t="s">
        <v>137</v>
      </c>
      <c r="B71" s="205"/>
      <c r="C71" s="205"/>
      <c r="D71" s="65"/>
      <c r="E71" s="303"/>
      <c r="F71" s="297"/>
      <c r="G71" s="304"/>
      <c r="H71" s="303"/>
      <c r="I71" s="297"/>
      <c r="J71" s="297"/>
      <c r="K71" s="303"/>
      <c r="L71" s="297"/>
      <c r="M71" s="304"/>
      <c r="N71" s="26"/>
      <c r="O71" s="26"/>
      <c r="P71" s="191"/>
      <c r="Q71" s="18"/>
      <c r="R71" s="189"/>
      <c r="S71" s="9"/>
      <c r="T71" s="9"/>
      <c r="U71" s="9"/>
      <c r="V71" s="9"/>
      <c r="W71" s="9"/>
      <c r="X71" s="9"/>
      <c r="Y71" s="9"/>
      <c r="Z71" s="9"/>
      <c r="AA71" s="241"/>
      <c r="AB71" s="239"/>
      <c r="AC71" s="224"/>
      <c r="AD71" s="18"/>
      <c r="AE71" s="189"/>
      <c r="AF71" s="9"/>
      <c r="AG71" s="29"/>
    </row>
    <row r="72" spans="1:33" x14ac:dyDescent="0.2">
      <c r="A72" s="204"/>
      <c r="B72" s="205" t="s">
        <v>132</v>
      </c>
      <c r="C72" s="209" t="s">
        <v>135</v>
      </c>
      <c r="D72" s="65"/>
      <c r="E72" s="190"/>
      <c r="F72" s="34" t="e">
        <f>'zusätzliche Angaben'!F82</f>
        <v>#N/A</v>
      </c>
      <c r="G72" s="191"/>
      <c r="H72" s="190"/>
      <c r="I72" s="34" t="e">
        <f>'zusätzliche Angaben'!I82</f>
        <v>#N/A</v>
      </c>
      <c r="J72" s="26"/>
      <c r="K72" s="190"/>
      <c r="L72" s="34" t="e">
        <f>'zusätzliche Angaben'!L82</f>
        <v>#N/A</v>
      </c>
      <c r="M72" s="191"/>
      <c r="N72" s="26"/>
      <c r="O72" s="34" t="e">
        <f>'zusätzliche Angaben'!O82</f>
        <v>#N/A</v>
      </c>
      <c r="P72" s="191"/>
      <c r="Q72" s="18"/>
      <c r="R72" s="189"/>
      <c r="S72" s="9"/>
      <c r="T72" s="9"/>
      <c r="U72" s="9"/>
      <c r="V72" s="9"/>
      <c r="W72" s="9"/>
      <c r="X72" s="9"/>
      <c r="Y72" s="9"/>
      <c r="Z72" s="9"/>
      <c r="AA72" s="189"/>
      <c r="AB72" s="315"/>
      <c r="AC72" s="29"/>
      <c r="AD72" s="18"/>
      <c r="AE72" s="189"/>
      <c r="AF72" s="305" t="e">
        <f>O72-AB72</f>
        <v>#N/A</v>
      </c>
      <c r="AG72" s="29"/>
    </row>
    <row r="73" spans="1:33" x14ac:dyDescent="0.2">
      <c r="A73" s="204"/>
      <c r="B73" s="205" t="s">
        <v>133</v>
      </c>
      <c r="C73" s="210">
        <v>0.03</v>
      </c>
      <c r="D73" s="65"/>
      <c r="E73" s="190"/>
      <c r="F73" s="34" t="e">
        <f>'zusätzliche Angaben'!F83</f>
        <v>#N/A</v>
      </c>
      <c r="G73" s="191"/>
      <c r="H73" s="190"/>
      <c r="I73" s="34" t="e">
        <f>'zusätzliche Angaben'!I83</f>
        <v>#N/A</v>
      </c>
      <c r="J73" s="26"/>
      <c r="K73" s="190"/>
      <c r="L73" s="34" t="e">
        <f>'zusätzliche Angaben'!L83</f>
        <v>#N/A</v>
      </c>
      <c r="M73" s="191"/>
      <c r="N73" s="26"/>
      <c r="O73" s="34" t="e">
        <f>'zusätzliche Angaben'!O83</f>
        <v>#N/A</v>
      </c>
      <c r="P73" s="191"/>
      <c r="Q73" s="18"/>
      <c r="R73" s="189"/>
      <c r="S73" s="9"/>
      <c r="T73" s="9"/>
      <c r="U73" s="9"/>
      <c r="V73" s="9"/>
      <c r="W73" s="9"/>
      <c r="X73" s="9"/>
      <c r="Y73" s="9"/>
      <c r="Z73" s="9"/>
      <c r="AA73" s="189"/>
      <c r="AB73" s="315"/>
      <c r="AC73" s="29"/>
      <c r="AD73" s="18"/>
      <c r="AE73" s="189"/>
      <c r="AF73" s="305" t="e">
        <f>O73-AB73</f>
        <v>#N/A</v>
      </c>
      <c r="AG73" s="29"/>
    </row>
    <row r="74" spans="1:33" x14ac:dyDescent="0.2">
      <c r="A74" s="204"/>
      <c r="B74" s="205" t="s">
        <v>134</v>
      </c>
      <c r="C74" s="210">
        <v>0.02</v>
      </c>
      <c r="D74" s="65"/>
      <c r="E74" s="190"/>
      <c r="F74" s="34" t="e">
        <f>'zusätzliche Angaben'!F84</f>
        <v>#N/A</v>
      </c>
      <c r="G74" s="191"/>
      <c r="H74" s="190"/>
      <c r="I74" s="34" t="e">
        <f>'zusätzliche Angaben'!I84</f>
        <v>#N/A</v>
      </c>
      <c r="J74" s="26"/>
      <c r="K74" s="190"/>
      <c r="L74" s="34" t="e">
        <f>'zusätzliche Angaben'!L84</f>
        <v>#N/A</v>
      </c>
      <c r="M74" s="191"/>
      <c r="N74" s="26"/>
      <c r="O74" s="34" t="e">
        <f>'zusätzliche Angaben'!O84</f>
        <v>#N/A</v>
      </c>
      <c r="P74" s="191"/>
      <c r="Q74" s="18"/>
      <c r="R74" s="189"/>
      <c r="S74" s="9"/>
      <c r="T74" s="9"/>
      <c r="U74" s="9"/>
      <c r="V74" s="9"/>
      <c r="W74" s="9"/>
      <c r="X74" s="9"/>
      <c r="Y74" s="9"/>
      <c r="Z74" s="9"/>
      <c r="AA74" s="189"/>
      <c r="AB74" s="315"/>
      <c r="AC74" s="29"/>
      <c r="AD74" s="18"/>
      <c r="AE74" s="189"/>
      <c r="AF74" s="305" t="e">
        <f>O74-AB74</f>
        <v>#N/A</v>
      </c>
      <c r="AG74" s="29"/>
    </row>
    <row r="75" spans="1:33" ht="5.25" customHeight="1" x14ac:dyDescent="0.2">
      <c r="A75" s="204"/>
      <c r="B75" s="205"/>
      <c r="C75" s="210"/>
      <c r="D75" s="65"/>
      <c r="E75" s="190"/>
      <c r="F75" s="26"/>
      <c r="G75" s="191"/>
      <c r="H75" s="190"/>
      <c r="I75" s="26"/>
      <c r="J75" s="26"/>
      <c r="K75" s="190"/>
      <c r="L75" s="26"/>
      <c r="M75" s="191"/>
      <c r="N75" s="26"/>
      <c r="O75" s="26"/>
      <c r="P75" s="191"/>
      <c r="Q75" s="18"/>
      <c r="R75" s="189"/>
      <c r="S75" s="9"/>
      <c r="T75" s="9"/>
      <c r="U75" s="9"/>
      <c r="V75" s="9"/>
      <c r="W75" s="9"/>
      <c r="X75" s="9"/>
      <c r="Y75" s="9"/>
      <c r="Z75" s="9"/>
      <c r="AA75" s="189"/>
      <c r="AB75" s="9"/>
      <c r="AC75" s="29"/>
      <c r="AD75" s="18"/>
      <c r="AE75" s="189"/>
      <c r="AF75" s="9"/>
      <c r="AG75" s="29"/>
    </row>
    <row r="76" spans="1:33" x14ac:dyDescent="0.2">
      <c r="A76" s="211"/>
      <c r="B76" s="207" t="s">
        <v>6</v>
      </c>
      <c r="C76" s="207"/>
      <c r="D76" s="65"/>
      <c r="E76" s="190"/>
      <c r="F76" s="34" t="e">
        <f>SUM(F72:F74)</f>
        <v>#N/A</v>
      </c>
      <c r="G76" s="191"/>
      <c r="H76" s="190"/>
      <c r="I76" s="34" t="e">
        <f>SUM(I72:I74)</f>
        <v>#N/A</v>
      </c>
      <c r="J76" s="26"/>
      <c r="K76" s="190"/>
      <c r="L76" s="34" t="e">
        <f>SUM(L72:L74)</f>
        <v>#N/A</v>
      </c>
      <c r="M76" s="191"/>
      <c r="N76" s="26"/>
      <c r="O76" s="197" t="e">
        <f>SUM(O72:O74)</f>
        <v>#N/A</v>
      </c>
      <c r="P76" s="191"/>
      <c r="Q76" s="18"/>
      <c r="R76" s="189"/>
      <c r="S76" s="9"/>
      <c r="T76" s="9"/>
      <c r="U76" s="9"/>
      <c r="V76" s="9"/>
      <c r="W76" s="9"/>
      <c r="X76" s="9"/>
      <c r="Y76" s="9"/>
      <c r="Z76" s="9"/>
      <c r="AA76" s="189"/>
      <c r="AB76" s="213">
        <f>AB72+AB73+AB74</f>
        <v>0</v>
      </c>
      <c r="AC76" s="29"/>
      <c r="AD76" s="18"/>
      <c r="AE76" s="189"/>
      <c r="AF76" s="213" t="e">
        <f>O76-AB76</f>
        <v>#N/A</v>
      </c>
      <c r="AG76" s="29"/>
    </row>
    <row r="77" spans="1:33" ht="5.25" customHeight="1" x14ac:dyDescent="0.2">
      <c r="A77" s="217"/>
      <c r="B77" s="218"/>
      <c r="C77" s="218"/>
      <c r="D77" s="218"/>
      <c r="E77" s="301"/>
      <c r="F77" s="298"/>
      <c r="G77" s="302"/>
      <c r="H77" s="301"/>
      <c r="I77" s="298"/>
      <c r="J77" s="298"/>
      <c r="K77" s="301"/>
      <c r="L77" s="298"/>
      <c r="M77" s="302"/>
      <c r="N77" s="298"/>
      <c r="O77" s="298"/>
      <c r="P77" s="302"/>
      <c r="Q77" s="18"/>
      <c r="R77" s="220"/>
      <c r="S77" s="214"/>
      <c r="T77" s="214"/>
      <c r="U77" s="214"/>
      <c r="V77" s="214"/>
      <c r="W77" s="214"/>
      <c r="X77" s="214"/>
      <c r="Y77" s="214"/>
      <c r="Z77" s="214"/>
      <c r="AA77" s="220"/>
      <c r="AB77" s="214"/>
      <c r="AC77" s="221"/>
      <c r="AD77" s="18"/>
      <c r="AE77" s="220"/>
      <c r="AF77" s="214"/>
      <c r="AG77" s="221"/>
    </row>
    <row r="78" spans="1:33" ht="6" customHeight="1" x14ac:dyDescent="0.2">
      <c r="E78" s="18"/>
      <c r="F78" s="18"/>
      <c r="G78" s="18"/>
      <c r="H78" s="18"/>
      <c r="I78" s="18"/>
      <c r="J78" s="18"/>
      <c r="K78" s="18"/>
      <c r="L78" s="18"/>
      <c r="M78" s="18"/>
      <c r="N78" s="18"/>
      <c r="O78" s="18"/>
      <c r="P78" s="18"/>
      <c r="Q78" s="18"/>
      <c r="AD78" s="18"/>
    </row>
    <row r="79" spans="1:33" ht="6" customHeight="1" x14ac:dyDescent="0.2">
      <c r="A79" s="285"/>
      <c r="B79" s="286"/>
      <c r="C79" s="286"/>
      <c r="D79" s="286"/>
      <c r="E79" s="288"/>
      <c r="F79" s="288"/>
      <c r="G79" s="288"/>
      <c r="H79" s="288"/>
      <c r="I79" s="288"/>
      <c r="J79" s="288"/>
      <c r="K79" s="288"/>
      <c r="L79" s="288"/>
      <c r="M79" s="288"/>
      <c r="N79" s="288"/>
      <c r="O79" s="288"/>
      <c r="P79" s="289"/>
      <c r="Q79" s="18"/>
      <c r="R79" s="285"/>
      <c r="S79" s="286"/>
      <c r="T79" s="286"/>
      <c r="U79" s="286"/>
      <c r="V79" s="286"/>
      <c r="W79" s="286"/>
      <c r="X79" s="286"/>
      <c r="Y79" s="286"/>
      <c r="Z79" s="286"/>
      <c r="AA79" s="286"/>
      <c r="AB79" s="286"/>
      <c r="AC79" s="287"/>
      <c r="AD79" s="18"/>
      <c r="AE79" s="285"/>
      <c r="AF79" s="286"/>
      <c r="AG79" s="287"/>
    </row>
    <row r="80" spans="1:33" x14ac:dyDescent="0.2">
      <c r="A80" s="211" t="s">
        <v>165</v>
      </c>
      <c r="B80" s="65"/>
      <c r="C80" s="65"/>
      <c r="D80" s="65"/>
      <c r="E80" s="205"/>
      <c r="F80" s="205"/>
      <c r="G80" s="205"/>
      <c r="H80" s="205"/>
      <c r="I80" s="205"/>
      <c r="J80" s="205"/>
      <c r="K80" s="205"/>
      <c r="L80" s="205"/>
      <c r="M80" s="205"/>
      <c r="N80" s="205"/>
      <c r="O80" s="292" t="e">
        <f>O76+O68</f>
        <v>#N/A</v>
      </c>
      <c r="P80" s="35"/>
      <c r="Q80" s="18"/>
      <c r="R80" s="202"/>
      <c r="S80" s="65"/>
      <c r="T80" s="65"/>
      <c r="U80" s="65"/>
      <c r="V80" s="65"/>
      <c r="W80" s="65"/>
      <c r="X80" s="65"/>
      <c r="Y80" s="65"/>
      <c r="Z80" s="65"/>
      <c r="AA80" s="65"/>
      <c r="AB80" s="213">
        <f>AB68+AB76</f>
        <v>0</v>
      </c>
      <c r="AC80" s="203"/>
      <c r="AD80" s="18"/>
      <c r="AE80" s="202"/>
      <c r="AF80" s="213" t="e">
        <f>O80-AB80</f>
        <v>#N/A</v>
      </c>
      <c r="AG80" s="203"/>
    </row>
    <row r="81" spans="1:34" ht="6" customHeight="1" x14ac:dyDescent="0.2">
      <c r="A81" s="217"/>
      <c r="B81" s="218"/>
      <c r="C81" s="218"/>
      <c r="D81" s="218"/>
      <c r="E81" s="32"/>
      <c r="F81" s="32"/>
      <c r="G81" s="32"/>
      <c r="H81" s="32"/>
      <c r="I81" s="32"/>
      <c r="J81" s="32"/>
      <c r="K81" s="32"/>
      <c r="L81" s="32"/>
      <c r="M81" s="32"/>
      <c r="N81" s="32"/>
      <c r="O81" s="32"/>
      <c r="P81" s="36"/>
      <c r="Q81" s="18"/>
      <c r="R81" s="217"/>
      <c r="S81" s="218"/>
      <c r="T81" s="218"/>
      <c r="U81" s="218"/>
      <c r="V81" s="218"/>
      <c r="W81" s="218"/>
      <c r="X81" s="218"/>
      <c r="Y81" s="218"/>
      <c r="Z81" s="218"/>
      <c r="AA81" s="218"/>
      <c r="AB81" s="218"/>
      <c r="AC81" s="219"/>
      <c r="AD81" s="18"/>
      <c r="AE81" s="217"/>
      <c r="AF81" s="218"/>
      <c r="AG81" s="219"/>
    </row>
    <row r="82" spans="1:34" x14ac:dyDescent="0.2">
      <c r="E82" s="18"/>
      <c r="F82" s="18"/>
      <c r="G82" s="18"/>
      <c r="H82" s="18"/>
      <c r="I82" s="18"/>
      <c r="J82" s="18"/>
      <c r="K82" s="18"/>
      <c r="L82" s="18"/>
      <c r="M82" s="18"/>
      <c r="N82" s="18"/>
      <c r="O82" s="18"/>
      <c r="P82" s="18"/>
      <c r="Q82" s="18"/>
      <c r="AD82" s="18"/>
    </row>
    <row r="83" spans="1:34" s="37" customFormat="1" ht="21.75" customHeight="1" x14ac:dyDescent="0.2">
      <c r="A83" s="47" t="s">
        <v>6</v>
      </c>
      <c r="B83" s="48"/>
      <c r="C83" s="49"/>
      <c r="D83" s="49"/>
      <c r="E83" s="49"/>
      <c r="F83" s="49"/>
      <c r="G83" s="49"/>
      <c r="H83" s="49"/>
      <c r="I83" s="49"/>
      <c r="J83" s="49"/>
      <c r="K83" s="49"/>
      <c r="L83" s="49"/>
      <c r="M83" s="49"/>
      <c r="N83" s="49"/>
      <c r="O83" s="49"/>
      <c r="P83" s="50"/>
      <c r="R83" s="284"/>
      <c r="S83" s="49"/>
      <c r="T83" s="49"/>
      <c r="U83" s="49"/>
      <c r="V83" s="49"/>
      <c r="W83" s="49"/>
      <c r="X83" s="49"/>
      <c r="Y83" s="49"/>
      <c r="Z83" s="49"/>
      <c r="AA83" s="49"/>
      <c r="AB83" s="49"/>
      <c r="AC83" s="50"/>
      <c r="AE83" s="284"/>
      <c r="AF83" s="49"/>
      <c r="AG83" s="50"/>
      <c r="AH83" s="306"/>
    </row>
    <row r="84" spans="1:34" ht="6" customHeight="1" x14ac:dyDescent="0.2">
      <c r="E84" s="18"/>
      <c r="F84" s="18"/>
      <c r="G84" s="18"/>
      <c r="H84" s="18"/>
      <c r="I84" s="18"/>
      <c r="J84" s="18"/>
      <c r="K84" s="18"/>
      <c r="L84" s="18"/>
      <c r="M84" s="18"/>
      <c r="N84" s="18"/>
      <c r="O84" s="18"/>
      <c r="P84" s="18"/>
      <c r="Q84" s="18"/>
      <c r="AD84" s="26"/>
    </row>
    <row r="85" spans="1:34" s="9" customFormat="1" ht="6" customHeight="1" x14ac:dyDescent="0.2">
      <c r="A85" s="285"/>
      <c r="B85" s="288"/>
      <c r="C85" s="288"/>
      <c r="D85" s="288"/>
      <c r="E85" s="288"/>
      <c r="F85" s="288"/>
      <c r="G85" s="288"/>
      <c r="H85" s="288"/>
      <c r="I85" s="288"/>
      <c r="J85" s="288"/>
      <c r="K85" s="288"/>
      <c r="L85" s="288"/>
      <c r="M85" s="288"/>
      <c r="N85" s="288"/>
      <c r="O85" s="288"/>
      <c r="P85" s="289"/>
      <c r="R85" s="285"/>
      <c r="S85" s="286"/>
      <c r="T85" s="286"/>
      <c r="U85" s="286"/>
      <c r="V85" s="286"/>
      <c r="W85" s="286"/>
      <c r="X85" s="286"/>
      <c r="Y85" s="286"/>
      <c r="Z85" s="286"/>
      <c r="AA85" s="286"/>
      <c r="AB85" s="286"/>
      <c r="AC85" s="287"/>
      <c r="AD85" s="26"/>
      <c r="AE85" s="285"/>
      <c r="AF85" s="286"/>
      <c r="AG85" s="287"/>
      <c r="AH85" s="26"/>
    </row>
    <row r="86" spans="1:34" s="9" customFormat="1" x14ac:dyDescent="0.2">
      <c r="A86" s="128" t="s">
        <v>168</v>
      </c>
      <c r="B86" s="205"/>
      <c r="C86" s="205"/>
      <c r="D86" s="205"/>
      <c r="E86" s="205"/>
      <c r="F86" s="205"/>
      <c r="G86" s="205"/>
      <c r="H86" s="205"/>
      <c r="I86" s="205"/>
      <c r="J86" s="205"/>
      <c r="K86" s="205"/>
      <c r="L86" s="205"/>
      <c r="M86" s="205"/>
      <c r="N86" s="205"/>
      <c r="O86" s="292" t="e">
        <f>O50+O80</f>
        <v>#N/A</v>
      </c>
      <c r="P86" s="35"/>
      <c r="R86" s="202"/>
      <c r="S86" s="65"/>
      <c r="T86" s="65"/>
      <c r="U86" s="65"/>
      <c r="V86" s="65"/>
      <c r="W86" s="65"/>
      <c r="X86" s="65"/>
      <c r="Y86" s="65"/>
      <c r="Z86" s="65"/>
      <c r="AA86" s="65"/>
      <c r="AB86" s="213">
        <f>AB50+AB80</f>
        <v>0</v>
      </c>
      <c r="AC86" s="203"/>
      <c r="AD86" s="26"/>
      <c r="AE86" s="202"/>
      <c r="AF86" s="213" t="e">
        <f>O86-AB86</f>
        <v>#N/A</v>
      </c>
      <c r="AG86" s="203"/>
      <c r="AH86" s="26"/>
    </row>
    <row r="87" spans="1:34" s="9" customFormat="1" ht="6" customHeight="1" x14ac:dyDescent="0.2">
      <c r="A87" s="217"/>
      <c r="B87" s="32"/>
      <c r="C87" s="32"/>
      <c r="D87" s="32"/>
      <c r="E87" s="32"/>
      <c r="F87" s="32"/>
      <c r="G87" s="32"/>
      <c r="H87" s="32"/>
      <c r="I87" s="32"/>
      <c r="J87" s="32"/>
      <c r="K87" s="32"/>
      <c r="L87" s="32"/>
      <c r="M87" s="32"/>
      <c r="N87" s="32"/>
      <c r="O87" s="32"/>
      <c r="P87" s="36"/>
      <c r="R87" s="217"/>
      <c r="S87" s="218"/>
      <c r="T87" s="218"/>
      <c r="U87" s="218"/>
      <c r="V87" s="218"/>
      <c r="W87" s="218"/>
      <c r="X87" s="218"/>
      <c r="Y87" s="218"/>
      <c r="Z87" s="218"/>
      <c r="AA87" s="218"/>
      <c r="AB87" s="218"/>
      <c r="AC87" s="219"/>
      <c r="AD87" s="26"/>
      <c r="AE87" s="217"/>
      <c r="AF87" s="218"/>
      <c r="AG87" s="219"/>
      <c r="AH87" s="26"/>
    </row>
    <row r="88" spans="1:34" x14ac:dyDescent="0.2">
      <c r="AD88" s="9"/>
    </row>
    <row r="89" spans="1:34" x14ac:dyDescent="0.2">
      <c r="AD89" s="9"/>
    </row>
    <row r="90" spans="1:34" x14ac:dyDescent="0.2">
      <c r="A90" s="183" t="s">
        <v>169</v>
      </c>
      <c r="B90" s="183"/>
      <c r="C90" s="183"/>
      <c r="D90" s="183"/>
      <c r="E90" s="183"/>
      <c r="F90" s="183"/>
      <c r="G90" s="183"/>
      <c r="H90" s="183"/>
      <c r="I90" s="183"/>
      <c r="J90" s="183"/>
      <c r="K90" s="183"/>
      <c r="L90" s="183"/>
      <c r="M90" s="183"/>
      <c r="N90" s="183"/>
      <c r="O90" s="183"/>
      <c r="P90" s="183"/>
      <c r="Q90" s="183"/>
      <c r="R90" s="183"/>
      <c r="S90" s="183"/>
      <c r="T90" s="183"/>
      <c r="U90" s="183"/>
      <c r="V90" s="183"/>
      <c r="W90" s="183"/>
      <c r="X90" s="183"/>
      <c r="Y90" s="183"/>
      <c r="Z90" s="183"/>
      <c r="AA90" s="183"/>
      <c r="AB90" s="183"/>
      <c r="AC90" s="183"/>
      <c r="AD90" s="183"/>
      <c r="AE90" s="183"/>
      <c r="AF90" s="183"/>
      <c r="AG90" s="183"/>
    </row>
    <row r="91" spans="1:34" x14ac:dyDescent="0.2">
      <c r="A91" s="609"/>
      <c r="B91" s="610"/>
      <c r="C91" s="610"/>
      <c r="D91" s="610"/>
      <c r="E91" s="610"/>
      <c r="F91" s="610"/>
      <c r="G91" s="610"/>
      <c r="H91" s="610"/>
      <c r="I91" s="610"/>
      <c r="J91" s="610"/>
      <c r="K91" s="610"/>
      <c r="L91" s="610"/>
      <c r="M91" s="610"/>
      <c r="N91" s="610"/>
      <c r="O91" s="610"/>
      <c r="P91" s="610"/>
      <c r="Q91" s="610"/>
      <c r="R91" s="610"/>
      <c r="S91" s="610"/>
      <c r="T91" s="610"/>
      <c r="U91" s="610"/>
      <c r="V91" s="610"/>
      <c r="W91" s="610"/>
      <c r="X91" s="610"/>
      <c r="Y91" s="610"/>
      <c r="Z91" s="610"/>
      <c r="AA91" s="610"/>
      <c r="AB91" s="610"/>
      <c r="AC91" s="610"/>
      <c r="AD91" s="610"/>
      <c r="AE91" s="610"/>
      <c r="AF91" s="610"/>
      <c r="AG91" s="611"/>
    </row>
    <row r="92" spans="1:34" x14ac:dyDescent="0.2">
      <c r="A92" s="612"/>
      <c r="B92" s="613"/>
      <c r="C92" s="613"/>
      <c r="D92" s="613"/>
      <c r="E92" s="613"/>
      <c r="F92" s="613"/>
      <c r="G92" s="613"/>
      <c r="H92" s="613"/>
      <c r="I92" s="613"/>
      <c r="J92" s="613"/>
      <c r="K92" s="613"/>
      <c r="L92" s="613"/>
      <c r="M92" s="613"/>
      <c r="N92" s="613"/>
      <c r="O92" s="613"/>
      <c r="P92" s="613"/>
      <c r="Q92" s="613"/>
      <c r="R92" s="613"/>
      <c r="S92" s="613"/>
      <c r="T92" s="613"/>
      <c r="U92" s="613"/>
      <c r="V92" s="613"/>
      <c r="W92" s="613"/>
      <c r="X92" s="613"/>
      <c r="Y92" s="613"/>
      <c r="Z92" s="613"/>
      <c r="AA92" s="613"/>
      <c r="AB92" s="613"/>
      <c r="AC92" s="613"/>
      <c r="AD92" s="613"/>
      <c r="AE92" s="613"/>
      <c r="AF92" s="613"/>
      <c r="AG92" s="614"/>
    </row>
    <row r="93" spans="1:34" x14ac:dyDescent="0.2">
      <c r="A93" s="612"/>
      <c r="B93" s="613"/>
      <c r="C93" s="613"/>
      <c r="D93" s="613"/>
      <c r="E93" s="613"/>
      <c r="F93" s="613"/>
      <c r="G93" s="613"/>
      <c r="H93" s="613"/>
      <c r="I93" s="613"/>
      <c r="J93" s="613"/>
      <c r="K93" s="613"/>
      <c r="L93" s="613"/>
      <c r="M93" s="613"/>
      <c r="N93" s="613"/>
      <c r="O93" s="613"/>
      <c r="P93" s="613"/>
      <c r="Q93" s="613"/>
      <c r="R93" s="613"/>
      <c r="S93" s="613"/>
      <c r="T93" s="613"/>
      <c r="U93" s="613"/>
      <c r="V93" s="613"/>
      <c r="W93" s="613"/>
      <c r="X93" s="613"/>
      <c r="Y93" s="613"/>
      <c r="Z93" s="613"/>
      <c r="AA93" s="613"/>
      <c r="AB93" s="613"/>
      <c r="AC93" s="613"/>
      <c r="AD93" s="613"/>
      <c r="AE93" s="613"/>
      <c r="AF93" s="613"/>
      <c r="AG93" s="614"/>
    </row>
    <row r="94" spans="1:34" x14ac:dyDescent="0.2">
      <c r="A94" s="612"/>
      <c r="B94" s="613"/>
      <c r="C94" s="613"/>
      <c r="D94" s="613"/>
      <c r="E94" s="613"/>
      <c r="F94" s="613"/>
      <c r="G94" s="613"/>
      <c r="H94" s="613"/>
      <c r="I94" s="613"/>
      <c r="J94" s="613"/>
      <c r="K94" s="613"/>
      <c r="L94" s="613"/>
      <c r="M94" s="613"/>
      <c r="N94" s="613"/>
      <c r="O94" s="613"/>
      <c r="P94" s="613"/>
      <c r="Q94" s="613"/>
      <c r="R94" s="613"/>
      <c r="S94" s="613"/>
      <c r="T94" s="613"/>
      <c r="U94" s="613"/>
      <c r="V94" s="613"/>
      <c r="W94" s="613"/>
      <c r="X94" s="613"/>
      <c r="Y94" s="613"/>
      <c r="Z94" s="613"/>
      <c r="AA94" s="613"/>
      <c r="AB94" s="613"/>
      <c r="AC94" s="613"/>
      <c r="AD94" s="613"/>
      <c r="AE94" s="613"/>
      <c r="AF94" s="613"/>
      <c r="AG94" s="614"/>
    </row>
    <row r="95" spans="1:34" x14ac:dyDescent="0.2">
      <c r="A95" s="612"/>
      <c r="B95" s="613"/>
      <c r="C95" s="613"/>
      <c r="D95" s="613"/>
      <c r="E95" s="613"/>
      <c r="F95" s="613"/>
      <c r="G95" s="613"/>
      <c r="H95" s="613"/>
      <c r="I95" s="613"/>
      <c r="J95" s="613"/>
      <c r="K95" s="613"/>
      <c r="L95" s="613"/>
      <c r="M95" s="613"/>
      <c r="N95" s="613"/>
      <c r="O95" s="613"/>
      <c r="P95" s="613"/>
      <c r="Q95" s="613"/>
      <c r="R95" s="613"/>
      <c r="S95" s="613"/>
      <c r="T95" s="613"/>
      <c r="U95" s="613"/>
      <c r="V95" s="613"/>
      <c r="W95" s="613"/>
      <c r="X95" s="613"/>
      <c r="Y95" s="613"/>
      <c r="Z95" s="613"/>
      <c r="AA95" s="613"/>
      <c r="AB95" s="613"/>
      <c r="AC95" s="613"/>
      <c r="AD95" s="613"/>
      <c r="AE95" s="613"/>
      <c r="AF95" s="613"/>
      <c r="AG95" s="614"/>
    </row>
    <row r="96" spans="1:34" x14ac:dyDescent="0.2">
      <c r="A96" s="612"/>
      <c r="B96" s="613"/>
      <c r="C96" s="613"/>
      <c r="D96" s="613"/>
      <c r="E96" s="613"/>
      <c r="F96" s="613"/>
      <c r="G96" s="613"/>
      <c r="H96" s="613"/>
      <c r="I96" s="613"/>
      <c r="J96" s="613"/>
      <c r="K96" s="613"/>
      <c r="L96" s="613"/>
      <c r="M96" s="613"/>
      <c r="N96" s="613"/>
      <c r="O96" s="613"/>
      <c r="P96" s="613"/>
      <c r="Q96" s="613"/>
      <c r="R96" s="613"/>
      <c r="S96" s="613"/>
      <c r="T96" s="613"/>
      <c r="U96" s="613"/>
      <c r="V96" s="613"/>
      <c r="W96" s="613"/>
      <c r="X96" s="613"/>
      <c r="Y96" s="613"/>
      <c r="Z96" s="613"/>
      <c r="AA96" s="613"/>
      <c r="AB96" s="613"/>
      <c r="AC96" s="613"/>
      <c r="AD96" s="613"/>
      <c r="AE96" s="613"/>
      <c r="AF96" s="613"/>
      <c r="AG96" s="614"/>
    </row>
    <row r="97" spans="1:33" x14ac:dyDescent="0.2">
      <c r="A97" s="612"/>
      <c r="B97" s="613"/>
      <c r="C97" s="613"/>
      <c r="D97" s="613"/>
      <c r="E97" s="613"/>
      <c r="F97" s="613"/>
      <c r="G97" s="613"/>
      <c r="H97" s="613"/>
      <c r="I97" s="613"/>
      <c r="J97" s="613"/>
      <c r="K97" s="613"/>
      <c r="L97" s="613"/>
      <c r="M97" s="613"/>
      <c r="N97" s="613"/>
      <c r="O97" s="613"/>
      <c r="P97" s="613"/>
      <c r="Q97" s="613"/>
      <c r="R97" s="613"/>
      <c r="S97" s="613"/>
      <c r="T97" s="613"/>
      <c r="U97" s="613"/>
      <c r="V97" s="613"/>
      <c r="W97" s="613"/>
      <c r="X97" s="613"/>
      <c r="Y97" s="613"/>
      <c r="Z97" s="613"/>
      <c r="AA97" s="613"/>
      <c r="AB97" s="613"/>
      <c r="AC97" s="613"/>
      <c r="AD97" s="613"/>
      <c r="AE97" s="613"/>
      <c r="AF97" s="613"/>
      <c r="AG97" s="614"/>
    </row>
    <row r="98" spans="1:33" x14ac:dyDescent="0.2">
      <c r="A98" s="612"/>
      <c r="B98" s="613"/>
      <c r="C98" s="613"/>
      <c r="D98" s="613"/>
      <c r="E98" s="613"/>
      <c r="F98" s="613"/>
      <c r="G98" s="613"/>
      <c r="H98" s="613"/>
      <c r="I98" s="613"/>
      <c r="J98" s="613"/>
      <c r="K98" s="613"/>
      <c r="L98" s="613"/>
      <c r="M98" s="613"/>
      <c r="N98" s="613"/>
      <c r="O98" s="613"/>
      <c r="P98" s="613"/>
      <c r="Q98" s="613"/>
      <c r="R98" s="613"/>
      <c r="S98" s="613"/>
      <c r="T98" s="613"/>
      <c r="U98" s="613"/>
      <c r="V98" s="613"/>
      <c r="W98" s="613"/>
      <c r="X98" s="613"/>
      <c r="Y98" s="613"/>
      <c r="Z98" s="613"/>
      <c r="AA98" s="613"/>
      <c r="AB98" s="613"/>
      <c r="AC98" s="613"/>
      <c r="AD98" s="613"/>
      <c r="AE98" s="613"/>
      <c r="AF98" s="613"/>
      <c r="AG98" s="614"/>
    </row>
    <row r="99" spans="1:33" x14ac:dyDescent="0.2">
      <c r="A99" s="612"/>
      <c r="B99" s="613"/>
      <c r="C99" s="613"/>
      <c r="D99" s="613"/>
      <c r="E99" s="613"/>
      <c r="F99" s="613"/>
      <c r="G99" s="613"/>
      <c r="H99" s="613"/>
      <c r="I99" s="613"/>
      <c r="J99" s="613"/>
      <c r="K99" s="613"/>
      <c r="L99" s="613"/>
      <c r="M99" s="613"/>
      <c r="N99" s="613"/>
      <c r="O99" s="613"/>
      <c r="P99" s="613"/>
      <c r="Q99" s="613"/>
      <c r="R99" s="613"/>
      <c r="S99" s="613"/>
      <c r="T99" s="613"/>
      <c r="U99" s="613"/>
      <c r="V99" s="613"/>
      <c r="W99" s="613"/>
      <c r="X99" s="613"/>
      <c r="Y99" s="613"/>
      <c r="Z99" s="613"/>
      <c r="AA99" s="613"/>
      <c r="AB99" s="613"/>
      <c r="AC99" s="613"/>
      <c r="AD99" s="613"/>
      <c r="AE99" s="613"/>
      <c r="AF99" s="613"/>
      <c r="AG99" s="614"/>
    </row>
    <row r="100" spans="1:33" x14ac:dyDescent="0.2">
      <c r="A100" s="612"/>
      <c r="B100" s="613"/>
      <c r="C100" s="613"/>
      <c r="D100" s="613"/>
      <c r="E100" s="613"/>
      <c r="F100" s="613"/>
      <c r="G100" s="613"/>
      <c r="H100" s="613"/>
      <c r="I100" s="613"/>
      <c r="J100" s="613"/>
      <c r="K100" s="613"/>
      <c r="L100" s="613"/>
      <c r="M100" s="613"/>
      <c r="N100" s="613"/>
      <c r="O100" s="613"/>
      <c r="P100" s="613"/>
      <c r="Q100" s="613"/>
      <c r="R100" s="613"/>
      <c r="S100" s="613"/>
      <c r="T100" s="613"/>
      <c r="U100" s="613"/>
      <c r="V100" s="613"/>
      <c r="W100" s="613"/>
      <c r="X100" s="613"/>
      <c r="Y100" s="613"/>
      <c r="Z100" s="613"/>
      <c r="AA100" s="613"/>
      <c r="AB100" s="613"/>
      <c r="AC100" s="613"/>
      <c r="AD100" s="613"/>
      <c r="AE100" s="613"/>
      <c r="AF100" s="613"/>
      <c r="AG100" s="614"/>
    </row>
    <row r="101" spans="1:33" x14ac:dyDescent="0.2">
      <c r="A101" s="615"/>
      <c r="B101" s="616"/>
      <c r="C101" s="616"/>
      <c r="D101" s="616"/>
      <c r="E101" s="616"/>
      <c r="F101" s="616"/>
      <c r="G101" s="616"/>
      <c r="H101" s="616"/>
      <c r="I101" s="616"/>
      <c r="J101" s="616"/>
      <c r="K101" s="616"/>
      <c r="L101" s="616"/>
      <c r="M101" s="616"/>
      <c r="N101" s="616"/>
      <c r="O101" s="616"/>
      <c r="P101" s="616"/>
      <c r="Q101" s="616"/>
      <c r="R101" s="616"/>
      <c r="S101" s="616"/>
      <c r="T101" s="616"/>
      <c r="U101" s="616"/>
      <c r="V101" s="616"/>
      <c r="W101" s="616"/>
      <c r="X101" s="616"/>
      <c r="Y101" s="616"/>
      <c r="Z101" s="616"/>
      <c r="AA101" s="616"/>
      <c r="AB101" s="616"/>
      <c r="AC101" s="616"/>
      <c r="AD101" s="616"/>
      <c r="AE101" s="616"/>
      <c r="AF101" s="616"/>
      <c r="AG101" s="617"/>
    </row>
  </sheetData>
  <sheetProtection password="C6E4" sheet="1" objects="1" scenarios="1"/>
  <mergeCells count="30">
    <mergeCell ref="U12:W12"/>
    <mergeCell ref="X12:Z12"/>
    <mergeCell ref="AA12:AC12"/>
    <mergeCell ref="AE12:AG12"/>
    <mergeCell ref="AE10:AG10"/>
    <mergeCell ref="A91:AG101"/>
    <mergeCell ref="M39:N39"/>
    <mergeCell ref="E12:G12"/>
    <mergeCell ref="H12:J12"/>
    <mergeCell ref="K12:M12"/>
    <mergeCell ref="N12:P12"/>
    <mergeCell ref="R12:T12"/>
    <mergeCell ref="E55:G55"/>
    <mergeCell ref="H55:J55"/>
    <mergeCell ref="U16:W16"/>
    <mergeCell ref="X16:Z16"/>
    <mergeCell ref="K55:M55"/>
    <mergeCell ref="N55:P55"/>
    <mergeCell ref="R55:T55"/>
    <mergeCell ref="U55:W55"/>
    <mergeCell ref="AA16:AC16"/>
    <mergeCell ref="AE16:AG16"/>
    <mergeCell ref="X55:Z55"/>
    <mergeCell ref="AA55:AC55"/>
    <mergeCell ref="AE55:AG55"/>
    <mergeCell ref="E16:G16"/>
    <mergeCell ref="H16:J16"/>
    <mergeCell ref="K16:M16"/>
    <mergeCell ref="N16:P16"/>
    <mergeCell ref="R16:T16"/>
  </mergeCells>
  <phoneticPr fontId="10" type="noConversion"/>
  <conditionalFormatting sqref="AF86 AF24 AF68 AF72:AF74 AF76 AF80 AF50 AF33 AF36 AF39 AF43:AF46 AF63:AF66">
    <cfRule type="cellIs" dxfId="1" priority="1" stopIfTrue="1" operator="greaterThan">
      <formula>0</formula>
    </cfRule>
    <cfRule type="cellIs" dxfId="0" priority="2" stopIfTrue="1" operator="lessThan">
      <formula>0</formula>
    </cfRule>
  </conditionalFormatting>
  <pageMargins left="0.19685039370078741" right="0.19685039370078741" top="0.19685039370078741" bottom="0.39370078740157483" header="0.51181102362204722" footer="0.19685039370078741"/>
  <pageSetup paperSize="9" scale="93" fitToHeight="0" orientation="landscape" r:id="rId1"/>
  <headerFooter alignWithMargins="0"/>
  <rowBreaks count="1" manualBreakCount="1">
    <brk id="51" max="16383"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X84"/>
  <sheetViews>
    <sheetView zoomScaleNormal="100" workbookViewId="0">
      <selection activeCell="A2" sqref="A2"/>
    </sheetView>
  </sheetViews>
  <sheetFormatPr baseColWidth="10" defaultRowHeight="12.75" x14ac:dyDescent="0.2"/>
  <cols>
    <col min="4" max="4" width="14.7109375" customWidth="1"/>
    <col min="10" max="10" width="14.28515625" customWidth="1"/>
    <col min="13" max="13" width="11.5703125" bestFit="1" customWidth="1"/>
  </cols>
  <sheetData>
    <row r="1" spans="1:18" ht="19.5" x14ac:dyDescent="0.3">
      <c r="A1" s="1" t="s">
        <v>2</v>
      </c>
    </row>
    <row r="2" spans="1:18" ht="13.5" thickBot="1" x14ac:dyDescent="0.25"/>
    <row r="3" spans="1:18" x14ac:dyDescent="0.2">
      <c r="A3" s="62" t="s">
        <v>31</v>
      </c>
      <c r="B3" s="332"/>
      <c r="C3" s="332"/>
      <c r="D3" s="333"/>
      <c r="F3" s="398" t="s">
        <v>9</v>
      </c>
      <c r="H3" s="62" t="s">
        <v>233</v>
      </c>
      <c r="I3" s="333"/>
    </row>
    <row r="4" spans="1:18" x14ac:dyDescent="0.2">
      <c r="A4" s="10" t="s">
        <v>128</v>
      </c>
      <c r="B4" s="9"/>
      <c r="C4" s="9"/>
      <c r="D4" s="11"/>
      <c r="F4" s="399" t="s">
        <v>128</v>
      </c>
      <c r="H4" s="10" t="s">
        <v>128</v>
      </c>
      <c r="I4" s="11">
        <v>1</v>
      </c>
    </row>
    <row r="5" spans="1:18" x14ac:dyDescent="0.2">
      <c r="A5" s="469">
        <v>2020</v>
      </c>
      <c r="B5" s="478"/>
      <c r="C5" s="9"/>
      <c r="D5" s="11"/>
      <c r="F5" s="399" t="s">
        <v>20</v>
      </c>
      <c r="H5" s="10" t="s">
        <v>231</v>
      </c>
      <c r="I5" s="11">
        <v>2</v>
      </c>
    </row>
    <row r="6" spans="1:18" ht="13.5" thickBot="1" x14ac:dyDescent="0.25">
      <c r="A6" s="367">
        <v>2021</v>
      </c>
      <c r="B6" s="478"/>
      <c r="C6" s="9"/>
      <c r="D6" s="11"/>
      <c r="F6" s="399" t="s">
        <v>22</v>
      </c>
      <c r="H6" s="12" t="s">
        <v>232</v>
      </c>
      <c r="I6" s="13">
        <v>3</v>
      </c>
    </row>
    <row r="7" spans="1:18" ht="13.5" thickBot="1" x14ac:dyDescent="0.25">
      <c r="A7" s="367">
        <v>2022</v>
      </c>
      <c r="B7" s="478"/>
      <c r="C7" s="9"/>
      <c r="D7" s="11"/>
      <c r="F7" s="400" t="s">
        <v>21</v>
      </c>
    </row>
    <row r="8" spans="1:18" x14ac:dyDescent="0.2">
      <c r="A8" s="367">
        <v>2023</v>
      </c>
      <c r="B8" s="478"/>
      <c r="C8" s="9"/>
      <c r="D8" s="11"/>
    </row>
    <row r="9" spans="1:18" x14ac:dyDescent="0.2">
      <c r="A9" s="367">
        <v>2024</v>
      </c>
      <c r="B9" s="457"/>
      <c r="C9" s="9"/>
      <c r="D9" s="11"/>
    </row>
    <row r="10" spans="1:18" x14ac:dyDescent="0.2">
      <c r="A10" s="447">
        <v>2025</v>
      </c>
      <c r="B10" s="457" t="s">
        <v>309</v>
      </c>
      <c r="C10" s="9"/>
      <c r="D10" s="11"/>
    </row>
    <row r="11" spans="1:18" x14ac:dyDescent="0.2">
      <c r="A11" s="447">
        <v>2026</v>
      </c>
      <c r="B11" s="457" t="s">
        <v>309</v>
      </c>
      <c r="C11" s="9"/>
      <c r="D11" s="11"/>
    </row>
    <row r="12" spans="1:18" x14ac:dyDescent="0.2">
      <c r="A12" s="10"/>
      <c r="B12" s="9"/>
      <c r="C12" s="9"/>
      <c r="D12" s="11"/>
    </row>
    <row r="13" spans="1:18" ht="13.5" thickBot="1" x14ac:dyDescent="0.25">
      <c r="A13" s="549"/>
      <c r="B13" s="27"/>
      <c r="C13" s="27"/>
      <c r="D13" s="13"/>
      <c r="E13" s="552" t="s">
        <v>310</v>
      </c>
    </row>
    <row r="15" spans="1:18" ht="13.5" thickBot="1" x14ac:dyDescent="0.25"/>
    <row r="16" spans="1:18" x14ac:dyDescent="0.2">
      <c r="A16" s="62" t="s">
        <v>250</v>
      </c>
      <c r="B16" s="64"/>
      <c r="C16" s="64"/>
      <c r="D16" s="63"/>
      <c r="F16" s="62" t="s">
        <v>14</v>
      </c>
      <c r="G16" s="171"/>
      <c r="H16" s="171"/>
      <c r="I16" s="172"/>
      <c r="K16" s="62" t="s">
        <v>150</v>
      </c>
      <c r="L16" s="74"/>
      <c r="N16" s="62" t="s">
        <v>48</v>
      </c>
      <c r="O16" s="74"/>
      <c r="Q16" s="62" t="s">
        <v>197</v>
      </c>
      <c r="R16" s="74"/>
    </row>
    <row r="17" spans="1:18" x14ac:dyDescent="0.2">
      <c r="A17" s="69" t="s">
        <v>31</v>
      </c>
      <c r="B17" s="70" t="s">
        <v>25</v>
      </c>
      <c r="C17" s="70" t="s">
        <v>26</v>
      </c>
      <c r="D17" s="71" t="s">
        <v>27</v>
      </c>
      <c r="F17" s="69" t="s">
        <v>31</v>
      </c>
      <c r="G17" s="173">
        <v>1</v>
      </c>
      <c r="H17" s="65" t="s">
        <v>47</v>
      </c>
      <c r="I17" s="66"/>
      <c r="K17" s="319"/>
      <c r="L17" s="66"/>
      <c r="N17" s="319" t="s">
        <v>31</v>
      </c>
      <c r="O17" s="66" t="s">
        <v>177</v>
      </c>
      <c r="Q17" s="319" t="s">
        <v>31</v>
      </c>
      <c r="R17" s="66" t="s">
        <v>177</v>
      </c>
    </row>
    <row r="18" spans="1:18" ht="13.5" thickBot="1" x14ac:dyDescent="0.25">
      <c r="A18" s="374">
        <v>2019</v>
      </c>
      <c r="B18" s="436">
        <v>80.81</v>
      </c>
      <c r="C18" s="436">
        <v>89.4</v>
      </c>
      <c r="D18" s="437">
        <v>109.25</v>
      </c>
      <c r="F18" s="374">
        <v>2019</v>
      </c>
      <c r="G18" s="438">
        <v>105326.65</v>
      </c>
      <c r="H18" s="439">
        <v>1.25</v>
      </c>
      <c r="I18" s="440">
        <v>131658.31</v>
      </c>
      <c r="K18" s="374">
        <v>2019</v>
      </c>
      <c r="L18" s="441">
        <v>3.0000000000000001E-3</v>
      </c>
      <c r="N18" s="374">
        <v>2019</v>
      </c>
      <c r="O18" s="442">
        <v>0.2</v>
      </c>
      <c r="Q18" s="374">
        <v>2019</v>
      </c>
      <c r="R18" s="376">
        <v>39.200000000000003</v>
      </c>
    </row>
    <row r="19" spans="1:18" x14ac:dyDescent="0.2">
      <c r="A19" s="10">
        <v>2020</v>
      </c>
      <c r="B19" s="342">
        <v>81.64</v>
      </c>
      <c r="C19" s="342">
        <v>88.65</v>
      </c>
      <c r="D19" s="343">
        <v>109.17</v>
      </c>
      <c r="F19" s="10">
        <v>2020</v>
      </c>
      <c r="G19" s="316">
        <v>105326.65</v>
      </c>
      <c r="H19" s="317">
        <v>1.35</v>
      </c>
      <c r="I19" s="318">
        <f t="shared" ref="I19:I24" si="0">ROUND(G19*H19,2)</f>
        <v>142190.98000000001</v>
      </c>
      <c r="K19" s="10">
        <v>2020</v>
      </c>
      <c r="L19" s="408">
        <v>0</v>
      </c>
      <c r="N19" s="10">
        <v>2020</v>
      </c>
      <c r="O19" s="366">
        <v>0.20100000000000001</v>
      </c>
      <c r="Q19" s="10">
        <v>2020</v>
      </c>
      <c r="R19" s="375">
        <v>39.200000000000003</v>
      </c>
    </row>
    <row r="20" spans="1:18" s="472" customFormat="1" x14ac:dyDescent="0.2">
      <c r="A20" s="469">
        <v>2021</v>
      </c>
      <c r="B20" s="470">
        <v>81.64</v>
      </c>
      <c r="C20" s="470">
        <v>88.65</v>
      </c>
      <c r="D20" s="471">
        <v>109.17</v>
      </c>
      <c r="F20" s="469">
        <v>2021</v>
      </c>
      <c r="G20" s="473">
        <v>105326.65</v>
      </c>
      <c r="H20" s="474">
        <v>1.35</v>
      </c>
      <c r="I20" s="318">
        <f t="shared" si="0"/>
        <v>142190.98000000001</v>
      </c>
      <c r="K20" s="469">
        <v>2021</v>
      </c>
      <c r="L20" s="475">
        <v>0</v>
      </c>
      <c r="N20" s="469">
        <v>2021</v>
      </c>
      <c r="O20" s="476">
        <v>0.19900000000000001</v>
      </c>
      <c r="Q20" s="469">
        <v>2021</v>
      </c>
      <c r="R20" s="477">
        <v>39.200000000000003</v>
      </c>
    </row>
    <row r="21" spans="1:18" x14ac:dyDescent="0.2">
      <c r="A21" s="469">
        <v>2022</v>
      </c>
      <c r="B21" s="470">
        <v>81.97</v>
      </c>
      <c r="C21" s="470">
        <v>89</v>
      </c>
      <c r="D21" s="471">
        <v>109.61</v>
      </c>
      <c r="F21" s="469">
        <v>2022</v>
      </c>
      <c r="G21" s="473">
        <v>105747.85</v>
      </c>
      <c r="H21" s="474">
        <v>1.35</v>
      </c>
      <c r="I21" s="318">
        <f t="shared" si="0"/>
        <v>142759.6</v>
      </c>
      <c r="K21" s="469">
        <v>2022</v>
      </c>
      <c r="L21" s="475">
        <v>4.0000000000000001E-3</v>
      </c>
      <c r="N21" s="469">
        <v>2022</v>
      </c>
      <c r="O21" s="476">
        <v>0.19900000000000001</v>
      </c>
      <c r="Q21" s="469">
        <v>2022</v>
      </c>
      <c r="R21" s="477">
        <v>39.200000000000003</v>
      </c>
    </row>
    <row r="22" spans="1:18" x14ac:dyDescent="0.2">
      <c r="A22" s="469">
        <v>2023</v>
      </c>
      <c r="B22" s="470">
        <v>83.58</v>
      </c>
      <c r="C22" s="470">
        <v>90.19</v>
      </c>
      <c r="D22" s="471">
        <v>110.84</v>
      </c>
      <c r="F22" s="469">
        <v>2023</v>
      </c>
      <c r="G22" s="473">
        <v>107334.5</v>
      </c>
      <c r="H22" s="474">
        <v>1.35</v>
      </c>
      <c r="I22" s="318">
        <f t="shared" si="0"/>
        <v>144901.57999999999</v>
      </c>
      <c r="K22" s="469">
        <v>2023</v>
      </c>
      <c r="L22" s="475">
        <v>1.4999999999999999E-2</v>
      </c>
      <c r="N22" s="469">
        <v>2023</v>
      </c>
      <c r="O22" s="476">
        <v>0.19800000000000001</v>
      </c>
      <c r="Q22" s="469">
        <v>2023</v>
      </c>
      <c r="R22" s="477">
        <f t="shared" ref="R22:R26" si="1">R21</f>
        <v>39.200000000000003</v>
      </c>
    </row>
    <row r="23" spans="1:18" x14ac:dyDescent="0.2">
      <c r="A23" s="469">
        <v>2024</v>
      </c>
      <c r="B23" s="470">
        <v>92.66</v>
      </c>
      <c r="C23" s="470">
        <v>91.56</v>
      </c>
      <c r="D23" s="471">
        <v>113.5</v>
      </c>
      <c r="F23" s="469">
        <v>2024</v>
      </c>
      <c r="G23" s="473">
        <v>108944.55</v>
      </c>
      <c r="H23" s="474">
        <v>1.35</v>
      </c>
      <c r="I23" s="318">
        <f t="shared" si="0"/>
        <v>147075.14000000001</v>
      </c>
      <c r="K23" s="469">
        <v>2024</v>
      </c>
      <c r="L23" s="475">
        <v>1.4999999999999999E-2</v>
      </c>
      <c r="N23" s="469">
        <v>2024</v>
      </c>
      <c r="O23" s="476">
        <v>0.19600000000000001</v>
      </c>
      <c r="Q23" s="469">
        <v>2024</v>
      </c>
      <c r="R23" s="477">
        <f t="shared" si="1"/>
        <v>39.200000000000003</v>
      </c>
    </row>
    <row r="24" spans="1:18" x14ac:dyDescent="0.2">
      <c r="A24" s="447">
        <v>2025</v>
      </c>
      <c r="B24" s="448">
        <f t="shared" ref="B24" si="2">B23*(1+L24)</f>
        <v>93.123299999999986</v>
      </c>
      <c r="C24" s="448">
        <f t="shared" ref="C24" si="3">C23*(1+L24)</f>
        <v>92.017799999999994</v>
      </c>
      <c r="D24" s="449">
        <f t="shared" ref="D24" si="4">D23*(1+L24)</f>
        <v>114.06749999999998</v>
      </c>
      <c r="F24" s="447">
        <v>2025</v>
      </c>
      <c r="G24" s="450">
        <f>ROUND(G23*(1+L24)*2,1)/2</f>
        <v>109489.25</v>
      </c>
      <c r="H24" s="451">
        <v>1.35</v>
      </c>
      <c r="I24" s="452">
        <f t="shared" si="0"/>
        <v>147810.49</v>
      </c>
      <c r="K24" s="447">
        <v>2025</v>
      </c>
      <c r="L24" s="453">
        <f>Berechnungshilfe!J30</f>
        <v>5.0000000000000001E-3</v>
      </c>
      <c r="N24" s="447">
        <v>2025</v>
      </c>
      <c r="O24" s="455">
        <f>O23</f>
        <v>0.19600000000000001</v>
      </c>
      <c r="Q24" s="447">
        <v>2025</v>
      </c>
      <c r="R24" s="456">
        <f t="shared" si="1"/>
        <v>39.200000000000003</v>
      </c>
    </row>
    <row r="25" spans="1:18" x14ac:dyDescent="0.2">
      <c r="A25" s="447">
        <v>2026</v>
      </c>
      <c r="B25" s="448">
        <f t="shared" ref="B25" si="5">B24*(1+L25)</f>
        <v>93.588916499999982</v>
      </c>
      <c r="C25" s="448">
        <f t="shared" ref="C25" si="6">C24*(1+L25)</f>
        <v>92.47788899999999</v>
      </c>
      <c r="D25" s="449">
        <f t="shared" ref="D25" si="7">D24*(1+L25)</f>
        <v>114.63783749999997</v>
      </c>
      <c r="F25" s="447">
        <v>2026</v>
      </c>
      <c r="G25" s="450">
        <f>ROUND(G24*(1+L25)*2,1)/2</f>
        <v>110036.7</v>
      </c>
      <c r="H25" s="451">
        <v>1.35</v>
      </c>
      <c r="I25" s="452">
        <f t="shared" ref="I25" si="8">ROUND(G25*H25,2)</f>
        <v>148549.54999999999</v>
      </c>
      <c r="K25" s="447">
        <v>2026</v>
      </c>
      <c r="L25" s="453">
        <f>Berechnungshilfe!M30</f>
        <v>5.0000000000000001E-3</v>
      </c>
      <c r="N25" s="447">
        <v>2026</v>
      </c>
      <c r="O25" s="455">
        <f>O24</f>
        <v>0.19600000000000001</v>
      </c>
      <c r="Q25" s="447">
        <v>2026</v>
      </c>
      <c r="R25" s="456">
        <f t="shared" si="1"/>
        <v>39.200000000000003</v>
      </c>
    </row>
    <row r="26" spans="1:18" x14ac:dyDescent="0.2">
      <c r="A26" s="447">
        <v>2027</v>
      </c>
      <c r="B26" s="448">
        <f t="shared" ref="B26" si="9">B25*(1+L26)</f>
        <v>93.588916499999982</v>
      </c>
      <c r="C26" s="448">
        <f t="shared" ref="C26" si="10">C25*(1+L26)</f>
        <v>92.47788899999999</v>
      </c>
      <c r="D26" s="449">
        <f t="shared" ref="D26" si="11">D25*(1+L26)</f>
        <v>114.63783749999997</v>
      </c>
      <c r="F26" s="447">
        <v>2027</v>
      </c>
      <c r="G26" s="450">
        <f>ROUND(G25*(1+L26)*2,1)/2</f>
        <v>110036.7</v>
      </c>
      <c r="H26" s="451">
        <v>1.35</v>
      </c>
      <c r="I26" s="452">
        <f t="shared" ref="I26" si="12">ROUND(G26*H26,2)</f>
        <v>148549.54999999999</v>
      </c>
      <c r="K26" s="447">
        <v>2027</v>
      </c>
      <c r="L26" s="454"/>
      <c r="N26" s="447">
        <v>2027</v>
      </c>
      <c r="O26" s="455">
        <f>O25</f>
        <v>0.19600000000000001</v>
      </c>
      <c r="Q26" s="447">
        <v>2027</v>
      </c>
      <c r="R26" s="456">
        <f t="shared" si="1"/>
        <v>39.200000000000003</v>
      </c>
    </row>
    <row r="27" spans="1:18" x14ac:dyDescent="0.2">
      <c r="A27" s="365"/>
      <c r="B27" s="326"/>
      <c r="C27" s="326"/>
      <c r="D27" s="327"/>
      <c r="F27" s="365"/>
      <c r="G27" s="316"/>
      <c r="H27" s="317"/>
      <c r="I27" s="318"/>
      <c r="K27" s="365"/>
      <c r="L27" s="366"/>
      <c r="N27" s="365"/>
      <c r="O27" s="366"/>
      <c r="Q27" s="365"/>
      <c r="R27" s="375"/>
    </row>
    <row r="28" spans="1:18" x14ac:dyDescent="0.2">
      <c r="A28" s="365"/>
      <c r="B28" s="326"/>
      <c r="C28" s="326"/>
      <c r="D28" s="327"/>
      <c r="F28" s="365"/>
      <c r="G28" s="316"/>
      <c r="H28" s="317"/>
      <c r="I28" s="318"/>
      <c r="K28" s="365"/>
      <c r="L28" s="366"/>
      <c r="N28" s="365"/>
      <c r="O28" s="366"/>
      <c r="Q28" s="365"/>
      <c r="R28" s="375"/>
    </row>
    <row r="29" spans="1:18" ht="13.5" thickBot="1" x14ac:dyDescent="0.25">
      <c r="A29" s="360"/>
      <c r="B29" s="362"/>
      <c r="C29" s="362"/>
      <c r="D29" s="363"/>
      <c r="F29" s="360"/>
      <c r="G29" s="329"/>
      <c r="H29" s="330"/>
      <c r="I29" s="331"/>
      <c r="K29" s="360"/>
      <c r="L29" s="361"/>
      <c r="N29" s="360"/>
      <c r="O29" s="338"/>
      <c r="Q29" s="374"/>
      <c r="R29" s="376"/>
    </row>
    <row r="30" spans="1:18" x14ac:dyDescent="0.2">
      <c r="A30" s="553"/>
      <c r="B30" s="553"/>
      <c r="C30" s="553"/>
      <c r="D30" s="553"/>
      <c r="I30" s="328"/>
      <c r="J30" s="9"/>
      <c r="M30" s="9"/>
      <c r="P30" s="9"/>
    </row>
    <row r="31" spans="1:18" x14ac:dyDescent="0.2">
      <c r="A31" s="553"/>
      <c r="B31" s="553"/>
      <c r="C31" s="553"/>
      <c r="D31" s="553"/>
      <c r="E31" s="9"/>
      <c r="F31" s="184"/>
      <c r="G31" s="185"/>
      <c r="H31" s="184"/>
      <c r="I31" s="328"/>
      <c r="J31" s="9"/>
      <c r="K31" s="9"/>
      <c r="L31" s="324"/>
      <c r="M31" s="9"/>
      <c r="N31" s="9"/>
      <c r="O31" s="9"/>
      <c r="P31" s="9"/>
    </row>
    <row r="33" spans="1:20" ht="13.5" thickBot="1" x14ac:dyDescent="0.25">
      <c r="T33" s="46"/>
    </row>
    <row r="34" spans="1:20" x14ac:dyDescent="0.2">
      <c r="A34" s="62" t="s">
        <v>7</v>
      </c>
      <c r="B34" s="64"/>
      <c r="C34" s="64"/>
      <c r="D34" s="163"/>
      <c r="E34" s="163"/>
      <c r="F34" s="74"/>
      <c r="H34" s="62" t="s">
        <v>16</v>
      </c>
      <c r="I34" s="64"/>
      <c r="J34" s="64"/>
      <c r="K34" s="64"/>
      <c r="L34" s="356"/>
      <c r="M34" s="356"/>
      <c r="N34" s="357"/>
      <c r="P34" s="62" t="s">
        <v>32</v>
      </c>
      <c r="Q34" s="64"/>
      <c r="R34" s="64"/>
      <c r="S34" s="333"/>
      <c r="T34" s="325"/>
    </row>
    <row r="35" spans="1:20" x14ac:dyDescent="0.2">
      <c r="A35" s="67" t="s">
        <v>36</v>
      </c>
      <c r="B35" s="65"/>
      <c r="C35" s="65"/>
      <c r="D35" s="65"/>
      <c r="E35" s="67" t="s">
        <v>44</v>
      </c>
      <c r="F35" s="66"/>
      <c r="H35" s="69"/>
      <c r="I35" s="70"/>
      <c r="J35" s="70"/>
      <c r="K35" s="70"/>
      <c r="L35" s="355"/>
      <c r="M35" s="355"/>
      <c r="N35" s="358"/>
      <c r="P35" s="69"/>
      <c r="Q35" s="70" t="s">
        <v>20</v>
      </c>
      <c r="R35" s="70" t="s">
        <v>22</v>
      </c>
      <c r="S35" s="71" t="s">
        <v>21</v>
      </c>
      <c r="T35" s="407"/>
    </row>
    <row r="36" spans="1:20" x14ac:dyDescent="0.2">
      <c r="A36" s="162" t="s">
        <v>31</v>
      </c>
      <c r="B36" s="160" t="s">
        <v>25</v>
      </c>
      <c r="C36" s="160" t="s">
        <v>26</v>
      </c>
      <c r="D36" s="160" t="s">
        <v>27</v>
      </c>
      <c r="E36" s="319">
        <v>120</v>
      </c>
      <c r="F36" s="66">
        <v>180</v>
      </c>
      <c r="H36" s="69"/>
      <c r="I36" s="70" t="s">
        <v>25</v>
      </c>
      <c r="J36" s="70" t="s">
        <v>26</v>
      </c>
      <c r="K36" s="70" t="s">
        <v>27</v>
      </c>
      <c r="L36" s="355" t="s">
        <v>192</v>
      </c>
      <c r="M36" s="355" t="s">
        <v>133</v>
      </c>
      <c r="N36" s="358" t="s">
        <v>134</v>
      </c>
      <c r="P36" s="69" t="s">
        <v>187</v>
      </c>
      <c r="Q36" s="70">
        <v>2</v>
      </c>
      <c r="R36" s="70">
        <v>3</v>
      </c>
      <c r="S36" s="71">
        <v>4</v>
      </c>
      <c r="T36" s="46"/>
    </row>
    <row r="37" spans="1:20" ht="13.5" thickBot="1" x14ac:dyDescent="0.25">
      <c r="A37" s="12">
        <v>2019</v>
      </c>
      <c r="B37" s="401">
        <v>1.67</v>
      </c>
      <c r="C37" s="401">
        <v>1.72</v>
      </c>
      <c r="D37" s="554">
        <v>2.1</v>
      </c>
      <c r="E37" s="404">
        <v>0.4</v>
      </c>
      <c r="F37" s="403">
        <v>0.23</v>
      </c>
      <c r="H37" s="12">
        <v>2019</v>
      </c>
      <c r="I37" s="402">
        <v>4500</v>
      </c>
      <c r="J37" s="402">
        <v>6400</v>
      </c>
      <c r="K37" s="402">
        <v>8600</v>
      </c>
      <c r="L37" s="402" t="s">
        <v>193</v>
      </c>
      <c r="M37" s="443">
        <v>1.4999999999999999E-2</v>
      </c>
      <c r="N37" s="444">
        <v>0.03</v>
      </c>
      <c r="P37" s="12">
        <v>2019</v>
      </c>
      <c r="Q37" s="445">
        <v>0.28000000000000003</v>
      </c>
      <c r="R37" s="445">
        <v>0.15</v>
      </c>
      <c r="S37" s="446">
        <v>0.23</v>
      </c>
      <c r="T37" s="407"/>
    </row>
    <row r="38" spans="1:20" x14ac:dyDescent="0.2">
      <c r="A38" s="10">
        <v>2020</v>
      </c>
      <c r="B38" s="59">
        <v>1.67</v>
      </c>
      <c r="C38" s="59">
        <v>1.72</v>
      </c>
      <c r="D38" s="555">
        <v>2.1</v>
      </c>
      <c r="E38" s="367">
        <v>0.4</v>
      </c>
      <c r="F38" s="60">
        <v>0.23</v>
      </c>
      <c r="H38" s="10">
        <v>2020</v>
      </c>
      <c r="I38" s="61">
        <v>4500</v>
      </c>
      <c r="J38" s="61">
        <v>6700</v>
      </c>
      <c r="K38" s="61">
        <v>9000</v>
      </c>
      <c r="L38" s="61" t="s">
        <v>193</v>
      </c>
      <c r="M38" s="368">
        <v>1.4999999999999999E-2</v>
      </c>
      <c r="N38" s="369">
        <v>0.03</v>
      </c>
      <c r="P38" s="10">
        <v>2020</v>
      </c>
      <c r="Q38" s="336">
        <v>0.28000000000000003</v>
      </c>
      <c r="R38" s="336">
        <v>0.15</v>
      </c>
      <c r="S38" s="170">
        <v>0.23</v>
      </c>
      <c r="T38" s="46"/>
    </row>
    <row r="39" spans="1:20" s="472" customFormat="1" x14ac:dyDescent="0.2">
      <c r="A39" s="469">
        <v>2021</v>
      </c>
      <c r="B39" s="478">
        <v>1.67</v>
      </c>
      <c r="C39" s="478">
        <v>1.72</v>
      </c>
      <c r="D39" s="556">
        <v>2.1</v>
      </c>
      <c r="E39" s="469">
        <v>0.4</v>
      </c>
      <c r="F39" s="480">
        <v>0.23</v>
      </c>
      <c r="H39" s="469">
        <v>2021</v>
      </c>
      <c r="I39" s="479">
        <v>4500</v>
      </c>
      <c r="J39" s="479">
        <v>6700</v>
      </c>
      <c r="K39" s="479">
        <v>9000</v>
      </c>
      <c r="L39" s="479" t="s">
        <v>193</v>
      </c>
      <c r="M39" s="481">
        <v>1.4999999999999999E-2</v>
      </c>
      <c r="N39" s="482">
        <v>0.03</v>
      </c>
      <c r="P39" s="469">
        <v>2021</v>
      </c>
      <c r="Q39" s="483">
        <v>0.28000000000000003</v>
      </c>
      <c r="R39" s="483">
        <v>0.15</v>
      </c>
      <c r="S39" s="484">
        <v>0.23</v>
      </c>
      <c r="T39" s="479"/>
    </row>
    <row r="40" spans="1:20" x14ac:dyDescent="0.2">
      <c r="A40" s="469">
        <v>2022</v>
      </c>
      <c r="B40" s="478">
        <v>1.67</v>
      </c>
      <c r="C40" s="478">
        <v>1.72</v>
      </c>
      <c r="D40" s="556">
        <v>2.1</v>
      </c>
      <c r="E40" s="469">
        <v>0.4</v>
      </c>
      <c r="F40" s="480">
        <v>0.23</v>
      </c>
      <c r="H40" s="469">
        <v>2022</v>
      </c>
      <c r="I40" s="479">
        <v>4500</v>
      </c>
      <c r="J40" s="479">
        <v>6700</v>
      </c>
      <c r="K40" s="479">
        <v>9000</v>
      </c>
      <c r="L40" s="479" t="s">
        <v>193</v>
      </c>
      <c r="M40" s="481">
        <v>1.4999999999999999E-2</v>
      </c>
      <c r="N40" s="482">
        <v>0.03</v>
      </c>
      <c r="P40" s="469">
        <v>2022</v>
      </c>
      <c r="Q40" s="483">
        <v>0.28000000000000003</v>
      </c>
      <c r="R40" s="483">
        <v>0.15</v>
      </c>
      <c r="S40" s="484">
        <v>0.23</v>
      </c>
      <c r="T40" s="46"/>
    </row>
    <row r="41" spans="1:20" x14ac:dyDescent="0.2">
      <c r="A41" s="469">
        <v>2023</v>
      </c>
      <c r="B41" s="478">
        <v>1.67</v>
      </c>
      <c r="C41" s="478">
        <v>1.72</v>
      </c>
      <c r="D41" s="556">
        <v>2.1</v>
      </c>
      <c r="E41" s="469">
        <v>0.4</v>
      </c>
      <c r="F41" s="480">
        <v>0.23</v>
      </c>
      <c r="H41" s="469">
        <v>2023</v>
      </c>
      <c r="I41" s="479">
        <v>5000</v>
      </c>
      <c r="J41" s="479">
        <v>7300</v>
      </c>
      <c r="K41" s="479">
        <v>9900</v>
      </c>
      <c r="L41" s="479" t="s">
        <v>193</v>
      </c>
      <c r="M41" s="481">
        <v>1.4999999999999999E-2</v>
      </c>
      <c r="N41" s="482">
        <v>0.03</v>
      </c>
      <c r="P41" s="469">
        <v>2023</v>
      </c>
      <c r="Q41" s="483">
        <v>0.28000000000000003</v>
      </c>
      <c r="R41" s="483">
        <v>0.15</v>
      </c>
      <c r="S41" s="484">
        <v>0.23</v>
      </c>
      <c r="T41" s="46"/>
    </row>
    <row r="42" spans="1:20" x14ac:dyDescent="0.2">
      <c r="A42" s="469">
        <v>2024</v>
      </c>
      <c r="B42" s="478">
        <v>1.67</v>
      </c>
      <c r="C42" s="478">
        <v>1.72</v>
      </c>
      <c r="D42" s="556">
        <v>2.11</v>
      </c>
      <c r="E42" s="469">
        <v>0.4</v>
      </c>
      <c r="F42" s="480">
        <v>0.23</v>
      </c>
      <c r="H42" s="469">
        <v>2024</v>
      </c>
      <c r="I42" s="479">
        <v>5000</v>
      </c>
      <c r="J42" s="479">
        <v>7300</v>
      </c>
      <c r="K42" s="479">
        <v>9900</v>
      </c>
      <c r="L42" s="479" t="s">
        <v>193</v>
      </c>
      <c r="M42" s="481">
        <v>1.4999999999999999E-2</v>
      </c>
      <c r="N42" s="482">
        <v>0.03</v>
      </c>
      <c r="P42" s="469">
        <v>2024</v>
      </c>
      <c r="Q42" s="483">
        <v>0.28000000000000003</v>
      </c>
      <c r="R42" s="483">
        <v>0.15</v>
      </c>
      <c r="S42" s="484">
        <v>0.23</v>
      </c>
      <c r="T42" s="46"/>
    </row>
    <row r="43" spans="1:20" x14ac:dyDescent="0.2">
      <c r="A43" s="447">
        <v>2025</v>
      </c>
      <c r="B43" s="457">
        <f t="shared" ref="B43:F45" si="13">B42</f>
        <v>1.67</v>
      </c>
      <c r="C43" s="457">
        <f t="shared" si="13"/>
        <v>1.72</v>
      </c>
      <c r="D43" s="557">
        <f t="shared" si="13"/>
        <v>2.11</v>
      </c>
      <c r="E43" s="447">
        <f t="shared" si="13"/>
        <v>0.4</v>
      </c>
      <c r="F43" s="459">
        <f t="shared" si="13"/>
        <v>0.23</v>
      </c>
      <c r="G43" s="9"/>
      <c r="H43" s="447">
        <v>2025</v>
      </c>
      <c r="I43" s="458">
        <f t="shared" ref="I43:K45" si="14">I42</f>
        <v>5000</v>
      </c>
      <c r="J43" s="458">
        <f t="shared" si="14"/>
        <v>7300</v>
      </c>
      <c r="K43" s="458">
        <f t="shared" si="14"/>
        <v>9900</v>
      </c>
      <c r="L43" s="458" t="s">
        <v>193</v>
      </c>
      <c r="M43" s="460">
        <v>1.4999999999999999E-2</v>
      </c>
      <c r="N43" s="461">
        <v>0.03</v>
      </c>
      <c r="O43" s="9"/>
      <c r="P43" s="447">
        <v>2025</v>
      </c>
      <c r="Q43" s="462">
        <v>0.28000000000000003</v>
      </c>
      <c r="R43" s="462">
        <v>0.15</v>
      </c>
      <c r="S43" s="463">
        <v>0.23</v>
      </c>
      <c r="T43" s="46"/>
    </row>
    <row r="44" spans="1:20" x14ac:dyDescent="0.2">
      <c r="A44" s="447">
        <v>2026</v>
      </c>
      <c r="B44" s="457">
        <f t="shared" si="13"/>
        <v>1.67</v>
      </c>
      <c r="C44" s="457">
        <f t="shared" si="13"/>
        <v>1.72</v>
      </c>
      <c r="D44" s="557">
        <f t="shared" si="13"/>
        <v>2.11</v>
      </c>
      <c r="E44" s="447">
        <f t="shared" si="13"/>
        <v>0.4</v>
      </c>
      <c r="F44" s="459">
        <f t="shared" si="13"/>
        <v>0.23</v>
      </c>
      <c r="G44" s="9"/>
      <c r="H44" s="447">
        <v>2026</v>
      </c>
      <c r="I44" s="458">
        <f t="shared" si="14"/>
        <v>5000</v>
      </c>
      <c r="J44" s="458">
        <f t="shared" si="14"/>
        <v>7300</v>
      </c>
      <c r="K44" s="458">
        <f t="shared" si="14"/>
        <v>9900</v>
      </c>
      <c r="L44" s="458" t="s">
        <v>193</v>
      </c>
      <c r="M44" s="460">
        <v>1.4999999999999999E-2</v>
      </c>
      <c r="N44" s="461">
        <v>0.03</v>
      </c>
      <c r="O44" s="9"/>
      <c r="P44" s="447">
        <v>2026</v>
      </c>
      <c r="Q44" s="462">
        <v>0.28000000000000003</v>
      </c>
      <c r="R44" s="462">
        <v>0.15</v>
      </c>
      <c r="S44" s="463">
        <v>0.23</v>
      </c>
      <c r="T44" s="46"/>
    </row>
    <row r="45" spans="1:20" x14ac:dyDescent="0.2">
      <c r="A45" s="447">
        <v>2027</v>
      </c>
      <c r="B45" s="457">
        <f t="shared" si="13"/>
        <v>1.67</v>
      </c>
      <c r="C45" s="457">
        <f t="shared" si="13"/>
        <v>1.72</v>
      </c>
      <c r="D45" s="557">
        <f t="shared" si="13"/>
        <v>2.11</v>
      </c>
      <c r="E45" s="447">
        <f t="shared" si="13"/>
        <v>0.4</v>
      </c>
      <c r="F45" s="459">
        <f t="shared" si="13"/>
        <v>0.23</v>
      </c>
      <c r="G45" s="9"/>
      <c r="H45" s="447">
        <v>2027</v>
      </c>
      <c r="I45" s="458">
        <f t="shared" si="14"/>
        <v>5000</v>
      </c>
      <c r="J45" s="458">
        <f t="shared" si="14"/>
        <v>7300</v>
      </c>
      <c r="K45" s="458">
        <f t="shared" si="14"/>
        <v>9900</v>
      </c>
      <c r="L45" s="458" t="s">
        <v>193</v>
      </c>
      <c r="M45" s="460">
        <v>1.4999999999999999E-2</v>
      </c>
      <c r="N45" s="461">
        <v>0.03</v>
      </c>
      <c r="O45" s="9"/>
      <c r="P45" s="447">
        <v>2027</v>
      </c>
      <c r="Q45" s="462">
        <v>0.28000000000000003</v>
      </c>
      <c r="R45" s="462">
        <v>0.15</v>
      </c>
      <c r="S45" s="463">
        <v>0.23</v>
      </c>
      <c r="T45" s="46"/>
    </row>
    <row r="46" spans="1:20" ht="13.5" thickBot="1" x14ac:dyDescent="0.25">
      <c r="A46" s="12"/>
      <c r="B46" s="401"/>
      <c r="C46" s="401"/>
      <c r="D46" s="402"/>
      <c r="E46" s="404"/>
      <c r="F46" s="403"/>
      <c r="H46" s="360"/>
      <c r="I46" s="370"/>
      <c r="J46" s="370"/>
      <c r="K46" s="370"/>
      <c r="L46" s="370"/>
      <c r="M46" s="372"/>
      <c r="N46" s="371"/>
      <c r="P46" s="360"/>
      <c r="Q46" s="27"/>
      <c r="R46" s="27"/>
      <c r="S46" s="13"/>
      <c r="T46" s="46"/>
    </row>
    <row r="47" spans="1:20" x14ac:dyDescent="0.2">
      <c r="A47" s="46"/>
      <c r="B47" s="46"/>
      <c r="C47" s="46"/>
      <c r="D47" s="46"/>
      <c r="E47" s="46"/>
      <c r="F47" s="46"/>
      <c r="H47" s="46"/>
      <c r="P47" s="46"/>
      <c r="T47" s="46"/>
    </row>
    <row r="48" spans="1:20" ht="13.5" thickBot="1" x14ac:dyDescent="0.25">
      <c r="H48" s="551" t="s">
        <v>311</v>
      </c>
      <c r="T48" s="46"/>
    </row>
    <row r="49" spans="1:24" x14ac:dyDescent="0.2">
      <c r="A49" s="62" t="s">
        <v>19</v>
      </c>
      <c r="B49" s="64"/>
      <c r="C49" s="63"/>
    </row>
    <row r="50" spans="1:24" x14ac:dyDescent="0.2">
      <c r="A50" s="69"/>
      <c r="B50" s="70" t="s">
        <v>23</v>
      </c>
      <c r="C50" s="71" t="s">
        <v>24</v>
      </c>
      <c r="N50" s="46"/>
      <c r="O50" s="46"/>
    </row>
    <row r="51" spans="1:24" x14ac:dyDescent="0.2">
      <c r="A51" s="10" t="s">
        <v>20</v>
      </c>
      <c r="B51" s="14">
        <v>0.4</v>
      </c>
      <c r="C51" s="15">
        <v>0.24</v>
      </c>
      <c r="N51" s="46"/>
      <c r="O51" s="325"/>
    </row>
    <row r="52" spans="1:24" x14ac:dyDescent="0.2">
      <c r="A52" s="10" t="s">
        <v>22</v>
      </c>
      <c r="B52" s="14">
        <v>0.18</v>
      </c>
      <c r="C52" s="15">
        <v>0.11</v>
      </c>
      <c r="N52" s="46"/>
      <c r="O52" s="337"/>
    </row>
    <row r="53" spans="1:24" x14ac:dyDescent="0.2">
      <c r="A53" s="10" t="s">
        <v>21</v>
      </c>
      <c r="B53" s="14">
        <v>0.57999999999999996</v>
      </c>
      <c r="C53" s="15">
        <v>0.35</v>
      </c>
      <c r="N53" s="46"/>
      <c r="O53" s="337"/>
    </row>
    <row r="54" spans="1:24" ht="13.5" thickBot="1" x14ac:dyDescent="0.25">
      <c r="A54" s="12"/>
      <c r="B54" s="16"/>
      <c r="C54" s="17"/>
      <c r="N54" s="46"/>
      <c r="O54" s="337"/>
    </row>
    <row r="55" spans="1:24" x14ac:dyDescent="0.2">
      <c r="N55" s="46"/>
      <c r="O55" s="337"/>
    </row>
    <row r="56" spans="1:24" ht="13.5" thickBot="1" x14ac:dyDescent="0.25"/>
    <row r="57" spans="1:24" x14ac:dyDescent="0.2">
      <c r="A57" s="62" t="s">
        <v>139</v>
      </c>
      <c r="B57" s="332"/>
      <c r="C57" s="332"/>
      <c r="D57" s="332"/>
      <c r="E57" s="332"/>
      <c r="F57" s="332"/>
      <c r="G57" s="332"/>
      <c r="H57" s="332"/>
      <c r="I57" s="332"/>
      <c r="J57" s="332"/>
      <c r="K57" s="332"/>
      <c r="L57" s="332"/>
      <c r="M57" s="332"/>
      <c r="N57" s="332"/>
      <c r="O57" s="332"/>
      <c r="P57" s="332"/>
      <c r="Q57" s="332"/>
      <c r="R57" s="332"/>
      <c r="S57" s="332"/>
      <c r="T57" s="332"/>
      <c r="U57" s="332"/>
      <c r="V57" s="332"/>
      <c r="W57" s="332"/>
      <c r="X57" s="333"/>
    </row>
    <row r="58" spans="1:24" x14ac:dyDescent="0.2">
      <c r="A58" s="67" t="s">
        <v>136</v>
      </c>
      <c r="B58" s="68"/>
      <c r="C58" s="68"/>
      <c r="D58" s="334"/>
      <c r="F58" s="67" t="s">
        <v>137</v>
      </c>
      <c r="G58" s="68"/>
      <c r="H58" s="68"/>
      <c r="I58" s="334"/>
      <c r="K58" s="67" t="s">
        <v>138</v>
      </c>
      <c r="L58" s="68"/>
      <c r="M58" s="68"/>
      <c r="N58" s="334"/>
      <c r="P58" s="67" t="s">
        <v>297</v>
      </c>
      <c r="Q58" s="68"/>
      <c r="R58" s="68"/>
      <c r="S58" s="334"/>
      <c r="U58" s="527" t="s">
        <v>299</v>
      </c>
      <c r="V58" s="528"/>
      <c r="W58" s="528"/>
      <c r="X58" s="529"/>
    </row>
    <row r="59" spans="1:24" x14ac:dyDescent="0.2">
      <c r="A59" s="523"/>
      <c r="B59" s="524" t="s">
        <v>25</v>
      </c>
      <c r="C59" s="524" t="s">
        <v>26</v>
      </c>
      <c r="D59" s="525" t="s">
        <v>27</v>
      </c>
      <c r="F59" s="523"/>
      <c r="G59" s="524" t="s">
        <v>25</v>
      </c>
      <c r="H59" s="524" t="s">
        <v>26</v>
      </c>
      <c r="I59" s="525" t="s">
        <v>27</v>
      </c>
      <c r="K59" s="523"/>
      <c r="L59" s="524" t="s">
        <v>25</v>
      </c>
      <c r="M59" s="524" t="s">
        <v>26</v>
      </c>
      <c r="N59" s="525" t="s">
        <v>27</v>
      </c>
      <c r="P59" s="523"/>
      <c r="Q59" s="524" t="s">
        <v>25</v>
      </c>
      <c r="R59" s="524" t="s">
        <v>26</v>
      </c>
      <c r="S59" s="525" t="s">
        <v>27</v>
      </c>
      <c r="U59" s="530"/>
      <c r="V59" s="531" t="s">
        <v>25</v>
      </c>
      <c r="W59" s="531" t="s">
        <v>26</v>
      </c>
      <c r="X59" s="532" t="s">
        <v>27</v>
      </c>
    </row>
    <row r="60" spans="1:24" ht="13.5" thickBot="1" x14ac:dyDescent="0.25">
      <c r="A60" s="10">
        <v>2019</v>
      </c>
      <c r="B60" s="9"/>
      <c r="C60" s="9"/>
      <c r="D60" s="11"/>
      <c r="F60" s="10">
        <v>2019</v>
      </c>
      <c r="G60" s="9"/>
      <c r="H60" s="9"/>
      <c r="I60" s="11"/>
      <c r="K60" s="10">
        <v>2019</v>
      </c>
      <c r="L60" s="9"/>
      <c r="M60" s="9"/>
      <c r="N60" s="11"/>
      <c r="P60" s="10">
        <v>2019</v>
      </c>
      <c r="Q60" s="9"/>
      <c r="R60" s="9"/>
      <c r="S60" s="11"/>
      <c r="U60" s="539">
        <v>2019</v>
      </c>
      <c r="V60" s="540">
        <f t="shared" ref="V60:X67" si="15">B60+G60+L60+Q60-I37</f>
        <v>-4500</v>
      </c>
      <c r="W60" s="540">
        <f t="shared" si="15"/>
        <v>-6400</v>
      </c>
      <c r="X60" s="541">
        <f t="shared" si="15"/>
        <v>-8600</v>
      </c>
    </row>
    <row r="61" spans="1:24" x14ac:dyDescent="0.2">
      <c r="A61" s="526">
        <v>2020</v>
      </c>
      <c r="B61" s="543">
        <v>498</v>
      </c>
      <c r="C61" s="543">
        <v>1370</v>
      </c>
      <c r="D61" s="544">
        <v>2095</v>
      </c>
      <c r="F61" s="526">
        <v>2020</v>
      </c>
      <c r="G61" s="543">
        <v>3192</v>
      </c>
      <c r="H61" s="543">
        <v>4162</v>
      </c>
      <c r="I61" s="544">
        <v>5270</v>
      </c>
      <c r="K61" s="526">
        <v>2020</v>
      </c>
      <c r="L61" s="543">
        <v>874</v>
      </c>
      <c r="M61" s="543">
        <v>1260</v>
      </c>
      <c r="N61" s="544">
        <v>1763</v>
      </c>
      <c r="P61" s="526">
        <v>2020</v>
      </c>
      <c r="Q61" s="543">
        <f t="shared" ref="Q61:Q63" si="16">-63-1</f>
        <v>-64</v>
      </c>
      <c r="R61" s="543">
        <f t="shared" ref="R61:R63" si="17">-91-1</f>
        <v>-92</v>
      </c>
      <c r="S61" s="544">
        <f t="shared" ref="S61:S63" si="18">-162+34</f>
        <v>-128</v>
      </c>
      <c r="U61" s="536">
        <v>2020</v>
      </c>
      <c r="V61" s="537">
        <f t="shared" si="15"/>
        <v>0</v>
      </c>
      <c r="W61" s="537">
        <f t="shared" si="15"/>
        <v>0</v>
      </c>
      <c r="X61" s="538">
        <f t="shared" si="15"/>
        <v>0</v>
      </c>
    </row>
    <row r="62" spans="1:24" x14ac:dyDescent="0.2">
      <c r="A62" s="469">
        <v>2021</v>
      </c>
      <c r="B62" s="216">
        <v>498</v>
      </c>
      <c r="C62" s="216">
        <v>1370</v>
      </c>
      <c r="D62" s="335">
        <v>2095</v>
      </c>
      <c r="F62" s="469">
        <v>2021</v>
      </c>
      <c r="G62" s="216">
        <v>3192</v>
      </c>
      <c r="H62" s="216">
        <v>4162</v>
      </c>
      <c r="I62" s="335">
        <v>5270</v>
      </c>
      <c r="K62" s="469">
        <v>2021</v>
      </c>
      <c r="L62" s="216">
        <v>874</v>
      </c>
      <c r="M62" s="216">
        <v>1260</v>
      </c>
      <c r="N62" s="335">
        <v>1763</v>
      </c>
      <c r="P62" s="469">
        <v>2021</v>
      </c>
      <c r="Q62" s="216">
        <f t="shared" si="16"/>
        <v>-64</v>
      </c>
      <c r="R62" s="216">
        <f t="shared" si="17"/>
        <v>-92</v>
      </c>
      <c r="S62" s="335">
        <f t="shared" si="18"/>
        <v>-128</v>
      </c>
      <c r="U62" s="533">
        <v>2021</v>
      </c>
      <c r="V62" s="534">
        <f t="shared" si="15"/>
        <v>0</v>
      </c>
      <c r="W62" s="534">
        <f t="shared" si="15"/>
        <v>0</v>
      </c>
      <c r="X62" s="535">
        <f t="shared" si="15"/>
        <v>0</v>
      </c>
    </row>
    <row r="63" spans="1:24" x14ac:dyDescent="0.2">
      <c r="A63" s="469">
        <v>2022</v>
      </c>
      <c r="B63" s="216">
        <v>498</v>
      </c>
      <c r="C63" s="216">
        <v>1370</v>
      </c>
      <c r="D63" s="335">
        <v>2095</v>
      </c>
      <c r="F63" s="469">
        <v>2022</v>
      </c>
      <c r="G63" s="216">
        <v>3192</v>
      </c>
      <c r="H63" s="216">
        <v>4162</v>
      </c>
      <c r="I63" s="335">
        <v>5270</v>
      </c>
      <c r="K63" s="469">
        <v>2022</v>
      </c>
      <c r="L63" s="216">
        <v>874</v>
      </c>
      <c r="M63" s="216">
        <v>1260</v>
      </c>
      <c r="N63" s="335">
        <v>1763</v>
      </c>
      <c r="P63" s="469">
        <v>2022</v>
      </c>
      <c r="Q63" s="216">
        <f t="shared" si="16"/>
        <v>-64</v>
      </c>
      <c r="R63" s="216">
        <f t="shared" si="17"/>
        <v>-92</v>
      </c>
      <c r="S63" s="335">
        <f t="shared" si="18"/>
        <v>-128</v>
      </c>
      <c r="U63" s="533">
        <v>2022</v>
      </c>
      <c r="V63" s="534">
        <f t="shared" si="15"/>
        <v>0</v>
      </c>
      <c r="W63" s="534">
        <f t="shared" si="15"/>
        <v>0</v>
      </c>
      <c r="X63" s="535">
        <f t="shared" si="15"/>
        <v>0</v>
      </c>
    </row>
    <row r="64" spans="1:24" x14ac:dyDescent="0.2">
      <c r="A64" s="469">
        <v>2023</v>
      </c>
      <c r="B64" s="216">
        <v>557</v>
      </c>
      <c r="C64" s="216">
        <v>1472</v>
      </c>
      <c r="D64" s="335">
        <v>2274</v>
      </c>
      <c r="F64" s="469">
        <v>2023</v>
      </c>
      <c r="G64" s="216">
        <v>3677</v>
      </c>
      <c r="H64" s="216">
        <v>4755</v>
      </c>
      <c r="I64" s="335">
        <v>6020</v>
      </c>
      <c r="K64" s="469">
        <v>2023</v>
      </c>
      <c r="L64" s="216">
        <v>928</v>
      </c>
      <c r="M64" s="216">
        <v>1292</v>
      </c>
      <c r="N64" s="335">
        <v>1830</v>
      </c>
      <c r="P64" s="469">
        <v>2023</v>
      </c>
      <c r="Q64" s="216">
        <f t="shared" ref="Q64:Q66" si="19">-150-12</f>
        <v>-162</v>
      </c>
      <c r="R64" s="216">
        <f t="shared" ref="R64:R66" si="20">-195-24</f>
        <v>-219</v>
      </c>
      <c r="S64" s="335">
        <f t="shared" ref="S64:S66" si="21">-284+60</f>
        <v>-224</v>
      </c>
      <c r="U64" s="533">
        <v>2023</v>
      </c>
      <c r="V64" s="534">
        <f t="shared" si="15"/>
        <v>0</v>
      </c>
      <c r="W64" s="534">
        <f t="shared" si="15"/>
        <v>0</v>
      </c>
      <c r="X64" s="535">
        <f t="shared" si="15"/>
        <v>0</v>
      </c>
    </row>
    <row r="65" spans="1:24" x14ac:dyDescent="0.2">
      <c r="A65" s="469">
        <v>2024</v>
      </c>
      <c r="B65" s="216">
        <v>557</v>
      </c>
      <c r="C65" s="216">
        <v>1472</v>
      </c>
      <c r="D65" s="335">
        <v>2274</v>
      </c>
      <c r="F65" s="469">
        <v>2024</v>
      </c>
      <c r="G65" s="216">
        <v>3677</v>
      </c>
      <c r="H65" s="216">
        <v>4755</v>
      </c>
      <c r="I65" s="335">
        <v>6020</v>
      </c>
      <c r="K65" s="469">
        <v>2024</v>
      </c>
      <c r="L65" s="216">
        <v>928</v>
      </c>
      <c r="M65" s="216">
        <v>1292</v>
      </c>
      <c r="N65" s="335">
        <v>1830</v>
      </c>
      <c r="P65" s="469">
        <v>2024</v>
      </c>
      <c r="Q65" s="216">
        <f t="shared" si="19"/>
        <v>-162</v>
      </c>
      <c r="R65" s="216">
        <f t="shared" si="20"/>
        <v>-219</v>
      </c>
      <c r="S65" s="335">
        <f t="shared" si="21"/>
        <v>-224</v>
      </c>
      <c r="U65" s="533">
        <v>2024</v>
      </c>
      <c r="V65" s="534">
        <f t="shared" si="15"/>
        <v>0</v>
      </c>
      <c r="W65" s="534">
        <f t="shared" si="15"/>
        <v>0</v>
      </c>
      <c r="X65" s="535">
        <f t="shared" si="15"/>
        <v>0</v>
      </c>
    </row>
    <row r="66" spans="1:24" x14ac:dyDescent="0.2">
      <c r="A66" s="469">
        <v>2025</v>
      </c>
      <c r="B66" s="216">
        <v>557</v>
      </c>
      <c r="C66" s="216">
        <v>1472</v>
      </c>
      <c r="D66" s="335">
        <v>2274</v>
      </c>
      <c r="F66" s="469">
        <v>2025</v>
      </c>
      <c r="G66" s="216">
        <v>3677</v>
      </c>
      <c r="H66" s="216">
        <v>4755</v>
      </c>
      <c r="I66" s="335">
        <v>6020</v>
      </c>
      <c r="K66" s="469">
        <v>2025</v>
      </c>
      <c r="L66" s="216">
        <v>928</v>
      </c>
      <c r="M66" s="216">
        <v>1292</v>
      </c>
      <c r="N66" s="335">
        <v>1830</v>
      </c>
      <c r="P66" s="469">
        <v>2025</v>
      </c>
      <c r="Q66" s="216">
        <f t="shared" si="19"/>
        <v>-162</v>
      </c>
      <c r="R66" s="216">
        <f t="shared" si="20"/>
        <v>-219</v>
      </c>
      <c r="S66" s="335">
        <f t="shared" si="21"/>
        <v>-224</v>
      </c>
      <c r="U66" s="533">
        <v>2025</v>
      </c>
      <c r="V66" s="534">
        <f t="shared" si="15"/>
        <v>0</v>
      </c>
      <c r="W66" s="534">
        <f t="shared" si="15"/>
        <v>0</v>
      </c>
      <c r="X66" s="535">
        <f t="shared" si="15"/>
        <v>0</v>
      </c>
    </row>
    <row r="67" spans="1:24" x14ac:dyDescent="0.2">
      <c r="A67" s="447">
        <v>2026</v>
      </c>
      <c r="B67" s="542">
        <f>B66</f>
        <v>557</v>
      </c>
      <c r="C67" s="542">
        <f t="shared" ref="C67:D68" si="22">C66</f>
        <v>1472</v>
      </c>
      <c r="D67" s="545">
        <f t="shared" si="22"/>
        <v>2274</v>
      </c>
      <c r="F67" s="447">
        <v>2026</v>
      </c>
      <c r="G67" s="542">
        <f t="shared" ref="G67:I68" si="23">G66</f>
        <v>3677</v>
      </c>
      <c r="H67" s="542">
        <f t="shared" si="23"/>
        <v>4755</v>
      </c>
      <c r="I67" s="545">
        <f t="shared" si="23"/>
        <v>6020</v>
      </c>
      <c r="K67" s="447">
        <v>2026</v>
      </c>
      <c r="L67" s="542">
        <f t="shared" ref="L67:N68" si="24">L66</f>
        <v>928</v>
      </c>
      <c r="M67" s="542">
        <f t="shared" si="24"/>
        <v>1292</v>
      </c>
      <c r="N67" s="545">
        <f t="shared" si="24"/>
        <v>1830</v>
      </c>
      <c r="P67" s="447">
        <v>2026</v>
      </c>
      <c r="Q67" s="542">
        <f t="shared" ref="Q67:S68" si="25">Q66</f>
        <v>-162</v>
      </c>
      <c r="R67" s="542">
        <f t="shared" si="25"/>
        <v>-219</v>
      </c>
      <c r="S67" s="545">
        <f t="shared" si="25"/>
        <v>-224</v>
      </c>
      <c r="U67" s="533">
        <v>2026</v>
      </c>
      <c r="V67" s="534">
        <f t="shared" si="15"/>
        <v>0</v>
      </c>
      <c r="W67" s="534">
        <f t="shared" si="15"/>
        <v>0</v>
      </c>
      <c r="X67" s="535">
        <f t="shared" si="15"/>
        <v>0</v>
      </c>
    </row>
    <row r="68" spans="1:24" x14ac:dyDescent="0.2">
      <c r="A68" s="447">
        <v>2027</v>
      </c>
      <c r="B68" s="542">
        <f>B67</f>
        <v>557</v>
      </c>
      <c r="C68" s="542">
        <f t="shared" si="22"/>
        <v>1472</v>
      </c>
      <c r="D68" s="545">
        <f t="shared" si="22"/>
        <v>2274</v>
      </c>
      <c r="F68" s="447">
        <v>2027</v>
      </c>
      <c r="G68" s="542">
        <f t="shared" si="23"/>
        <v>3677</v>
      </c>
      <c r="H68" s="542">
        <f t="shared" si="23"/>
        <v>4755</v>
      </c>
      <c r="I68" s="545">
        <f t="shared" si="23"/>
        <v>6020</v>
      </c>
      <c r="K68" s="447">
        <v>2027</v>
      </c>
      <c r="L68" s="542">
        <f t="shared" si="24"/>
        <v>928</v>
      </c>
      <c r="M68" s="542">
        <f t="shared" si="24"/>
        <v>1292</v>
      </c>
      <c r="N68" s="545">
        <f t="shared" si="24"/>
        <v>1830</v>
      </c>
      <c r="P68" s="447">
        <v>2027</v>
      </c>
      <c r="Q68" s="542">
        <f t="shared" si="25"/>
        <v>-162</v>
      </c>
      <c r="R68" s="542">
        <f t="shared" si="25"/>
        <v>-219</v>
      </c>
      <c r="S68" s="545">
        <f t="shared" si="25"/>
        <v>-224</v>
      </c>
      <c r="U68" s="533">
        <v>2027</v>
      </c>
      <c r="V68" s="534">
        <f t="shared" ref="V68" si="26">B68+G68+L68+Q68-I45</f>
        <v>0</v>
      </c>
      <c r="W68" s="534">
        <f t="shared" ref="W68" si="27">C68+H68+M68+R68-J45</f>
        <v>0</v>
      </c>
      <c r="X68" s="535">
        <f t="shared" ref="X68" si="28">D68+I68+N68+S68-K45</f>
        <v>0</v>
      </c>
    </row>
    <row r="69" spans="1:24" ht="13.5" thickBot="1" x14ac:dyDescent="0.25">
      <c r="A69" s="12"/>
      <c r="B69" s="27"/>
      <c r="C69" s="27"/>
      <c r="D69" s="13"/>
      <c r="F69" s="12"/>
      <c r="G69" s="27"/>
      <c r="H69" s="27"/>
      <c r="I69" s="13"/>
      <c r="K69" s="12"/>
      <c r="L69" s="27"/>
      <c r="M69" s="27"/>
      <c r="N69" s="13"/>
      <c r="P69" s="12"/>
      <c r="Q69" s="27"/>
      <c r="R69" s="27"/>
      <c r="S69" s="13"/>
      <c r="U69" s="539"/>
      <c r="V69" s="540"/>
      <c r="W69" s="540"/>
      <c r="X69" s="541"/>
    </row>
    <row r="71" spans="1:24" ht="13.5" thickBot="1" x14ac:dyDescent="0.25"/>
    <row r="72" spans="1:24" x14ac:dyDescent="0.2">
      <c r="A72" s="62" t="s">
        <v>298</v>
      </c>
      <c r="B72" s="332"/>
      <c r="C72" s="332"/>
      <c r="D72" s="332"/>
      <c r="E72" s="332"/>
      <c r="F72" s="332"/>
      <c r="G72" s="332"/>
      <c r="H72" s="332"/>
      <c r="I72" s="332"/>
      <c r="J72" s="332"/>
      <c r="K72" s="332"/>
      <c r="L72" s="332"/>
      <c r="M72" s="332"/>
      <c r="N72" s="332"/>
      <c r="O72" s="332"/>
      <c r="P72" s="332"/>
      <c r="Q72" s="332"/>
      <c r="R72" s="332"/>
      <c r="S72" s="332"/>
      <c r="T72" s="332"/>
      <c r="U72" s="332"/>
      <c r="V72" s="332"/>
      <c r="W72" s="332"/>
      <c r="X72" s="333"/>
    </row>
    <row r="73" spans="1:24" x14ac:dyDescent="0.2">
      <c r="A73" s="67" t="s">
        <v>131</v>
      </c>
      <c r="B73" s="68"/>
      <c r="C73" s="68"/>
      <c r="D73" s="334"/>
      <c r="F73" s="67" t="s">
        <v>132</v>
      </c>
      <c r="G73" s="68"/>
      <c r="H73" s="68"/>
      <c r="I73" s="334"/>
      <c r="K73" s="67" t="s">
        <v>133</v>
      </c>
      <c r="L73" s="68"/>
      <c r="M73" s="68"/>
      <c r="N73" s="334"/>
      <c r="P73" s="67" t="s">
        <v>134</v>
      </c>
      <c r="Q73" s="68"/>
      <c r="R73" s="68"/>
      <c r="S73" s="334"/>
      <c r="U73" s="527" t="s">
        <v>299</v>
      </c>
      <c r="V73" s="528"/>
      <c r="W73" s="528"/>
      <c r="X73" s="529"/>
    </row>
    <row r="74" spans="1:24" x14ac:dyDescent="0.2">
      <c r="A74" s="523"/>
      <c r="B74" s="524" t="s">
        <v>25</v>
      </c>
      <c r="C74" s="524" t="s">
        <v>26</v>
      </c>
      <c r="D74" s="525" t="s">
        <v>27</v>
      </c>
      <c r="F74" s="523"/>
      <c r="G74" s="524" t="s">
        <v>25</v>
      </c>
      <c r="H74" s="524" t="s">
        <v>26</v>
      </c>
      <c r="I74" s="525" t="s">
        <v>27</v>
      </c>
      <c r="K74" s="523"/>
      <c r="L74" s="524" t="s">
        <v>25</v>
      </c>
      <c r="M74" s="524" t="s">
        <v>26</v>
      </c>
      <c r="N74" s="525" t="s">
        <v>27</v>
      </c>
      <c r="P74" s="523"/>
      <c r="Q74" s="524" t="s">
        <v>25</v>
      </c>
      <c r="R74" s="524" t="s">
        <v>26</v>
      </c>
      <c r="S74" s="525" t="s">
        <v>27</v>
      </c>
      <c r="U74" s="530"/>
      <c r="V74" s="531" t="s">
        <v>25</v>
      </c>
      <c r="W74" s="531" t="s">
        <v>26</v>
      </c>
      <c r="X74" s="532" t="s">
        <v>27</v>
      </c>
    </row>
    <row r="75" spans="1:24" ht="13.5" thickBot="1" x14ac:dyDescent="0.25">
      <c r="A75" s="10">
        <v>2019</v>
      </c>
      <c r="B75" s="9"/>
      <c r="C75" s="9"/>
      <c r="D75" s="11"/>
      <c r="F75" s="10">
        <v>2019</v>
      </c>
      <c r="G75" s="9"/>
      <c r="H75" s="9"/>
      <c r="I75" s="11"/>
      <c r="K75" s="10">
        <v>2019</v>
      </c>
      <c r="L75" s="9"/>
      <c r="M75" s="9"/>
      <c r="N75" s="11"/>
      <c r="P75" s="10">
        <v>2019</v>
      </c>
      <c r="Q75" s="9"/>
      <c r="R75" s="9"/>
      <c r="S75" s="11"/>
      <c r="U75" s="539">
        <v>2019</v>
      </c>
      <c r="V75" s="540">
        <f>G75+L75+Q75-G60</f>
        <v>0</v>
      </c>
      <c r="W75" s="540">
        <f t="shared" ref="W75:X75" si="29">H75+M75+R75-H60</f>
        <v>0</v>
      </c>
      <c r="X75" s="541">
        <f t="shared" si="29"/>
        <v>0</v>
      </c>
    </row>
    <row r="76" spans="1:24" x14ac:dyDescent="0.2">
      <c r="A76" s="526">
        <v>2020</v>
      </c>
      <c r="B76" s="543">
        <v>46500</v>
      </c>
      <c r="C76" s="543">
        <v>60644</v>
      </c>
      <c r="D76" s="544">
        <v>76777</v>
      </c>
      <c r="F76" s="526">
        <v>2020</v>
      </c>
      <c r="G76" s="543">
        <v>1409</v>
      </c>
      <c r="H76" s="543">
        <v>1838</v>
      </c>
      <c r="I76" s="544">
        <v>2327</v>
      </c>
      <c r="K76" s="526">
        <v>2020</v>
      </c>
      <c r="L76" s="543">
        <v>388</v>
      </c>
      <c r="M76" s="543">
        <v>505</v>
      </c>
      <c r="N76" s="544">
        <v>640</v>
      </c>
      <c r="P76" s="526">
        <v>2020</v>
      </c>
      <c r="Q76" s="543">
        <v>1395</v>
      </c>
      <c r="R76" s="543">
        <v>1819</v>
      </c>
      <c r="S76" s="544">
        <v>2303</v>
      </c>
      <c r="U76" s="536">
        <v>2020</v>
      </c>
      <c r="V76" s="537">
        <f t="shared" ref="V76:V82" si="30">G76+L76+Q76-G61</f>
        <v>0</v>
      </c>
      <c r="W76" s="537">
        <f t="shared" ref="W76:W82" si="31">H76+M76+R76-H61</f>
        <v>0</v>
      </c>
      <c r="X76" s="538">
        <f t="shared" ref="X76:X82" si="32">I76+N76+S76-I61</f>
        <v>0</v>
      </c>
    </row>
    <row r="77" spans="1:24" x14ac:dyDescent="0.2">
      <c r="A77" s="469">
        <v>2021</v>
      </c>
      <c r="B77" s="216">
        <v>46500</v>
      </c>
      <c r="C77" s="216">
        <v>60644</v>
      </c>
      <c r="D77" s="335">
        <v>76777</v>
      </c>
      <c r="F77" s="469">
        <v>2021</v>
      </c>
      <c r="G77" s="216">
        <v>1409</v>
      </c>
      <c r="H77" s="216">
        <v>1838</v>
      </c>
      <c r="I77" s="335">
        <v>2327</v>
      </c>
      <c r="K77" s="469">
        <v>2021</v>
      </c>
      <c r="L77" s="216">
        <v>388</v>
      </c>
      <c r="M77" s="216">
        <v>505</v>
      </c>
      <c r="N77" s="335">
        <v>640</v>
      </c>
      <c r="P77" s="469">
        <v>2021</v>
      </c>
      <c r="Q77" s="216">
        <v>1395</v>
      </c>
      <c r="R77" s="216">
        <v>1819</v>
      </c>
      <c r="S77" s="335">
        <v>2303</v>
      </c>
      <c r="U77" s="533">
        <v>2021</v>
      </c>
      <c r="V77" s="534">
        <f t="shared" si="30"/>
        <v>0</v>
      </c>
      <c r="W77" s="534">
        <f t="shared" si="31"/>
        <v>0</v>
      </c>
      <c r="X77" s="535">
        <f t="shared" si="32"/>
        <v>0</v>
      </c>
    </row>
    <row r="78" spans="1:24" x14ac:dyDescent="0.2">
      <c r="A78" s="469">
        <v>2022</v>
      </c>
      <c r="B78" s="216">
        <v>46500</v>
      </c>
      <c r="C78" s="216">
        <v>60644</v>
      </c>
      <c r="D78" s="335">
        <v>76777</v>
      </c>
      <c r="F78" s="469">
        <v>2022</v>
      </c>
      <c r="G78" s="216">
        <v>1409</v>
      </c>
      <c r="H78" s="216">
        <v>1838</v>
      </c>
      <c r="I78" s="335">
        <v>2327</v>
      </c>
      <c r="K78" s="469">
        <v>2022</v>
      </c>
      <c r="L78" s="216">
        <v>388</v>
      </c>
      <c r="M78" s="216">
        <v>505</v>
      </c>
      <c r="N78" s="335">
        <v>640</v>
      </c>
      <c r="P78" s="469">
        <v>2022</v>
      </c>
      <c r="Q78" s="216">
        <v>1395</v>
      </c>
      <c r="R78" s="216">
        <v>1819</v>
      </c>
      <c r="S78" s="335">
        <v>2303</v>
      </c>
      <c r="U78" s="533">
        <v>2022</v>
      </c>
      <c r="V78" s="534">
        <f t="shared" si="30"/>
        <v>0</v>
      </c>
      <c r="W78" s="534">
        <f t="shared" si="31"/>
        <v>0</v>
      </c>
      <c r="X78" s="535">
        <f t="shared" si="32"/>
        <v>0</v>
      </c>
    </row>
    <row r="79" spans="1:24" x14ac:dyDescent="0.2">
      <c r="A79" s="469">
        <v>2023</v>
      </c>
      <c r="B79" s="216">
        <v>53579</v>
      </c>
      <c r="C79" s="216">
        <v>69273</v>
      </c>
      <c r="D79" s="335">
        <v>87709</v>
      </c>
      <c r="F79" s="469">
        <v>2023</v>
      </c>
      <c r="G79" s="216">
        <v>1624</v>
      </c>
      <c r="H79" s="216">
        <v>2099</v>
      </c>
      <c r="I79" s="335">
        <v>2658</v>
      </c>
      <c r="K79" s="469">
        <v>2023</v>
      </c>
      <c r="L79" s="216">
        <v>446</v>
      </c>
      <c r="M79" s="216">
        <v>578</v>
      </c>
      <c r="N79" s="335">
        <v>731</v>
      </c>
      <c r="P79" s="469">
        <v>2023</v>
      </c>
      <c r="Q79" s="216">
        <v>1607</v>
      </c>
      <c r="R79" s="216">
        <v>2078</v>
      </c>
      <c r="S79" s="335">
        <v>2631</v>
      </c>
      <c r="U79" s="533">
        <v>2023</v>
      </c>
      <c r="V79" s="534">
        <f t="shared" si="30"/>
        <v>0</v>
      </c>
      <c r="W79" s="534">
        <f t="shared" si="31"/>
        <v>0</v>
      </c>
      <c r="X79" s="535">
        <f t="shared" si="32"/>
        <v>0</v>
      </c>
    </row>
    <row r="80" spans="1:24" x14ac:dyDescent="0.2">
      <c r="A80" s="469">
        <v>2024</v>
      </c>
      <c r="B80" s="216">
        <v>53579</v>
      </c>
      <c r="C80" s="216">
        <v>69273</v>
      </c>
      <c r="D80" s="335">
        <v>87709</v>
      </c>
      <c r="F80" s="469">
        <v>2024</v>
      </c>
      <c r="G80" s="216">
        <v>1624</v>
      </c>
      <c r="H80" s="216">
        <v>2099</v>
      </c>
      <c r="I80" s="335">
        <v>2658</v>
      </c>
      <c r="K80" s="469">
        <v>2024</v>
      </c>
      <c r="L80" s="216">
        <v>446</v>
      </c>
      <c r="M80" s="216">
        <v>578</v>
      </c>
      <c r="N80" s="335">
        <v>731</v>
      </c>
      <c r="P80" s="469">
        <v>2024</v>
      </c>
      <c r="Q80" s="216">
        <v>1607</v>
      </c>
      <c r="R80" s="216">
        <v>2078</v>
      </c>
      <c r="S80" s="335">
        <v>2631</v>
      </c>
      <c r="U80" s="533">
        <v>2024</v>
      </c>
      <c r="V80" s="534">
        <f t="shared" si="30"/>
        <v>0</v>
      </c>
      <c r="W80" s="534">
        <f t="shared" si="31"/>
        <v>0</v>
      </c>
      <c r="X80" s="535">
        <f t="shared" si="32"/>
        <v>0</v>
      </c>
    </row>
    <row r="81" spans="1:24" x14ac:dyDescent="0.2">
      <c r="A81" s="469">
        <v>2025</v>
      </c>
      <c r="B81" s="216">
        <v>53579</v>
      </c>
      <c r="C81" s="216">
        <v>69273</v>
      </c>
      <c r="D81" s="335">
        <v>87709</v>
      </c>
      <c r="F81" s="469">
        <v>2025</v>
      </c>
      <c r="G81" s="216">
        <v>1624</v>
      </c>
      <c r="H81" s="216">
        <v>2099</v>
      </c>
      <c r="I81" s="335">
        <v>2658</v>
      </c>
      <c r="K81" s="469">
        <v>2025</v>
      </c>
      <c r="L81" s="216">
        <v>446</v>
      </c>
      <c r="M81" s="216">
        <v>578</v>
      </c>
      <c r="N81" s="335">
        <v>731</v>
      </c>
      <c r="P81" s="469">
        <v>2025</v>
      </c>
      <c r="Q81" s="216">
        <v>1607</v>
      </c>
      <c r="R81" s="216">
        <v>2078</v>
      </c>
      <c r="S81" s="335">
        <v>2631</v>
      </c>
      <c r="U81" s="533">
        <v>2025</v>
      </c>
      <c r="V81" s="534">
        <f t="shared" si="30"/>
        <v>0</v>
      </c>
      <c r="W81" s="534">
        <f t="shared" si="31"/>
        <v>0</v>
      </c>
      <c r="X81" s="535">
        <f t="shared" si="32"/>
        <v>0</v>
      </c>
    </row>
    <row r="82" spans="1:24" x14ac:dyDescent="0.2">
      <c r="A82" s="447">
        <v>2026</v>
      </c>
      <c r="B82" s="542">
        <f t="shared" ref="B82:D83" si="33">B81</f>
        <v>53579</v>
      </c>
      <c r="C82" s="542">
        <f t="shared" si="33"/>
        <v>69273</v>
      </c>
      <c r="D82" s="545">
        <f t="shared" si="33"/>
        <v>87709</v>
      </c>
      <c r="F82" s="447">
        <v>2026</v>
      </c>
      <c r="G82" s="542">
        <f t="shared" ref="G82:I83" si="34">G81</f>
        <v>1624</v>
      </c>
      <c r="H82" s="542">
        <f t="shared" si="34"/>
        <v>2099</v>
      </c>
      <c r="I82" s="545">
        <f t="shared" si="34"/>
        <v>2658</v>
      </c>
      <c r="K82" s="447">
        <v>2026</v>
      </c>
      <c r="L82" s="542">
        <f t="shared" ref="L82:N83" si="35">L81</f>
        <v>446</v>
      </c>
      <c r="M82" s="542">
        <f t="shared" si="35"/>
        <v>578</v>
      </c>
      <c r="N82" s="545">
        <f t="shared" si="35"/>
        <v>731</v>
      </c>
      <c r="P82" s="447">
        <v>2026</v>
      </c>
      <c r="Q82" s="542">
        <f t="shared" ref="Q82:S83" si="36">Q81</f>
        <v>1607</v>
      </c>
      <c r="R82" s="542">
        <f t="shared" si="36"/>
        <v>2078</v>
      </c>
      <c r="S82" s="545">
        <f t="shared" si="36"/>
        <v>2631</v>
      </c>
      <c r="U82" s="533">
        <v>2026</v>
      </c>
      <c r="V82" s="534">
        <f t="shared" si="30"/>
        <v>0</v>
      </c>
      <c r="W82" s="534">
        <f t="shared" si="31"/>
        <v>0</v>
      </c>
      <c r="X82" s="535">
        <f t="shared" si="32"/>
        <v>0</v>
      </c>
    </row>
    <row r="83" spans="1:24" x14ac:dyDescent="0.2">
      <c r="A83" s="447">
        <v>2027</v>
      </c>
      <c r="B83" s="542">
        <f t="shared" si="33"/>
        <v>53579</v>
      </c>
      <c r="C83" s="542">
        <f t="shared" si="33"/>
        <v>69273</v>
      </c>
      <c r="D83" s="545">
        <f t="shared" si="33"/>
        <v>87709</v>
      </c>
      <c r="F83" s="447">
        <v>2027</v>
      </c>
      <c r="G83" s="542">
        <f t="shared" si="34"/>
        <v>1624</v>
      </c>
      <c r="H83" s="542">
        <f t="shared" si="34"/>
        <v>2099</v>
      </c>
      <c r="I83" s="545">
        <f t="shared" si="34"/>
        <v>2658</v>
      </c>
      <c r="K83" s="447">
        <v>2027</v>
      </c>
      <c r="L83" s="542">
        <f t="shared" si="35"/>
        <v>446</v>
      </c>
      <c r="M83" s="542">
        <f t="shared" si="35"/>
        <v>578</v>
      </c>
      <c r="N83" s="545">
        <f t="shared" si="35"/>
        <v>731</v>
      </c>
      <c r="P83" s="447">
        <v>2027</v>
      </c>
      <c r="Q83" s="542">
        <f t="shared" si="36"/>
        <v>1607</v>
      </c>
      <c r="R83" s="542">
        <f t="shared" si="36"/>
        <v>2078</v>
      </c>
      <c r="S83" s="545">
        <f t="shared" si="36"/>
        <v>2631</v>
      </c>
      <c r="U83" s="533">
        <v>2027</v>
      </c>
      <c r="V83" s="534">
        <f t="shared" ref="V83" si="37">G83+L83+Q83-G68</f>
        <v>0</v>
      </c>
      <c r="W83" s="534">
        <f t="shared" ref="W83" si="38">H83+M83+R83-H68</f>
        <v>0</v>
      </c>
      <c r="X83" s="535">
        <f t="shared" ref="X83" si="39">I83+N83+S83-I68</f>
        <v>0</v>
      </c>
    </row>
    <row r="84" spans="1:24" ht="13.5" thickBot="1" x14ac:dyDescent="0.25">
      <c r="A84" s="12"/>
      <c r="B84" s="27"/>
      <c r="C84" s="27"/>
      <c r="D84" s="13"/>
      <c r="F84" s="12"/>
      <c r="G84" s="27"/>
      <c r="H84" s="27"/>
      <c r="I84" s="13"/>
      <c r="K84" s="12"/>
      <c r="L84" s="27"/>
      <c r="M84" s="27"/>
      <c r="N84" s="13"/>
      <c r="P84" s="12"/>
      <c r="Q84" s="27"/>
      <c r="R84" s="27"/>
      <c r="S84" s="13"/>
      <c r="U84" s="539"/>
      <c r="V84" s="540"/>
      <c r="W84" s="540"/>
      <c r="X84" s="541"/>
    </row>
  </sheetData>
  <sheetProtection algorithmName="SHA-512" hashValue="H+G06B/n+FHAwAI8bPcL/1rhAC3abXXjGo409ZUdQbdGp80D3301w5+nZOOCYADqYEy/GaktQ5F5jyKDB2qiNA==" saltValue="6inIjsj+o45mNiMtSUCmfA==" spinCount="100000" sheet="1" objects="1" scenarios="1"/>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5"/>
  <sheetViews>
    <sheetView showGridLines="0" zoomScaleNormal="100" workbookViewId="0">
      <selection activeCell="F15" sqref="F15"/>
    </sheetView>
  </sheetViews>
  <sheetFormatPr baseColWidth="10" defaultRowHeight="12.75" x14ac:dyDescent="0.2"/>
  <cols>
    <col min="1" max="1" width="7.28515625" customWidth="1"/>
    <col min="2" max="2" width="1.7109375" customWidth="1"/>
    <col min="3" max="3" width="19.85546875" customWidth="1"/>
    <col min="4" max="4" width="11.28515625" customWidth="1"/>
    <col min="5" max="5" width="17.85546875" customWidth="1"/>
    <col min="6" max="7" width="16.5703125" customWidth="1"/>
    <col min="8" max="8" width="1.5703125" customWidth="1"/>
    <col min="9" max="9" width="16.5703125" customWidth="1"/>
    <col min="10" max="10" width="2" customWidth="1"/>
    <col min="11" max="11" width="136.42578125" customWidth="1"/>
    <col min="13" max="13" width="25.7109375" customWidth="1"/>
  </cols>
  <sheetData>
    <row r="1" spans="1:13" ht="19.5" x14ac:dyDescent="0.3">
      <c r="A1" s="1" t="s">
        <v>244</v>
      </c>
      <c r="B1" s="1"/>
    </row>
    <row r="3" spans="1:13" x14ac:dyDescent="0.2">
      <c r="A3" s="183" t="s">
        <v>317</v>
      </c>
    </row>
    <row r="4" spans="1:13" x14ac:dyDescent="0.2">
      <c r="A4" s="472" t="s">
        <v>318</v>
      </c>
    </row>
    <row r="5" spans="1:13" x14ac:dyDescent="0.2">
      <c r="A5" s="558" t="s">
        <v>320</v>
      </c>
    </row>
    <row r="6" spans="1:13" x14ac:dyDescent="0.2">
      <c r="A6" s="559" t="s">
        <v>319</v>
      </c>
      <c r="B6" s="560"/>
    </row>
    <row r="7" spans="1:13" x14ac:dyDescent="0.2">
      <c r="A7" s="559" t="s">
        <v>321</v>
      </c>
      <c r="B7" s="560"/>
    </row>
    <row r="8" spans="1:13" x14ac:dyDescent="0.2">
      <c r="A8" s="558" t="s">
        <v>322</v>
      </c>
    </row>
    <row r="9" spans="1:13" x14ac:dyDescent="0.2">
      <c r="A9" s="559" t="s">
        <v>323</v>
      </c>
    </row>
    <row r="11" spans="1:13" ht="6" customHeight="1" thickBot="1" x14ac:dyDescent="0.25"/>
    <row r="12" spans="1:13" ht="16.5" thickBot="1" x14ac:dyDescent="0.3">
      <c r="A12" s="5" t="s">
        <v>283</v>
      </c>
      <c r="B12" s="6"/>
      <c r="C12" s="6"/>
      <c r="D12" s="6"/>
      <c r="E12" s="6"/>
      <c r="F12" s="6"/>
      <c r="G12" s="6"/>
      <c r="H12" s="6"/>
      <c r="I12" s="498"/>
    </row>
    <row r="14" spans="1:13" s="25" customFormat="1" ht="21.75" customHeight="1" x14ac:dyDescent="0.2">
      <c r="A14" s="635" t="s">
        <v>206</v>
      </c>
      <c r="B14" s="636"/>
      <c r="C14" s="509" t="s">
        <v>207</v>
      </c>
      <c r="D14" s="635" t="s">
        <v>211</v>
      </c>
      <c r="E14" s="636"/>
      <c r="F14" s="509" t="s">
        <v>213</v>
      </c>
      <c r="G14" s="635" t="s">
        <v>214</v>
      </c>
      <c r="H14" s="636"/>
      <c r="I14" s="509" t="s">
        <v>212</v>
      </c>
      <c r="K14" s="37"/>
    </row>
    <row r="15" spans="1:13" s="25" customFormat="1" ht="24" customHeight="1" x14ac:dyDescent="0.2">
      <c r="A15" s="512">
        <v>2170</v>
      </c>
      <c r="B15" s="513"/>
      <c r="C15" s="520" t="s">
        <v>291</v>
      </c>
      <c r="D15" s="637" t="s">
        <v>223</v>
      </c>
      <c r="E15" s="637"/>
      <c r="F15" s="511"/>
      <c r="G15" s="629"/>
      <c r="H15" s="629"/>
      <c r="I15" s="395">
        <f>F15-G15</f>
        <v>0</v>
      </c>
      <c r="K15" s="519" t="s">
        <v>292</v>
      </c>
      <c r="L15" s="518"/>
      <c r="M15" s="518"/>
    </row>
    <row r="16" spans="1:13" s="25" customFormat="1" ht="14.25" customHeight="1" x14ac:dyDescent="0.2">
      <c r="A16" s="514"/>
      <c r="B16" s="515"/>
      <c r="C16" s="521" t="s">
        <v>208</v>
      </c>
      <c r="D16" s="499" t="s">
        <v>203</v>
      </c>
      <c r="E16" s="499"/>
      <c r="F16" s="511"/>
      <c r="G16" s="628"/>
      <c r="H16" s="628"/>
      <c r="I16" s="395">
        <f t="shared" ref="I16:I24" si="0">F16-G16</f>
        <v>0</v>
      </c>
      <c r="K16" s="37"/>
    </row>
    <row r="17" spans="1:11" s="25" customFormat="1" ht="14.25" customHeight="1" x14ac:dyDescent="0.2">
      <c r="A17" s="514"/>
      <c r="B17" s="515"/>
      <c r="C17" s="521" t="s">
        <v>217</v>
      </c>
      <c r="D17" s="499" t="s">
        <v>215</v>
      </c>
      <c r="E17" s="499"/>
      <c r="F17" s="511"/>
      <c r="G17" s="628"/>
      <c r="H17" s="628"/>
      <c r="I17" s="395">
        <f t="shared" si="0"/>
        <v>0</v>
      </c>
      <c r="K17" s="37"/>
    </row>
    <row r="18" spans="1:11" s="25" customFormat="1" ht="25.5" x14ac:dyDescent="0.2">
      <c r="A18" s="514"/>
      <c r="B18" s="515"/>
      <c r="C18" s="521" t="s">
        <v>218</v>
      </c>
      <c r="D18" s="499" t="s">
        <v>216</v>
      </c>
      <c r="E18" s="499"/>
      <c r="F18" s="511"/>
      <c r="G18" s="628"/>
      <c r="H18" s="628"/>
      <c r="I18" s="395">
        <f t="shared" si="0"/>
        <v>0</v>
      </c>
      <c r="K18" s="519" t="s">
        <v>290</v>
      </c>
    </row>
    <row r="19" spans="1:11" s="25" customFormat="1" ht="14.25" customHeight="1" x14ac:dyDescent="0.2">
      <c r="A19" s="514"/>
      <c r="B19" s="515"/>
      <c r="C19" s="521" t="s">
        <v>219</v>
      </c>
      <c r="D19" s="499" t="s">
        <v>221</v>
      </c>
      <c r="E19" s="499"/>
      <c r="F19" s="510"/>
      <c r="G19" s="629"/>
      <c r="H19" s="629"/>
      <c r="I19" s="395">
        <f t="shared" si="0"/>
        <v>0</v>
      </c>
      <c r="K19" s="37"/>
    </row>
    <row r="20" spans="1:11" s="25" customFormat="1" ht="14.25" customHeight="1" x14ac:dyDescent="0.2">
      <c r="A20" s="514"/>
      <c r="B20" s="515"/>
      <c r="C20" s="521" t="s">
        <v>224</v>
      </c>
      <c r="D20" s="499" t="s">
        <v>225</v>
      </c>
      <c r="E20" s="499"/>
      <c r="F20" s="510"/>
      <c r="G20" s="629"/>
      <c r="H20" s="629"/>
      <c r="I20" s="395">
        <f t="shared" si="0"/>
        <v>0</v>
      </c>
      <c r="K20" s="37"/>
    </row>
    <row r="21" spans="1:11" s="25" customFormat="1" ht="14.25" customHeight="1" x14ac:dyDescent="0.2">
      <c r="A21" s="516"/>
      <c r="B21" s="517"/>
      <c r="C21" s="521" t="s">
        <v>220</v>
      </c>
      <c r="D21" s="499" t="s">
        <v>222</v>
      </c>
      <c r="E21" s="499"/>
      <c r="F21" s="510"/>
      <c r="G21" s="629"/>
      <c r="H21" s="629"/>
      <c r="I21" s="395">
        <f t="shared" si="0"/>
        <v>0</v>
      </c>
      <c r="K21" s="37"/>
    </row>
    <row r="22" spans="1:11" s="127" customFormat="1" ht="6" customHeight="1" x14ac:dyDescent="0.2">
      <c r="A22" s="500"/>
      <c r="B22" s="500"/>
      <c r="C22" s="522"/>
      <c r="D22" s="122"/>
      <c r="E22" s="122"/>
      <c r="F22" s="465"/>
      <c r="G22" s="466"/>
      <c r="H22" s="466"/>
      <c r="I22" s="467"/>
      <c r="K22" s="464"/>
    </row>
    <row r="23" spans="1:11" s="25" customFormat="1" ht="14.25" customHeight="1" x14ac:dyDescent="0.2">
      <c r="A23" s="630">
        <v>9610</v>
      </c>
      <c r="B23" s="631"/>
      <c r="C23" s="521" t="s">
        <v>209</v>
      </c>
      <c r="D23" s="499" t="s">
        <v>204</v>
      </c>
      <c r="E23" s="499"/>
      <c r="F23" s="511"/>
      <c r="G23" s="628"/>
      <c r="H23" s="628"/>
      <c r="I23" s="395">
        <f t="shared" si="0"/>
        <v>0</v>
      </c>
      <c r="K23" s="37"/>
    </row>
    <row r="24" spans="1:11" s="25" customFormat="1" ht="14.25" customHeight="1" x14ac:dyDescent="0.2">
      <c r="A24" s="632"/>
      <c r="B24" s="633"/>
      <c r="C24" s="521" t="s">
        <v>210</v>
      </c>
      <c r="D24" s="499" t="s">
        <v>205</v>
      </c>
      <c r="E24" s="499"/>
      <c r="F24" s="511"/>
      <c r="G24" s="628"/>
      <c r="H24" s="628"/>
      <c r="I24" s="395">
        <f t="shared" si="0"/>
        <v>0</v>
      </c>
      <c r="K24" s="37"/>
    </row>
    <row r="26" spans="1:11" s="25" customFormat="1" ht="6" customHeight="1" thickBot="1" x14ac:dyDescent="0.25">
      <c r="B26" s="127"/>
      <c r="C26" s="127"/>
      <c r="D26" s="127"/>
      <c r="E26" s="127"/>
      <c r="K26" s="37"/>
    </row>
    <row r="27" spans="1:11" s="25" customFormat="1" ht="16.5" customHeight="1" thickBot="1" x14ac:dyDescent="0.3">
      <c r="A27" s="5" t="s">
        <v>284</v>
      </c>
      <c r="B27" s="6"/>
      <c r="C27" s="6"/>
      <c r="D27" s="6"/>
      <c r="E27" s="6"/>
      <c r="F27" s="6"/>
      <c r="G27" s="6"/>
      <c r="H27" s="6"/>
      <c r="I27" s="498"/>
      <c r="K27" s="37"/>
    </row>
    <row r="28" spans="1:11" s="25" customFormat="1" ht="14.25" customHeight="1" x14ac:dyDescent="0.2">
      <c r="J28"/>
      <c r="K28" s="37"/>
    </row>
    <row r="29" spans="1:11" s="25" customFormat="1" ht="25.5" x14ac:dyDescent="0.2">
      <c r="A29" s="591" t="s">
        <v>229</v>
      </c>
      <c r="B29" s="591"/>
      <c r="C29" s="591"/>
      <c r="D29" s="634" t="s">
        <v>202</v>
      </c>
      <c r="E29" s="634"/>
      <c r="F29" s="509" t="s">
        <v>227</v>
      </c>
      <c r="G29" s="394" t="s">
        <v>226</v>
      </c>
      <c r="H29" s="396"/>
      <c r="J29"/>
      <c r="K29" s="37"/>
    </row>
    <row r="30" spans="1:11" s="25" customFormat="1" ht="14.25" customHeight="1" x14ac:dyDescent="0.2">
      <c r="A30" s="624" t="s">
        <v>201</v>
      </c>
      <c r="B30" s="624"/>
      <c r="C30" s="624"/>
      <c r="D30" s="625" t="e">
        <f>'zusätzliche Angaben'!O82</f>
        <v>#N/A</v>
      </c>
      <c r="E30" s="625"/>
      <c r="F30" s="508">
        <f>I16</f>
        <v>0</v>
      </c>
      <c r="G30" s="626" t="e">
        <f>D30-F30</f>
        <v>#N/A</v>
      </c>
      <c r="H30" s="627"/>
      <c r="J30"/>
      <c r="K30" s="37"/>
    </row>
    <row r="31" spans="1:11" s="25" customFormat="1" ht="14.25" customHeight="1" x14ac:dyDescent="0.2">
      <c r="A31" s="624" t="s">
        <v>133</v>
      </c>
      <c r="B31" s="624"/>
      <c r="C31" s="624"/>
      <c r="D31" s="625" t="e">
        <f>'zusätzliche Angaben'!O83</f>
        <v>#N/A</v>
      </c>
      <c r="E31" s="625"/>
      <c r="F31" s="508">
        <f>I23+I24</f>
        <v>0</v>
      </c>
      <c r="G31" s="626" t="e">
        <f>D31-F31</f>
        <v>#N/A</v>
      </c>
      <c r="H31" s="627"/>
      <c r="J31"/>
      <c r="K31" s="37"/>
    </row>
    <row r="32" spans="1:11" s="25" customFormat="1" ht="14.25" customHeight="1" x14ac:dyDescent="0.2">
      <c r="A32" s="624" t="s">
        <v>134</v>
      </c>
      <c r="B32" s="624"/>
      <c r="C32" s="624"/>
      <c r="D32" s="625" t="e">
        <f>'zusätzliche Angaben'!O84</f>
        <v>#N/A</v>
      </c>
      <c r="E32" s="625"/>
      <c r="F32" s="508">
        <f>I15-SUM(I16:I21)</f>
        <v>0</v>
      </c>
      <c r="G32" s="626" t="e">
        <f>D32-F32</f>
        <v>#N/A</v>
      </c>
      <c r="H32" s="627"/>
      <c r="K32" s="37"/>
    </row>
    <row r="33" spans="1:11" s="25" customFormat="1" ht="14.25" customHeight="1" x14ac:dyDescent="0.2">
      <c r="B33" s="52"/>
      <c r="C33" s="387"/>
      <c r="D33" s="387"/>
      <c r="E33" s="175"/>
      <c r="K33" s="37"/>
    </row>
    <row r="34" spans="1:11" s="25" customFormat="1" ht="5.25" customHeight="1" x14ac:dyDescent="0.2">
      <c r="A34" s="502"/>
      <c r="B34" s="501"/>
      <c r="C34" s="501"/>
      <c r="D34" s="389"/>
      <c r="E34" s="389"/>
      <c r="F34" s="389"/>
      <c r="G34" s="389"/>
      <c r="H34" s="390"/>
      <c r="K34" s="37"/>
    </row>
    <row r="35" spans="1:11" s="25" customFormat="1" ht="14.25" customHeight="1" x14ac:dyDescent="0.2">
      <c r="A35" s="503" t="s">
        <v>228</v>
      </c>
      <c r="B35" s="388"/>
      <c r="C35" s="388"/>
      <c r="D35" s="388"/>
      <c r="E35" s="388"/>
      <c r="F35" s="388"/>
      <c r="G35" s="388" t="e">
        <f>IF(SUM(G30:G32)&gt;0,SUM(G30:G32),0)</f>
        <v>#N/A</v>
      </c>
      <c r="H35" s="393"/>
      <c r="K35" s="37"/>
    </row>
    <row r="36" spans="1:11" s="25" customFormat="1" ht="5.25" customHeight="1" x14ac:dyDescent="0.2">
      <c r="A36" s="504"/>
      <c r="B36" s="505"/>
      <c r="C36" s="505"/>
      <c r="D36" s="391"/>
      <c r="E36" s="391"/>
      <c r="F36" s="391"/>
      <c r="G36" s="391"/>
      <c r="H36" s="392"/>
      <c r="K36" s="37"/>
    </row>
    <row r="37" spans="1:11" s="25" customFormat="1" ht="14.25" customHeight="1" x14ac:dyDescent="0.2">
      <c r="B37" s="127"/>
      <c r="C37" s="127"/>
      <c r="D37" s="127"/>
      <c r="E37" s="127"/>
      <c r="G37" s="386"/>
      <c r="K37" s="37"/>
    </row>
    <row r="38" spans="1:11" s="25" customFormat="1" ht="6" customHeight="1" x14ac:dyDescent="0.2">
      <c r="B38" s="127"/>
      <c r="C38" s="127"/>
      <c r="D38" s="127"/>
      <c r="E38" s="127"/>
      <c r="G38" s="386"/>
      <c r="K38" s="37"/>
    </row>
    <row r="39" spans="1:11" s="25" customFormat="1" ht="14.25" customHeight="1" x14ac:dyDescent="0.2">
      <c r="A39" s="280" t="s">
        <v>169</v>
      </c>
      <c r="B39" s="127"/>
      <c r="C39" s="127"/>
      <c r="D39" s="127"/>
      <c r="E39" s="127"/>
      <c r="G39" s="386"/>
      <c r="K39" s="37"/>
    </row>
    <row r="40" spans="1:11" s="25" customFormat="1" ht="179.25" customHeight="1" x14ac:dyDescent="0.2">
      <c r="A40" s="622"/>
      <c r="B40" s="623"/>
      <c r="C40" s="623"/>
      <c r="D40" s="623"/>
      <c r="E40" s="623"/>
      <c r="F40" s="623"/>
      <c r="G40" s="623"/>
      <c r="H40" s="623"/>
      <c r="I40" s="623"/>
    </row>
    <row r="41" spans="1:11" s="25" customFormat="1" ht="14.25" customHeight="1" x14ac:dyDescent="0.2">
      <c r="B41" s="127"/>
      <c r="C41" s="127"/>
      <c r="D41" s="127"/>
      <c r="E41" s="127"/>
      <c r="G41" s="386"/>
    </row>
    <row r="42" spans="1:11" s="25" customFormat="1" ht="14.25" customHeight="1" x14ac:dyDescent="0.2">
      <c r="B42" s="127"/>
      <c r="C42" s="127"/>
      <c r="D42" s="127"/>
      <c r="E42" s="127"/>
      <c r="G42" s="386"/>
    </row>
    <row r="43" spans="1:11" s="25" customFormat="1" ht="14.25" customHeight="1" x14ac:dyDescent="0.2">
      <c r="B43" s="127"/>
      <c r="C43" s="127"/>
      <c r="D43" s="127"/>
      <c r="E43" s="127"/>
      <c r="G43" s="386"/>
    </row>
    <row r="44" spans="1:11" s="25" customFormat="1" ht="14.25" customHeight="1" x14ac:dyDescent="0.2">
      <c r="B44" s="127"/>
      <c r="C44" s="127"/>
      <c r="D44" s="127"/>
      <c r="E44" s="127"/>
      <c r="G44" s="386"/>
    </row>
    <row r="45" spans="1:11" s="25" customFormat="1" ht="14.25" customHeight="1" x14ac:dyDescent="0.2">
      <c r="B45" s="127"/>
      <c r="C45" s="127"/>
      <c r="D45" s="127"/>
      <c r="E45" s="127"/>
      <c r="G45" s="386"/>
    </row>
    <row r="46" spans="1:11" s="25" customFormat="1" ht="14.25" customHeight="1" x14ac:dyDescent="0.2">
      <c r="B46" s="127"/>
      <c r="C46" s="127"/>
      <c r="D46" s="127"/>
      <c r="E46" s="127"/>
      <c r="G46" s="386"/>
    </row>
    <row r="47" spans="1:11" s="25" customFormat="1" ht="14.25" customHeight="1" x14ac:dyDescent="0.2">
      <c r="B47" s="127"/>
      <c r="C47" s="127"/>
      <c r="D47" s="127"/>
      <c r="E47" s="127"/>
      <c r="G47" s="386"/>
    </row>
    <row r="48" spans="1:11" s="25" customFormat="1" ht="14.25" customHeight="1" x14ac:dyDescent="0.2">
      <c r="B48" s="127"/>
      <c r="C48" s="127"/>
      <c r="D48" s="127"/>
      <c r="E48" s="127"/>
    </row>
    <row r="49" spans="2:5" s="25" customFormat="1" ht="14.25" customHeight="1" x14ac:dyDescent="0.2">
      <c r="B49" s="127"/>
      <c r="C49" s="127"/>
      <c r="D49" s="127"/>
      <c r="E49" s="127"/>
    </row>
    <row r="51" spans="2:5" x14ac:dyDescent="0.2">
      <c r="B51" s="25"/>
      <c r="C51" s="25"/>
      <c r="D51" s="25"/>
      <c r="E51" s="25"/>
    </row>
    <row r="52" spans="2:5" x14ac:dyDescent="0.2">
      <c r="B52" s="25"/>
      <c r="C52" s="25"/>
      <c r="D52" s="25"/>
      <c r="E52" s="25"/>
    </row>
    <row r="53" spans="2:5" x14ac:dyDescent="0.2">
      <c r="B53" s="25"/>
      <c r="C53" s="25"/>
      <c r="D53" s="25"/>
      <c r="E53" s="25"/>
    </row>
    <row r="54" spans="2:5" x14ac:dyDescent="0.2">
      <c r="B54" s="25"/>
      <c r="C54" s="25"/>
      <c r="D54" s="25"/>
      <c r="E54" s="25"/>
    </row>
    <row r="55" spans="2:5" x14ac:dyDescent="0.2">
      <c r="B55" s="25"/>
      <c r="C55" s="25"/>
      <c r="D55" s="25"/>
      <c r="E55" s="25"/>
    </row>
  </sheetData>
  <sheetProtection algorithmName="SHA-512" hashValue="ZFHsjaGW13vGcEKaaO4jLnVrFBQq3yO/Vn3WcJSbS/lzV/vyqzpWGhh4CvD9kJ9ZQu+ulvVq3tspaHsmc6bX1g==" saltValue="sfwzkZGYepiGGAc/QtIzPQ==" spinCount="100000" sheet="1" objects="1" scenarios="1"/>
  <mergeCells count="26">
    <mergeCell ref="A14:B14"/>
    <mergeCell ref="D14:E14"/>
    <mergeCell ref="G14:H14"/>
    <mergeCell ref="D15:E15"/>
    <mergeCell ref="G15:H15"/>
    <mergeCell ref="A30:C30"/>
    <mergeCell ref="D30:E30"/>
    <mergeCell ref="G30:H30"/>
    <mergeCell ref="G16:H16"/>
    <mergeCell ref="G17:H17"/>
    <mergeCell ref="G18:H18"/>
    <mergeCell ref="G19:H19"/>
    <mergeCell ref="G20:H20"/>
    <mergeCell ref="G21:H21"/>
    <mergeCell ref="A23:B24"/>
    <mergeCell ref="G23:H23"/>
    <mergeCell ref="G24:H24"/>
    <mergeCell ref="A29:C29"/>
    <mergeCell ref="D29:E29"/>
    <mergeCell ref="A40:I40"/>
    <mergeCell ref="A31:C31"/>
    <mergeCell ref="D31:E31"/>
    <mergeCell ref="G31:H31"/>
    <mergeCell ref="A32:C32"/>
    <mergeCell ref="D32:E32"/>
    <mergeCell ref="G32:H32"/>
  </mergeCells>
  <printOptions horizontalCentered="1"/>
  <pageMargins left="0.19685039370078741" right="0.19685039370078741" top="0.98425196850393704" bottom="0.39370078740157483" header="0.19685039370078741" footer="0.19685039370078741"/>
  <pageSetup paperSize="9" scale="93" fitToHeight="0" orientation="portrait" r:id="rId1"/>
  <headerFooter scaleWithDoc="0">
    <oddHeader>&amp;L&amp;"Arial,Fett"Amt für Volksschule&amp;"Arial,Standard"
Finanzen&amp;R
&amp;G</oddHeader>
    <oddFooter>&amp;L&amp;8&amp;F/AVKFIN
Druck: &amp;D/&amp;T
&amp;R&amp;8&amp;A
&amp;P/&amp;N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2"/>
  <sheetViews>
    <sheetView showGridLines="0" workbookViewId="0">
      <pane ySplit="5" topLeftCell="A15" activePane="bottomLeft" state="frozen"/>
      <selection pane="bottomLeft" activeCell="A53" sqref="A53"/>
    </sheetView>
  </sheetViews>
  <sheetFormatPr baseColWidth="10" defaultColWidth="11.42578125" defaultRowHeight="12.75" x14ac:dyDescent="0.2"/>
  <cols>
    <col min="1" max="1" width="11.7109375" style="352" customWidth="1"/>
    <col min="2" max="2" width="77" style="345" customWidth="1"/>
    <col min="3" max="16384" width="11.42578125" style="345"/>
  </cols>
  <sheetData>
    <row r="1" spans="1:2" ht="19.5" x14ac:dyDescent="0.3">
      <c r="A1" s="344" t="s">
        <v>189</v>
      </c>
    </row>
    <row r="2" spans="1:2" ht="19.5" x14ac:dyDescent="0.3">
      <c r="A2" s="344" t="s">
        <v>126</v>
      </c>
    </row>
    <row r="3" spans="1:2" x14ac:dyDescent="0.2">
      <c r="A3" s="346"/>
    </row>
    <row r="4" spans="1:2" x14ac:dyDescent="0.2">
      <c r="A4" s="346"/>
    </row>
    <row r="5" spans="1:2" ht="15.75" x14ac:dyDescent="0.25">
      <c r="A5" s="347" t="s">
        <v>190</v>
      </c>
      <c r="B5" s="348" t="s">
        <v>191</v>
      </c>
    </row>
    <row r="6" spans="1:2" s="351" customFormat="1" ht="15.75" x14ac:dyDescent="0.25">
      <c r="A6" s="349"/>
      <c r="B6" s="350"/>
    </row>
    <row r="7" spans="1:2" x14ac:dyDescent="0.2">
      <c r="A7" s="397">
        <v>43693</v>
      </c>
      <c r="B7" s="432" t="s">
        <v>243</v>
      </c>
    </row>
    <row r="8" spans="1:2" x14ac:dyDescent="0.2">
      <c r="A8" s="353"/>
      <c r="B8" s="354"/>
    </row>
    <row r="10" spans="1:2" x14ac:dyDescent="0.2">
      <c r="A10" s="397">
        <v>43710</v>
      </c>
      <c r="B10" s="432" t="s">
        <v>246</v>
      </c>
    </row>
    <row r="11" spans="1:2" x14ac:dyDescent="0.2">
      <c r="A11" s="353"/>
      <c r="B11" s="354"/>
    </row>
    <row r="13" spans="1:2" x14ac:dyDescent="0.2">
      <c r="A13" s="397">
        <v>43754</v>
      </c>
      <c r="B13" s="432" t="s">
        <v>247</v>
      </c>
    </row>
    <row r="14" spans="1:2" x14ac:dyDescent="0.2">
      <c r="A14" s="353"/>
      <c r="B14" s="354"/>
    </row>
    <row r="16" spans="1:2" x14ac:dyDescent="0.2">
      <c r="A16" s="397">
        <v>43816</v>
      </c>
      <c r="B16" s="435" t="s">
        <v>252</v>
      </c>
    </row>
    <row r="17" spans="1:2" x14ac:dyDescent="0.2">
      <c r="A17" s="353"/>
      <c r="B17" s="354"/>
    </row>
    <row r="19" spans="1:2" x14ac:dyDescent="0.2">
      <c r="A19" s="397">
        <v>43868</v>
      </c>
      <c r="B19" s="468" t="s">
        <v>254</v>
      </c>
    </row>
    <row r="20" spans="1:2" x14ac:dyDescent="0.2">
      <c r="A20" s="353"/>
      <c r="B20" s="354"/>
    </row>
    <row r="22" spans="1:2" ht="51" x14ac:dyDescent="0.2">
      <c r="A22" s="397">
        <v>43976</v>
      </c>
      <c r="B22" s="432" t="s">
        <v>255</v>
      </c>
    </row>
    <row r="23" spans="1:2" x14ac:dyDescent="0.2">
      <c r="A23" s="353"/>
      <c r="B23" s="354"/>
    </row>
    <row r="25" spans="1:2" x14ac:dyDescent="0.2">
      <c r="A25" s="397">
        <v>44181</v>
      </c>
      <c r="B25" s="435" t="s">
        <v>258</v>
      </c>
    </row>
    <row r="26" spans="1:2" x14ac:dyDescent="0.2">
      <c r="A26" s="353"/>
      <c r="B26" s="354"/>
    </row>
    <row r="28" spans="1:2" x14ac:dyDescent="0.2">
      <c r="A28" s="397">
        <v>44427</v>
      </c>
      <c r="B28" s="468" t="s">
        <v>282</v>
      </c>
    </row>
    <row r="29" spans="1:2" x14ac:dyDescent="0.2">
      <c r="A29" s="353"/>
      <c r="B29" s="354"/>
    </row>
    <row r="31" spans="1:2" x14ac:dyDescent="0.2">
      <c r="A31" s="397">
        <v>44544</v>
      </c>
      <c r="B31" s="435" t="s">
        <v>289</v>
      </c>
    </row>
    <row r="32" spans="1:2" x14ac:dyDescent="0.2">
      <c r="A32" s="353"/>
      <c r="B32" s="354"/>
    </row>
    <row r="34" spans="1:2" x14ac:dyDescent="0.2">
      <c r="A34" s="397">
        <v>44834</v>
      </c>
      <c r="B34" s="435" t="s">
        <v>294</v>
      </c>
    </row>
    <row r="35" spans="1:2" x14ac:dyDescent="0.2">
      <c r="A35" s="353"/>
      <c r="B35" s="354"/>
    </row>
    <row r="37" spans="1:2" x14ac:dyDescent="0.2">
      <c r="A37" s="397">
        <v>44916</v>
      </c>
      <c r="B37" s="435" t="s">
        <v>296</v>
      </c>
    </row>
    <row r="38" spans="1:2" x14ac:dyDescent="0.2">
      <c r="A38" s="353"/>
      <c r="B38" s="354"/>
    </row>
    <row r="40" spans="1:2" x14ac:dyDescent="0.2">
      <c r="A40" s="397">
        <v>44953</v>
      </c>
      <c r="B40" s="435" t="s">
        <v>302</v>
      </c>
    </row>
    <row r="41" spans="1:2" x14ac:dyDescent="0.2">
      <c r="A41" s="397"/>
      <c r="B41" s="435" t="s">
        <v>303</v>
      </c>
    </row>
    <row r="42" spans="1:2" x14ac:dyDescent="0.2">
      <c r="A42" s="353"/>
      <c r="B42" s="354"/>
    </row>
    <row r="44" spans="1:2" x14ac:dyDescent="0.2">
      <c r="A44" s="548">
        <v>44985</v>
      </c>
      <c r="B44" s="435" t="s">
        <v>308</v>
      </c>
    </row>
    <row r="45" spans="1:2" x14ac:dyDescent="0.2">
      <c r="A45" s="353"/>
      <c r="B45" s="354"/>
    </row>
    <row r="47" spans="1:2" x14ac:dyDescent="0.2">
      <c r="A47" s="548">
        <v>45098</v>
      </c>
      <c r="B47" s="435" t="s">
        <v>312</v>
      </c>
    </row>
    <row r="48" spans="1:2" x14ac:dyDescent="0.2">
      <c r="A48" s="548"/>
      <c r="B48" s="435" t="s">
        <v>313</v>
      </c>
    </row>
    <row r="49" spans="1:2" x14ac:dyDescent="0.2">
      <c r="A49" s="353"/>
      <c r="B49" s="354"/>
    </row>
    <row r="51" spans="1:2" x14ac:dyDescent="0.2">
      <c r="A51" s="397">
        <v>45273</v>
      </c>
      <c r="B51" s="435" t="s">
        <v>315</v>
      </c>
    </row>
    <row r="52" spans="1:2" x14ac:dyDescent="0.2">
      <c r="A52" s="353"/>
      <c r="B52" s="354"/>
    </row>
  </sheetData>
  <sheetProtection algorithmName="SHA-512" hashValue="BDvpNtFhOEd+JwfmanuqwBMbzumlOGp667q2Akh7lVA8u8zhf45stOFtKZx3mFKnaoLZ1YIv6NEBrSN7FT66dw==" saltValue="w3qVuv+NgPMaAFOHpquX0A==" spinCount="100000" sheet="1"/>
  <printOptions horizontalCentered="1"/>
  <pageMargins left="0.19685039370078741" right="0.19685039370078741" top="0.59055118110236227" bottom="0.39370078740157483" header="0.51181102362204722" footer="0.19685039370078741"/>
  <pageSetup paperSize="9" orientation="portrait" r:id="rId1"/>
  <headerFooter alignWithMargins="0">
    <oddFooter>&amp;L&amp;8&amp;F/AVKFIN
Druck: &amp;D/&amp;T&amp;R&amp;8&amp;A
&amp;P/&amp;N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catsources="">
  <f:record>
    <f:field ref="doc_FSCFOLIO_1_1001_FieldDocumentNumber" text=""/>
    <f:field ref="doc_FSCFOLIO_1_1001_FieldSubject" text="" edit="true"/>
    <f:field ref="FSCFOLIO_1_1001_SignaturesFldCtx_FSCFOLIO_1_1001_FieldLastSignature" text=""/>
    <f:field ref="FSCFOLIO_1_1001_SignaturesFldCtx_FSCFOLIO_1_1001_FieldLastSignatureBy" text=""/>
    <f:field ref="FSCFOLIO_1_1001_SignaturesFldCtx_FSCFOLIO_1_1001_FieldLastSignatureAt" date="" text=""/>
    <f:field ref="FSCFOLIO_1_1001_SignaturesFldCtx_FSCFOLIO_1_1001_FieldLastSignatureRemark" text=""/>
    <f:field ref="FSCFOLIO_1_1001_FieldCurrentUser" text="Roberto Tropea"/>
    <f:field ref="FSCFOLIO_1_1001_FieldCurrentDate" text="09.08.2024 09:29"/>
    <f:field ref="CCAPRECONFIG_15_1001_Objektname" text="Berechnung Beitragsleistungen Schulgemeinden_13.12.23" edit="true"/>
    <f:field ref="objname" text="Berechnung Beitragsleistungen Schulgemeinden_13.12.23" edit="true"/>
    <f:field ref="objsubject" text="" edit="true"/>
    <f:field ref="objcreatedby" text="Tropea, Roberto"/>
    <f:field ref="objcreatedat" date="2023-06-20T11:54:17" text="20.06.2023 11:54:17"/>
    <f:field ref="objchangedby" text="Tropea, Roberto"/>
    <f:field ref="objmodifiedat" date="2024-08-09T09:28:18" text="09.08.2024 09:28:18"/>
  </f:record>
  <f:display text="Serienbrief">
    <f:field ref="doc_FSCFOLIO_1_1001_FieldDocumentNumber" text="Dokument Nummer"/>
    <f:field ref="doc_FSCFOLIO_1_1001_FieldSubject" text="Betreff"/>
  </f:display>
  <f:display text="Unterschriften">
    <f:field ref="FSCFOLIO_1_1001_SignaturesFldCtx_FSCFOLIO_1_1001_FieldLastSignature" text="Letzte Unterschrift"/>
    <f:field ref="FSCFOLIO_1_1001_SignaturesFldCtx_FSCFOLIO_1_1001_FieldLastSignatureBy" text="Letzte Unterschrift von"/>
    <f:field ref="FSCFOLIO_1_1001_SignaturesFldCtx_FSCFOLIO_1_1001_FieldLastSignatureAt" text="Letzte Unterschrift am/um"/>
    <f:field ref="FSCFOLIO_1_1001_SignaturesFldCtx_FSCFOLIO_1_1001_FieldLastSignatureRemark" text="Bemerkung der letzten Unterschrift"/>
  </f:display>
  <f:display text="Allgemein">
    <f:field ref="FSCFOLIO_1_1001_FieldCurrentUser" text="Aktueller Benutzer"/>
    <f:field ref="FSCFOLIO_1_1001_FieldCurrentDate" text="Aktueller Zeitpunkt"/>
    <f:field ref="CCAPRECONFIG_15_1001_Objektname" text="Objektname"/>
    <f:field ref="objname" text="Name"/>
    <f:field ref="objsubject" text="Objektbetreff"/>
    <f:field ref="objcreatedby" text="Erzeugt von"/>
    <f:field ref="objcreatedat" text="Erzeugt am/um"/>
    <f:field ref="objchangedby" text="Letzte Änderung von"/>
    <f:field ref="objmodifiedat" text="Letzte Änderung am/um"/>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5</vt:i4>
      </vt:variant>
    </vt:vector>
  </HeadingPairs>
  <TitlesOfParts>
    <vt:vector size="13" baseType="lpstr">
      <vt:lpstr>HINWEISE</vt:lpstr>
      <vt:lpstr>Berechnungshilfe</vt:lpstr>
      <vt:lpstr>Zuschlag so.päd. Massnahmen</vt:lpstr>
      <vt:lpstr>zusätzliche Angaben</vt:lpstr>
      <vt:lpstr>Ableich Beitragsystem-Effektiv</vt:lpstr>
      <vt:lpstr>Hilfetabelle</vt:lpstr>
      <vt:lpstr>Einlagepotenz. Erneuerungsfonds</vt:lpstr>
      <vt:lpstr>Änderungsprotokoll</vt:lpstr>
      <vt:lpstr>Berechnungshilfe!Druckbereich</vt:lpstr>
      <vt:lpstr>'Einlagepotenz. Erneuerungsfonds'!Druckbereich</vt:lpstr>
      <vt:lpstr>'Ableich Beitragsystem-Effektiv'!Drucktitel</vt:lpstr>
      <vt:lpstr>Berechnungshilfe!Drucktitel</vt:lpstr>
      <vt:lpstr>'zusätzliche Angaben'!Drucktitel</vt:lpstr>
    </vt:vector>
  </TitlesOfParts>
  <Company>Kanton Thurgau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Geisser Robin</dc:creator>
  <cp:lastModifiedBy>Roberto Tropea</cp:lastModifiedBy>
  <cp:lastPrinted>2024-03-20T08:37:10Z</cp:lastPrinted>
  <dcterms:created xsi:type="dcterms:W3CDTF">2006-04-10T09:45:06Z</dcterms:created>
  <dcterms:modified xsi:type="dcterms:W3CDTF">2024-08-09T09:28:17Z</dcterms:modified>
</cp:coreProperties>
</file>

<file path=docProps/custom.xml><?xml version="1.0" encoding="utf-8"?>
<Properties xmlns="http://schemas.openxmlformats.org/officeDocument/2006/custom-properties" xmlns:vt="http://schemas.openxmlformats.org/officeDocument/2006/docPropsVTypes">
  <property name="FSC#FSCIBIS@15.1400:TopLevelSubfileAddress" pid="2" fmtid="{D5CDD505-2E9C-101B-9397-08002B2CF9AE}">
    <vt:lpwstr>COO.2103.100.7.1725799</vt:lpwstr>
  </property>
  <property name="FSC#COOELAK@1.1001:ObjectAddressees" pid="3" fmtid="{D5CDD505-2E9C-101B-9397-08002B2CF9AE}">
    <vt:lpwstr/>
  </property>
  <property name="FSC#LOCALSW@2103.100:BarCodeDossierRef" pid="4" fmtid="{D5CDD505-2E9C-101B-9397-08002B2CF9AE}">
    <vt:lpwstr/>
  </property>
  <property name="FSC#LOCALSW@2103.100:BarCodeTopLevelDossierTitel" pid="5" fmtid="{D5CDD505-2E9C-101B-9397-08002B2CF9AE}">
    <vt:lpwstr/>
  </property>
  <property name="FSC#LOCALSW@2103.100:BarCodeTopLevelDossierName" pid="6" fmtid="{D5CDD505-2E9C-101B-9397-08002B2CF9AE}">
    <vt:lpwstr/>
  </property>
  <property name="FSC#LOCALSW@2103.100:BarCodeTitleSubFile" pid="7" fmtid="{D5CDD505-2E9C-101B-9397-08002B2CF9AE}">
    <vt:lpwstr/>
  </property>
  <property name="FSC#LOCALSW@2103.100:BarCodeTopLevelSubfileTitle" pid="8" fmtid="{D5CDD505-2E9C-101B-9397-08002B2CF9AE}">
    <vt:lpwstr/>
  </property>
  <property name="FSC#FSCIBISDOCPROPS@15.1400:BGMDiagnoseDetail" pid="9" fmtid="{D5CDD505-2E9C-101B-9397-08002B2CF9AE}">
    <vt:lpwstr> </vt:lpwstr>
  </property>
  <property name="FSC#FSCIBISDOCPROPS@15.1400:BMGDiagnoseAdd" pid="10" fmtid="{D5CDD505-2E9C-101B-9397-08002B2CF9AE}">
    <vt:lpwstr> </vt:lpwstr>
  </property>
  <property name="FSC#FSCIBISDOCPROPS@15.1400:BGMDiagnose" pid="11" fmtid="{D5CDD505-2E9C-101B-9397-08002B2CF9AE}">
    <vt:lpwstr> </vt:lpwstr>
  </property>
  <property name="FSC#FSCIBISDOCPROPS@15.1400:BGMBirthday" pid="12" fmtid="{D5CDD505-2E9C-101B-9397-08002B2CF9AE}">
    <vt:lpwstr> </vt:lpwstr>
  </property>
  <property name="FSC#FSCIBISDOCPROPS@15.1400:BGMZIP" pid="13" fmtid="{D5CDD505-2E9C-101B-9397-08002B2CF9AE}">
    <vt:lpwstr> </vt:lpwstr>
  </property>
  <property name="FSC#FSCIBISDOCPROPS@15.1400:BGMFirstName" pid="14" fmtid="{D5CDD505-2E9C-101B-9397-08002B2CF9AE}">
    <vt:lpwstr> </vt:lpwstr>
  </property>
  <property name="FSC#FSCIBISDOCPROPS@15.1400:BGMName" pid="15" fmtid="{D5CDD505-2E9C-101B-9397-08002B2CF9AE}">
    <vt:lpwstr> </vt:lpwstr>
  </property>
  <property name="FSC#FSCIBISDOCPROPS@15.1400:DossierRef" pid="16" fmtid="{D5CDD505-2E9C-101B-9397-08002B2CF9AE}">
    <vt:lpwstr>AVK/21.02.03/2023/00863</vt:lpwstr>
  </property>
  <property name="FSC#FSCIBISDOCPROPS@15.1400:RRSessionDate" pid="17" fmtid="{D5CDD505-2E9C-101B-9397-08002B2CF9AE}">
    <vt:lpwstr/>
  </property>
  <property name="FSC#FSCIBISDOCPROPS@15.1400:RRBNumber" pid="18" fmtid="{D5CDD505-2E9C-101B-9397-08002B2CF9AE}">
    <vt:lpwstr>Nicht verfügbar</vt:lpwstr>
  </property>
  <property name="FSC#FSCIBISDOCPROPS@15.1400:TopLevelSubjectGroupPosNumber" pid="19" fmtid="{D5CDD505-2E9C-101B-9397-08002B2CF9AE}">
    <vt:lpwstr>21.02.03</vt:lpwstr>
  </property>
  <property name="FSC#FSCIBISDOCPROPS@15.1400:TopLevelDossierResponsible" pid="20" fmtid="{D5CDD505-2E9C-101B-9397-08002B2CF9AE}">
    <vt:lpwstr>Tropea, Roberto</vt:lpwstr>
  </property>
  <property name="FSC#FSCIBISDOCPROPS@15.1400:TopLevelDossierRespOrgShortname" pid="21" fmtid="{D5CDD505-2E9C-101B-9397-08002B2CF9AE}">
    <vt:lpwstr>AVK</vt:lpwstr>
  </property>
  <property name="FSC#FSCIBISDOCPROPS@15.1400:TopLevelDossierTitel" pid="22" fmtid="{D5CDD505-2E9C-101B-9397-08002B2CF9AE}">
    <vt:lpwstr>Musterdokumente 2023-2027</vt:lpwstr>
  </property>
  <property name="FSC#FSCIBISDOCPROPS@15.1400:TopLevelDossierYear" pid="23" fmtid="{D5CDD505-2E9C-101B-9397-08002B2CF9AE}">
    <vt:lpwstr>2023</vt:lpwstr>
  </property>
  <property name="FSC#FSCIBISDOCPROPS@15.1400:TopLevelDossierNumber" pid="24" fmtid="{D5CDD505-2E9C-101B-9397-08002B2CF9AE}">
    <vt:lpwstr>863</vt:lpwstr>
  </property>
  <property name="FSC#FSCIBISDOCPROPS@15.1400:TopLevelDossierName" pid="25" fmtid="{D5CDD505-2E9C-101B-9397-08002B2CF9AE}">
    <vt:lpwstr>Musterdokumente 2023-2027 (0863/2023/AVK)</vt:lpwstr>
  </property>
  <property name="FSC#FSCIBISDOCPROPS@15.1400:TitleSubFile" pid="26" fmtid="{D5CDD505-2E9C-101B-9397-08002B2CF9AE}">
    <vt:lpwstr>Musterdokumente für Schulgemeinden 2023-2027</vt:lpwstr>
  </property>
  <property name="FSC#FSCIBISDOCPROPS@15.1400:TopLevelSubfileNumber" pid="27" fmtid="{D5CDD505-2E9C-101B-9397-08002B2CF9AE}">
    <vt:lpwstr>1</vt:lpwstr>
  </property>
  <property name="FSC#FSCIBISDOCPROPS@15.1400:TopLevelSubfileName" pid="28" fmtid="{D5CDD505-2E9C-101B-9397-08002B2CF9AE}">
    <vt:lpwstr>Musterdokumente für Schulgemeinden 2023-2027 (001)</vt:lpwstr>
  </property>
  <property name="FSC#FSCIBISDOCPROPS@15.1400:GroupShortName" pid="29" fmtid="{D5CDD505-2E9C-101B-9397-08002B2CF9AE}">
    <vt:lpwstr>AVK_x005f_FIN</vt:lpwstr>
  </property>
  <property name="FSC#FSCIBISDOCPROPS@15.1400:OwnerAbbreviation" pid="30" fmtid="{D5CDD505-2E9C-101B-9397-08002B2CF9AE}">
    <vt:lpwstr/>
  </property>
  <property name="FSC#FSCIBISDOCPROPS@15.1400:Owner" pid="31" fmtid="{D5CDD505-2E9C-101B-9397-08002B2CF9AE}">
    <vt:lpwstr>Tropea, Roberto</vt:lpwstr>
  </property>
  <property name="FSC#FSCIBISDOCPROPS@15.1400:Subject" pid="32" fmtid="{D5CDD505-2E9C-101B-9397-08002B2CF9AE}">
    <vt:lpwstr>Nicht verfügbar</vt:lpwstr>
  </property>
  <property name="FSC#FSCIBISDOCPROPS@15.1400:Objectname" pid="33" fmtid="{D5CDD505-2E9C-101B-9397-08002B2CF9AE}">
    <vt:lpwstr>Berechnung Beitragsleistungen Schulgemeinden_x005f_13.12.23</vt:lpwstr>
  </property>
  <property name="FSC#LOCALSW@2103.100:User_Login_red" pid="34" fmtid="{D5CDD505-2E9C-101B-9397-08002B2CF9AE}">
    <vt:lpwstr>avktro@TG.CH_x000d__x000a_roberto.tropea@tg.ch_x000d__x000a_TG\avktro_x000d__x000a_ </vt:lpwstr>
  </property>
  <property name="FSC#COOSYSTEM@1.1:Container" pid="35" fmtid="{D5CDD505-2E9C-101B-9397-08002B2CF9AE}">
    <vt:lpwstr>COO.2103.100.2.11490842</vt:lpwstr>
  </property>
  <property name="COO$NOPARSEFILE" pid="36" fmtid="{D5CDD505-2E9C-101B-9397-08002B2CF9AE}">
    <vt:lpwstr/>
  </property>
  <property name="FSC$NOPARSEFILE" pid="37" fmtid="{D5CDD505-2E9C-101B-9397-08002B2CF9AE}">
    <vt:lpwstr/>
  </property>
  <property name="COO$NOUSEREXPRESSIONS" pid="38" fmtid="{D5CDD505-2E9C-101B-9397-08002B2CF9AE}">
    <vt:lpwstr/>
  </property>
  <property name="FSC$NOUSEREXPRESSIONS" pid="39" fmtid="{D5CDD505-2E9C-101B-9397-08002B2CF9AE}">
    <vt:lpwstr/>
  </property>
  <property name="COO$NOVIRTUALATTRS" pid="40" fmtid="{D5CDD505-2E9C-101B-9397-08002B2CF9AE}">
    <vt:lpwstr/>
  </property>
  <property name="FSC$NOVIRTUALATTRS" pid="41" fmtid="{D5CDD505-2E9C-101B-9397-08002B2CF9AE}">
    <vt:lpwstr/>
  </property>
  <property name="FSC#ELAKGOV@1.1001:PersonalSubjGender" pid="42" fmtid="{D5CDD505-2E9C-101B-9397-08002B2CF9AE}">
    <vt:lpwstr/>
  </property>
  <property name="FSC#ELAKGOV@1.1001:PersonalSubjFirstName" pid="43" fmtid="{D5CDD505-2E9C-101B-9397-08002B2CF9AE}">
    <vt:lpwstr/>
  </property>
  <property name="FSC#ELAKGOV@1.1001:PersonalSubjSurName" pid="44" fmtid="{D5CDD505-2E9C-101B-9397-08002B2CF9AE}">
    <vt:lpwstr/>
  </property>
  <property name="FSC#ELAKGOV@1.1001:PersonalSubjSalutation" pid="45" fmtid="{D5CDD505-2E9C-101B-9397-08002B2CF9AE}">
    <vt:lpwstr/>
  </property>
  <property name="FSC#ELAKGOV@1.1001:PersonalSubjAddress" pid="46" fmtid="{D5CDD505-2E9C-101B-9397-08002B2CF9AE}">
    <vt:lpwstr/>
  </property>
  <property name="FSC#COOELAK@1.1001:Subject" pid="47" fmtid="{D5CDD505-2E9C-101B-9397-08002B2CF9AE}">
    <vt:lpwstr/>
  </property>
  <property name="FSC#COOELAK@1.1001:FileReference" pid="48" fmtid="{D5CDD505-2E9C-101B-9397-08002B2CF9AE}">
    <vt:lpwstr>AVK/21.02.03/2023/00863</vt:lpwstr>
  </property>
  <property name="FSC#COOELAK@1.1001:FileRefYear" pid="49" fmtid="{D5CDD505-2E9C-101B-9397-08002B2CF9AE}">
    <vt:lpwstr>2023</vt:lpwstr>
  </property>
  <property name="FSC#COOELAK@1.1001:FileRefOrdinal" pid="50" fmtid="{D5CDD505-2E9C-101B-9397-08002B2CF9AE}">
    <vt:lpwstr>863</vt:lpwstr>
  </property>
  <property name="FSC#COOELAK@1.1001:FileRefOU" pid="51" fmtid="{D5CDD505-2E9C-101B-9397-08002B2CF9AE}">
    <vt:lpwstr>AVK</vt:lpwstr>
  </property>
  <property name="FSC#COOELAK@1.1001:Organization" pid="52" fmtid="{D5CDD505-2E9C-101B-9397-08002B2CF9AE}">
    <vt:lpwstr/>
  </property>
  <property name="FSC#COOELAK@1.1001:Owner" pid="53" fmtid="{D5CDD505-2E9C-101B-9397-08002B2CF9AE}">
    <vt:lpwstr>Tropea Roberto (Frauenfeld)</vt:lpwstr>
  </property>
  <property name="FSC#COOELAK@1.1001:OwnerExtension" pid="54" fmtid="{D5CDD505-2E9C-101B-9397-08002B2CF9AE}">
    <vt:lpwstr>+41 58 345 57 89</vt:lpwstr>
  </property>
  <property name="FSC#COOELAK@1.1001:OwnerFaxExtension" pid="55" fmtid="{D5CDD505-2E9C-101B-9397-08002B2CF9AE}">
    <vt:lpwstr/>
  </property>
  <property name="FSC#COOELAK@1.1001:DispatchedBy" pid="56" fmtid="{D5CDD505-2E9C-101B-9397-08002B2CF9AE}">
    <vt:lpwstr/>
  </property>
  <property name="FSC#COOELAK@1.1001:DispatchedAt" pid="57" fmtid="{D5CDD505-2E9C-101B-9397-08002B2CF9AE}">
    <vt:lpwstr/>
  </property>
  <property name="FSC#COOELAK@1.1001:ApprovedBy" pid="58" fmtid="{D5CDD505-2E9C-101B-9397-08002B2CF9AE}">
    <vt:lpwstr/>
  </property>
  <property name="FSC#COOELAK@1.1001:ApprovedAt" pid="59" fmtid="{D5CDD505-2E9C-101B-9397-08002B2CF9AE}">
    <vt:lpwstr/>
  </property>
  <property name="FSC#COOELAK@1.1001:Department" pid="60" fmtid="{D5CDD505-2E9C-101B-9397-08002B2CF9AE}">
    <vt:lpwstr>AVK Abteilung Finanzen (AVK_x005f_FIN)</vt:lpwstr>
  </property>
  <property name="FSC#COOELAK@1.1001:CreatedAt" pid="61" fmtid="{D5CDD505-2E9C-101B-9397-08002B2CF9AE}">
    <vt:lpwstr>20.06.2023</vt:lpwstr>
  </property>
  <property name="FSC#COOELAK@1.1001:OU" pid="62" fmtid="{D5CDD505-2E9C-101B-9397-08002B2CF9AE}">
    <vt:lpwstr>Amt für Volksschule, Amtsleitung (AVK)</vt:lpwstr>
  </property>
  <property name="FSC#COOELAK@1.1001:Priority" pid="63" fmtid="{D5CDD505-2E9C-101B-9397-08002B2CF9AE}">
    <vt:lpwstr> ()</vt:lpwstr>
  </property>
  <property name="FSC#COOELAK@1.1001:ObjBarCode" pid="64" fmtid="{D5CDD505-2E9C-101B-9397-08002B2CF9AE}">
    <vt:lpwstr>COO.2103.100.2.11490842</vt:lpwstr>
  </property>
  <property name="FSC#COOELAK@1.1001:RefBarCode" pid="65" fmtid="{D5CDD505-2E9C-101B-9397-08002B2CF9AE}">
    <vt:lpwstr>*COO.2103.100.7.1725799*</vt:lpwstr>
  </property>
  <property name="FSC#COOELAK@1.1001:FileRefBarCode" pid="66" fmtid="{D5CDD505-2E9C-101B-9397-08002B2CF9AE}">
    <vt:lpwstr>*AVK/21.02.03/2023/00863*</vt:lpwstr>
  </property>
  <property name="FSC#COOELAK@1.1001:ExternalRef" pid="67" fmtid="{D5CDD505-2E9C-101B-9397-08002B2CF9AE}">
    <vt:lpwstr/>
  </property>
  <property name="FSC#COOELAK@1.1001:IncomingNumber" pid="68" fmtid="{D5CDD505-2E9C-101B-9397-08002B2CF9AE}">
    <vt:lpwstr/>
  </property>
  <property name="FSC#COOELAK@1.1001:IncomingSubject" pid="69" fmtid="{D5CDD505-2E9C-101B-9397-08002B2CF9AE}">
    <vt:lpwstr/>
  </property>
  <property name="FSC#COOELAK@1.1001:ProcessResponsible" pid="70" fmtid="{D5CDD505-2E9C-101B-9397-08002B2CF9AE}">
    <vt:lpwstr/>
  </property>
  <property name="FSC#COOELAK@1.1001:ProcessResponsiblePhone" pid="71" fmtid="{D5CDD505-2E9C-101B-9397-08002B2CF9AE}">
    <vt:lpwstr/>
  </property>
  <property name="FSC#COOELAK@1.1001:ProcessResponsibleMail" pid="72" fmtid="{D5CDD505-2E9C-101B-9397-08002B2CF9AE}">
    <vt:lpwstr/>
  </property>
  <property name="FSC#COOELAK@1.1001:ProcessResponsibleFax" pid="73" fmtid="{D5CDD505-2E9C-101B-9397-08002B2CF9AE}">
    <vt:lpwstr/>
  </property>
  <property name="FSC#COOELAK@1.1001:ApproverFirstName" pid="74" fmtid="{D5CDD505-2E9C-101B-9397-08002B2CF9AE}">
    <vt:lpwstr/>
  </property>
  <property name="FSC#COOELAK@1.1001:ApproverSurName" pid="75" fmtid="{D5CDD505-2E9C-101B-9397-08002B2CF9AE}">
    <vt:lpwstr/>
  </property>
  <property name="FSC#COOELAK@1.1001:ApproverTitle" pid="76" fmtid="{D5CDD505-2E9C-101B-9397-08002B2CF9AE}">
    <vt:lpwstr/>
  </property>
  <property name="FSC#COOELAK@1.1001:ExternalDate" pid="77" fmtid="{D5CDD505-2E9C-101B-9397-08002B2CF9AE}">
    <vt:lpwstr/>
  </property>
  <property name="FSC#COOELAK@1.1001:SettlementApprovedAt" pid="78" fmtid="{D5CDD505-2E9C-101B-9397-08002B2CF9AE}">
    <vt:lpwstr/>
  </property>
  <property name="FSC#COOELAK@1.1001:BaseNumber" pid="79" fmtid="{D5CDD505-2E9C-101B-9397-08002B2CF9AE}">
    <vt:lpwstr>21.02.03</vt:lpwstr>
  </property>
  <property name="FSC#COOELAK@1.1001:CurrentUserRolePos" pid="80" fmtid="{D5CDD505-2E9C-101B-9397-08002B2CF9AE}">
    <vt:lpwstr>Sachbearbeiter/in</vt:lpwstr>
  </property>
  <property name="FSC#COOELAK@1.1001:CurrentUserEmail" pid="81" fmtid="{D5CDD505-2E9C-101B-9397-08002B2CF9AE}">
    <vt:lpwstr>roberto.tropea@tg.ch</vt:lpwstr>
  </property>
  <property name="FSC#LOCALSW@2103.100:TopLevelSubfileAddress" pid="82" fmtid="{D5CDD505-2E9C-101B-9397-08002B2CF9AE}">
    <vt:lpwstr>COO.2103.100.7.1725799</vt:lpwstr>
  </property>
  <property name="FSC#FSCIBISDOCPROPS@15.1400:ObjectCOOAddress" pid="83" fmtid="{D5CDD505-2E9C-101B-9397-08002B2CF9AE}">
    <vt:lpwstr>COO.2103.100.2.11490842</vt:lpwstr>
  </property>
  <property name="FSC#FSCIBISDOCPROPS@15.1400:Container" pid="84" fmtid="{D5CDD505-2E9C-101B-9397-08002B2CF9AE}">
    <vt:lpwstr>COO.2103.100.2.11490842</vt:lpwstr>
  </property>
  <property name="FSC#FSCIBISDOCPROPS@15.1400:TopLevelSubfileAddress" pid="85" fmtid="{D5CDD505-2E9C-101B-9397-08002B2CF9AE}">
    <vt:lpwstr>COO.2103.100.7.302727</vt:lpwstr>
  </property>
  <property name="FSC#FSCIBISDOCPROPS@15.1400:BGMDiagnoseAdd" pid="86" fmtid="{D5CDD505-2E9C-101B-9397-08002B2CF9AE}">
    <vt:lpwstr> </vt:lpwstr>
  </property>
  <property name="FSC#FSCIBISDOCPROPS@15.1400:CreatedAt" pid="87" fmtid="{D5CDD505-2E9C-101B-9397-08002B2CF9AE}">
    <vt:lpwstr>20.06.2023</vt:lpwstr>
  </property>
  <property name="FSC#FSCIBISDOCPROPS@15.1400:CreatedBy" pid="88" fmtid="{D5CDD505-2E9C-101B-9397-08002B2CF9AE}">
    <vt:lpwstr>Roberto Tropea</vt:lpwstr>
  </property>
  <property name="FSC#FSCIBISDOCPROPS@15.1400:ReferredBarCode" pid="89" fmtid="{D5CDD505-2E9C-101B-9397-08002B2CF9AE}">
    <vt:lpwstr/>
  </property>
  <property name="FSC#LOCALSW@2103.100:BarCodeOwnerSubfile" pid="90" fmtid="{D5CDD505-2E9C-101B-9397-08002B2CF9AE}">
    <vt:lpwstr/>
  </property>
  <property name="FSC#LOCALSW@2103.100:TGDOSREI" pid="91" fmtid="{D5CDD505-2E9C-101B-9397-08002B2CF9AE}">
    <vt:lpwstr>21.02.03</vt:lpwstr>
  </property>
  <property name="FSC#ATSTATECFG@1.1001:Office" pid="92" fmtid="{D5CDD505-2E9C-101B-9397-08002B2CF9AE}">
    <vt:lpwstr/>
  </property>
  <property name="FSC#ATSTATECFG@1.1001:Agent" pid="93" fmtid="{D5CDD505-2E9C-101B-9397-08002B2CF9AE}">
    <vt:lpwstr>Roberto Tropea</vt:lpwstr>
  </property>
  <property name="FSC#ATSTATECFG@1.1001:AgentPhone" pid="94" fmtid="{D5CDD505-2E9C-101B-9397-08002B2CF9AE}">
    <vt:lpwstr>+41 58 345 57 89</vt:lpwstr>
  </property>
  <property name="FSC#ATSTATECFG@1.1001:DepartmentFax" pid="95" fmtid="{D5CDD505-2E9C-101B-9397-08002B2CF9AE}">
    <vt:lpwstr/>
  </property>
  <property name="FSC#ATSTATECFG@1.1001:DepartmentEmail" pid="96" fmtid="{D5CDD505-2E9C-101B-9397-08002B2CF9AE}">
    <vt:lpwstr>leitung.avk@tg.ch</vt:lpwstr>
  </property>
  <property name="FSC#ATSTATECFG@1.1001:SubfileDate" pid="97" fmtid="{D5CDD505-2E9C-101B-9397-08002B2CF9AE}">
    <vt:lpwstr>20.04.2023</vt:lpwstr>
  </property>
  <property name="FSC#ATSTATECFG@1.1001:SubfileSubject" pid="98" fmtid="{D5CDD505-2E9C-101B-9397-08002B2CF9AE}">
    <vt:lpwstr/>
  </property>
  <property name="FSC#ATSTATECFG@1.1001:DepartmentZipCode" pid="99" fmtid="{D5CDD505-2E9C-101B-9397-08002B2CF9AE}">
    <vt:lpwstr>8510</vt:lpwstr>
  </property>
  <property name="FSC#ATSTATECFG@1.1001:DepartmentCountry" pid="100" fmtid="{D5CDD505-2E9C-101B-9397-08002B2CF9AE}">
    <vt:lpwstr>Schweiz</vt:lpwstr>
  </property>
  <property name="FSC#ATSTATECFG@1.1001:DepartmentCity" pid="101" fmtid="{D5CDD505-2E9C-101B-9397-08002B2CF9AE}">
    <vt:lpwstr>Frauenfeld</vt:lpwstr>
  </property>
  <property name="FSC#ATSTATECFG@1.1001:DepartmentStreet" pid="102" fmtid="{D5CDD505-2E9C-101B-9397-08002B2CF9AE}">
    <vt:lpwstr>Spannerstrasse 31</vt:lpwstr>
  </property>
  <property name="FSC#ATSTATECFG@1.1001:DepartmentDVR" pid="103" fmtid="{D5CDD505-2E9C-101B-9397-08002B2CF9AE}">
    <vt:lpwstr/>
  </property>
  <property name="FSC#ATSTATECFG@1.1001:DepartmentUID" pid="104" fmtid="{D5CDD505-2E9C-101B-9397-08002B2CF9AE}">
    <vt:lpwstr>4110</vt:lpwstr>
  </property>
  <property name="FSC#ATSTATECFG@1.1001:SubfileReference" pid="105" fmtid="{D5CDD505-2E9C-101B-9397-08002B2CF9AE}">
    <vt:lpwstr>001</vt:lpwstr>
  </property>
  <property name="FSC#ATSTATECFG@1.1001:Clause" pid="106" fmtid="{D5CDD505-2E9C-101B-9397-08002B2CF9AE}">
    <vt:lpwstr/>
  </property>
  <property name="FSC#ATSTATECFG@1.1001:ApprovedSignature" pid="107" fmtid="{D5CDD505-2E9C-101B-9397-08002B2CF9AE}">
    <vt:lpwstr/>
  </property>
  <property name="FSC#ATSTATECFG@1.1001:BankAccount" pid="108" fmtid="{D5CDD505-2E9C-101B-9397-08002B2CF9AE}">
    <vt:lpwstr/>
  </property>
  <property name="FSC#ATSTATECFG@1.1001:BankAccountOwner" pid="109" fmtid="{D5CDD505-2E9C-101B-9397-08002B2CF9AE}">
    <vt:lpwstr/>
  </property>
  <property name="FSC#ATSTATECFG@1.1001:BankInstitute" pid="110" fmtid="{D5CDD505-2E9C-101B-9397-08002B2CF9AE}">
    <vt:lpwstr/>
  </property>
  <property name="FSC#ATSTATECFG@1.1001:BankAccountID" pid="111" fmtid="{D5CDD505-2E9C-101B-9397-08002B2CF9AE}">
    <vt:lpwstr/>
  </property>
  <property name="FSC#ATSTATECFG@1.1001:BankAccountIBAN" pid="112" fmtid="{D5CDD505-2E9C-101B-9397-08002B2CF9AE}">
    <vt:lpwstr/>
  </property>
  <property name="FSC#ATSTATECFG@1.1001:BankAccountBIC" pid="113" fmtid="{D5CDD505-2E9C-101B-9397-08002B2CF9AE}">
    <vt:lpwstr/>
  </property>
  <property name="FSC#ATSTATECFG@1.1001:BankName" pid="114" fmtid="{D5CDD505-2E9C-101B-9397-08002B2CF9AE}">
    <vt:lpwstr/>
  </property>
  <property name="FSC#FSCFOLIO@1.1001:docpropproject" pid="115" fmtid="{D5CDD505-2E9C-101B-9397-08002B2CF9AE}">
    <vt:lpwstr/>
  </property>
  <property name="FSC#FSCIBISDOCPROPS@15.1400:CreatedAtFormat" pid="116" fmtid="{D5CDD505-2E9C-101B-9397-08002B2CF9AE}">
    <vt:lpwstr>20. Juni 2023</vt:lpwstr>
  </property>
  <property name="FSC#FSCIBIS@15.1400:KdRNameOfConcerned" pid="117" fmtid="{D5CDD505-2E9C-101B-9397-08002B2CF9AE}">
    <vt:lpwstr>Nicht verfügbar</vt:lpwstr>
  </property>
  <property name="FSC#FSCIBIS@15.1400:KdRAddressOfConcerned" pid="118" fmtid="{D5CDD505-2E9C-101B-9397-08002B2CF9AE}">
    <vt:lpwstr>Nicht verfügbar</vt:lpwstr>
  </property>
  <property name="FSC#FSCIBIS@15.1400:KdRDeadline" pid="119" fmtid="{D5CDD505-2E9C-101B-9397-08002B2CF9AE}">
    <vt:lpwstr>Nicht verfügbar</vt:lpwstr>
  </property>
  <property name="FSC#FSCIBIS@15.1400:KdRVenue" pid="120" fmtid="{D5CDD505-2E9C-101B-9397-08002B2CF9AE}">
    <vt:lpwstr>Nicht verfügbar</vt:lpwstr>
  </property>
  <property name="FSC#FSCIBIS@15.1400:KdREventDate" pid="121" fmtid="{D5CDD505-2E9C-101B-9397-08002B2CF9AE}">
    <vt:lpwstr>Nicht verfügbar</vt:lpwstr>
  </property>
  <property name="FSC#FSCIBIS@15.1400:KdRPrevBusiness" pid="122" fmtid="{D5CDD505-2E9C-101B-9397-08002B2CF9AE}">
    <vt:lpwstr>Nicht verfügbar</vt:lpwstr>
  </property>
  <property name="FSC#FSCIBIS@15.1400:KdRDelegations" pid="123" fmtid="{D5CDD505-2E9C-101B-9397-08002B2CF9AE}">
    <vt:lpwstr>Nicht verfügbar</vt:lpwstr>
  </property>
  <property name="FSC#FSCIBIS@15.1400:SessionTitle" pid="124" fmtid="{D5CDD505-2E9C-101B-9397-08002B2CF9AE}">
    <vt:lpwstr/>
  </property>
  <property name="FSC#FSCIBIS@15.1400:SessionPrevSessionTitle" pid="125" fmtid="{D5CDD505-2E9C-101B-9397-08002B2CF9AE}">
    <vt:lpwstr/>
  </property>
  <property name="FSC#FSCIBIS@15.1400:SessionFrom" pid="126" fmtid="{D5CDD505-2E9C-101B-9397-08002B2CF9AE}">
    <vt:lpwstr/>
  </property>
  <property name="FSC#FSCIBIS@15.1400:SessionFromTime" pid="127" fmtid="{D5CDD505-2E9C-101B-9397-08002B2CF9AE}">
    <vt:lpwstr/>
  </property>
  <property name="FSC#FSCIBIS@15.1400:SessionPrevSessionFrom" pid="128" fmtid="{D5CDD505-2E9C-101B-9397-08002B2CF9AE}">
    <vt:lpwstr/>
  </property>
  <property name="FSC#FSCIBIS@15.1400:SessionTo" pid="129" fmtid="{D5CDD505-2E9C-101B-9397-08002B2CF9AE}">
    <vt:lpwstr/>
  </property>
  <property name="FSC#FSCIBIS@15.1400:SessionSubmissionDeadline" pid="130" fmtid="{D5CDD505-2E9C-101B-9397-08002B2CF9AE}">
    <vt:lpwstr/>
  </property>
  <property name="FSC#FSCIBIS@15.1400:SessionLink" pid="131" fmtid="{D5CDD505-2E9C-101B-9397-08002B2CF9AE}">
    <vt:lpwstr/>
  </property>
  <property name="FSC#FSCIBIS@15.1400:SessionNumber" pid="132" fmtid="{D5CDD505-2E9C-101B-9397-08002B2CF9AE}">
    <vt:lpwstr/>
  </property>
  <property name="FSC#FSCIBIS@15.1400:SessionContactListPersons" pid="133" fmtid="{D5CDD505-2E9C-101B-9397-08002B2CF9AE}">
    <vt:lpwstr>Nicht verfügbar</vt:lpwstr>
  </property>
  <property name="FSC#FSCIBIS@15.1400:SessionContactListStatus" pid="134" fmtid="{D5CDD505-2E9C-101B-9397-08002B2CF9AE}">
    <vt:lpwstr>Nicht verfügbar</vt:lpwstr>
  </property>
  <property name="FSC#FSCIBIS@15.1400:ArchiveMapGRGNumber" pid="135" fmtid="{D5CDD505-2E9C-101B-9397-08002B2CF9AE}">
    <vt:lpwstr/>
  </property>
  <property name="FSC#FSCIBIS@15.1400:ArchiveMapFinalNumber" pid="136" fmtid="{D5CDD505-2E9C-101B-9397-08002B2CF9AE}">
    <vt:lpwstr/>
  </property>
  <property name="FSC#FSCIBIS@15.1400:ArchiveMapSequentialNumber" pid="137" fmtid="{D5CDD505-2E9C-101B-9397-08002B2CF9AE}">
    <vt:lpwstr/>
  </property>
  <property name="FSC#FSCIBIS@15.1400:ArchiveMapFinalizeDate" pid="138" fmtid="{D5CDD505-2E9C-101B-9397-08002B2CF9AE}">
    <vt:lpwstr/>
  </property>
  <property name="FSC#FSCIBIS@15.1400:ArchiveMapTitle" pid="139" fmtid="{D5CDD505-2E9C-101B-9397-08002B2CF9AE}">
    <vt:lpwstr/>
  </property>
  <property name="FSC#FSCIBIS@15.1400:ArchiveMapBusinessType" pid="140" fmtid="{D5CDD505-2E9C-101B-9397-08002B2CF9AE}">
    <vt:lpwstr/>
  </property>
  <property name="FSC#FSCIBIS@15.1400:ArchiveMapSessionDate" pid="141" fmtid="{D5CDD505-2E9C-101B-9397-08002B2CF9AE}">
    <vt:lpwstr/>
  </property>
  <property name="FSC#FSCIBIS@15.1400:ArchiveMapProtocolNumber" pid="142" fmtid="{D5CDD505-2E9C-101B-9397-08002B2CF9AE}">
    <vt:lpwstr/>
  </property>
  <property name="FSC#FSCIBIS@15.1400:ArchiveMapProtocolPage" pid="143" fmtid="{D5CDD505-2E9C-101B-9397-08002B2CF9AE}">
    <vt:lpwstr/>
  </property>
  <property name="FSC#FSCIBIS@15.1400:GRSequentialNumber" pid="144" fmtid="{D5CDD505-2E9C-101B-9397-08002B2CF9AE}">
    <vt:lpwstr>Nicht verfügbar</vt:lpwstr>
  </property>
  <property name="FSC#FSCIBIS@15.1400:GRBusinessType" pid="145" fmtid="{D5CDD505-2E9C-101B-9397-08002B2CF9AE}">
    <vt:lpwstr>Nicht verfügbar</vt:lpwstr>
  </property>
  <property name="FSC#FSCIBIS@15.1400:GRGRGNumber" pid="146" fmtid="{D5CDD505-2E9C-101B-9397-08002B2CF9AE}">
    <vt:lpwstr>Nicht verfügbar</vt:lpwstr>
  </property>
  <property name="FSC#FSCIBIS@15.1400:GRLegislation" pid="147" fmtid="{D5CDD505-2E9C-101B-9397-08002B2CF9AE}">
    <vt:lpwstr>Nicht verfügbar</vt:lpwstr>
  </property>
  <property name="FSC#FSCIBIS@15.1400:GREntryDate" pid="148" fmtid="{D5CDD505-2E9C-101B-9397-08002B2CF9AE}">
    <vt:lpwstr>Nicht verfügbar</vt:lpwstr>
  </property>
  <property name="FSC#CCAPRECONFIGG@15.1001:DepartmentON" pid="149" fmtid="{D5CDD505-2E9C-101B-9397-08002B2CF9AE}">
    <vt:lpwstr/>
  </property>
  <property name="FSC#CCAPRECONFIGG@15.1001:DepartmentWebsite" pid="150" fmtid="{D5CDD505-2E9C-101B-9397-08002B2CF9AE}">
    <vt:lpwstr/>
  </property>
  <property name="FSC#COOELAK@1.1001:replyreference" pid="151" fmtid="{D5CDD505-2E9C-101B-9397-08002B2CF9AE}">
    <vt:lpwstr/>
  </property>
  <property name="FSC#COOELAK@1.1001:OfficeHours" pid="152" fmtid="{D5CDD505-2E9C-101B-9397-08002B2CF9AE}">
    <vt:lpwstr/>
  </property>
</Properties>
</file>